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2020年内网下发文件\2021年内网邮件\2020年决算公开\"/>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5" yWindow="-105" windowWidth="23250" windowHeight="12600" tabRatio="851" activeTab="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72" i="5" l="1"/>
  <c r="F74" i="5"/>
  <c r="A3" i="6"/>
  <c r="J68" i="5" l="1"/>
  <c r="E68" i="5"/>
  <c r="J66" i="5"/>
  <c r="E66" i="5"/>
  <c r="E65" i="5"/>
  <c r="E64" i="5"/>
  <c r="E63" i="5"/>
  <c r="E62" i="5"/>
  <c r="J59" i="5"/>
  <c r="E59" i="5"/>
  <c r="J57" i="5"/>
  <c r="E57" i="5"/>
  <c r="E56" i="5"/>
  <c r="J53" i="5"/>
  <c r="E53" i="5"/>
  <c r="J51" i="5"/>
  <c r="E51" i="5"/>
  <c r="E50" i="5"/>
  <c r="E49" i="5"/>
  <c r="J46" i="5"/>
  <c r="E46" i="5"/>
  <c r="J43" i="5"/>
  <c r="E43" i="5"/>
  <c r="J42" i="5"/>
  <c r="E42" i="5"/>
  <c r="J41" i="5"/>
  <c r="E41" i="5"/>
  <c r="J40" i="5"/>
  <c r="E40" i="5"/>
  <c r="J37" i="5"/>
  <c r="E37" i="5"/>
  <c r="J35" i="5"/>
  <c r="E35" i="5"/>
  <c r="D33" i="5"/>
  <c r="A31" i="6"/>
  <c r="G30" i="6"/>
  <c r="M29" i="6"/>
  <c r="C29" i="6"/>
  <c r="B69" i="5" l="1"/>
  <c r="F54" i="5"/>
  <c r="C58" i="5"/>
  <c r="G58" i="5" s="1"/>
  <c r="C67" i="5"/>
  <c r="G67" i="5" s="1"/>
  <c r="F36" i="5"/>
  <c r="F60" i="5"/>
  <c r="C69" i="5"/>
  <c r="G69" i="5" s="1"/>
  <c r="F69" i="5"/>
  <c r="F67" i="5"/>
  <c r="B67" i="5"/>
  <c r="B60" i="5"/>
  <c r="C60" i="5"/>
  <c r="G60" i="5" s="1"/>
  <c r="F58" i="5"/>
  <c r="B58" i="5"/>
  <c r="C54" i="5"/>
  <c r="G54" i="5" s="1"/>
  <c r="F38" i="5"/>
  <c r="F44" i="5"/>
  <c r="F52" i="5"/>
  <c r="B54" i="5"/>
  <c r="B52" i="5"/>
  <c r="C52" i="5"/>
  <c r="G52" i="5" s="1"/>
  <c r="C47" i="5"/>
  <c r="G47" i="5" s="1"/>
  <c r="C36" i="5"/>
  <c r="G36" i="5" s="1"/>
  <c r="B47" i="5"/>
  <c r="F47" i="5"/>
  <c r="B44" i="5"/>
  <c r="C44" i="5"/>
  <c r="G44" i="5" s="1"/>
  <c r="B38" i="5"/>
  <c r="C38" i="5"/>
  <c r="G38" i="5" s="1"/>
  <c r="B36" i="5"/>
  <c r="E27" i="6"/>
  <c r="E26" i="6"/>
  <c r="J25" i="6"/>
  <c r="D25" i="6"/>
  <c r="L24" i="6"/>
  <c r="E24" i="6"/>
  <c r="D20" i="6"/>
  <c r="I19" i="6"/>
  <c r="C19" i="6"/>
  <c r="L18" i="6"/>
  <c r="G18" i="6"/>
  <c r="L15" i="6"/>
  <c r="F15" i="6"/>
  <c r="D14" i="6"/>
  <c r="H14" i="6" s="1"/>
  <c r="F12" i="6"/>
  <c r="L12"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26" i="6" l="1"/>
  <c r="K27" i="6"/>
  <c r="M20" i="6"/>
  <c r="B13" i="6"/>
  <c r="A16" i="6"/>
  <c r="B16" i="6"/>
  <c r="A13"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H11" i="6" l="1"/>
  <c r="C11" i="6"/>
  <c r="A5" i="6"/>
  <c r="F4" i="6"/>
  <c r="G85" i="5"/>
  <c r="E77" i="5"/>
  <c r="J77" i="5"/>
  <c r="J79" i="5" s="1"/>
  <c r="D75" i="5"/>
  <c r="F26" i="5"/>
  <c r="D32" i="5"/>
  <c r="D31" i="5"/>
  <c r="D30" i="5"/>
  <c r="D29" i="5"/>
  <c r="D28" i="5"/>
  <c r="D27" i="5"/>
  <c r="E22" i="5"/>
  <c r="K22" i="5" s="1"/>
  <c r="D20" i="5"/>
  <c r="D19" i="5"/>
  <c r="D18" i="5"/>
  <c r="D17" i="5"/>
  <c r="J17" i="5" s="1"/>
  <c r="D15" i="5"/>
  <c r="D14" i="5"/>
  <c r="D13" i="5"/>
  <c r="D12" i="5"/>
  <c r="D11" i="5"/>
  <c r="D10" i="5"/>
  <c r="D8" i="5"/>
  <c r="J8" i="5" s="1"/>
  <c r="E5" i="6" l="1"/>
  <c r="K11" i="6"/>
  <c r="I31" i="5"/>
  <c r="L11" i="6"/>
  <c r="H10" i="5"/>
  <c r="K10" i="5" s="1"/>
  <c r="J10" i="5"/>
  <c r="F78" i="5"/>
  <c r="F80" i="5" s="1"/>
  <c r="D5" i="6"/>
  <c r="G8" i="5"/>
  <c r="H12" i="5"/>
  <c r="G10" i="5"/>
  <c r="H19" i="5"/>
  <c r="H8" i="5"/>
  <c r="K8" i="5" s="1"/>
  <c r="H11" i="5"/>
  <c r="H20" i="5"/>
  <c r="H14" i="5"/>
  <c r="H17" i="5"/>
  <c r="K17" i="5" s="1"/>
  <c r="H15" i="5"/>
  <c r="I22" i="5"/>
  <c r="L22" i="5" s="1"/>
  <c r="C78" i="5"/>
  <c r="E79" i="5"/>
  <c r="B78" i="5"/>
  <c r="B80" i="5" s="1"/>
  <c r="G17" i="5"/>
  <c r="H13" i="5"/>
  <c r="H18" i="5"/>
  <c r="H22" i="5"/>
  <c r="I27" i="5"/>
  <c r="I30" i="5"/>
  <c r="I33" i="5"/>
  <c r="I29" i="5"/>
  <c r="I32" i="5"/>
  <c r="I28" i="5"/>
  <c r="C80" i="5" l="1"/>
  <c r="G80" i="5"/>
  <c r="E6" i="5"/>
</calcChain>
</file>

<file path=xl/sharedStrings.xml><?xml version="1.0" encoding="utf-8"?>
<sst xmlns="http://schemas.openxmlformats.org/spreadsheetml/2006/main" count="4698" uniqueCount="482">
  <si>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</si>
  <si>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</si>
  <si>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</si>
  <si>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</si>
  <si>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</si>
  <si>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</si>
  <si>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</si>
  <si>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</si>
  <si>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</si>
  <si>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</si>
  <si>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</si>
  <si>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</si>
  <si>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</si>
  <si>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</si>
  <si>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</si>
  <si>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</si>
  <si>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</si>
  <si>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</si>
  <si>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</si>
  <si>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</si>
  <si>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</si>
  <si>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</si>
  <si>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</si>
  <si>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</si>
  <si>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</si>
  <si>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</si>
  <si>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</si>
  <si>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</si>
  <si>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</si>
  <si>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</si>
  <si>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</si>
  <si>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</si>
  <si>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</si>
  <si>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</si>
  <si>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</si>
  <si>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</si>
  <si>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</si>
  <si>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</si>
  <si>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</si>
  <si>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</si>
  <si>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</si>
  <si>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</si>
  <si>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</si>
  <si>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</si>
  <si>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</si>
  <si>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</si>
  <si>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</si>
  <si>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</si>
  <si>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</si>
  <si>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</si>
  <si>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</si>
  <si>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</si>
  <si>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</si>
  <si>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</si>
  <si>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</si>
  <si>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</si>
  <si>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</si>
  <si>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</si>
  <si>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</si>
  <si>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</si>
  <si>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</si>
  <si>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</si>
  <si>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</si>
  <si>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</si>
  <si>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</si>
  <si>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</si>
  <si>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</si>
  <si>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</si>
  <si>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</si>
  <si>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</si>
  <si>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</si>
  <si>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</si>
  <si>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</si>
  <si>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</si>
  <si>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</si>
  <si>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</si>
  <si>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</si>
  <si>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</si>
  <si>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</si>
  <si>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</si>
  <si>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</si>
  <si>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</si>
  <si>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</si>
  <si>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</si>
  <si>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</si>
  <si>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</si>
  <si>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</si>
  <si>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</si>
  <si>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</si>
  <si>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</si>
  <si>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</si>
  <si>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</si>
  <si>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</si>
  <si>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</si>
  <si>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</si>
  <si>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</si>
  <si>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</si>
  <si>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</si>
  <si>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</si>
  <si>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</si>
  <si>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</si>
  <si>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</si>
  <si>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</si>
  <si>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</si>
  <si>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</si>
  <si>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</si>
  <si>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</si>
  <si>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</si>
  <si>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</si>
  <si>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</si>
  <si>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</si>
  <si>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</si>
  <si>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</si>
  <si>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</si>
  <si>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</si>
  <si>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</si>
  <si>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</si>
  <si>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</si>
  <si>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</si>
  <si>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</si>
  <si>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</si>
  <si>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</si>
  <si>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</si>
  <si>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</si>
  <si>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</si>
  <si>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</si>
  <si>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</si>
  <si>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</si>
  <si>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</si>
  <si>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</si>
  <si>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</si>
  <si>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</si>
  <si>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</si>
  <si>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</si>
  <si>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</si>
  <si>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</si>
  <si>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</si>
  <si>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</si>
  <si>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</si>
  <si>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</si>
  <si>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</si>
  <si>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</si>
  <si>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</si>
  <si>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</si>
  <si>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</si>
  <si>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</si>
  <si>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</si>
  <si>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</si>
  <si>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</si>
  <si>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</si>
  <si>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</si>
  <si>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</si>
  <si>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</si>
  <si>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</si>
  <si>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</si>
  <si>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</si>
  <si>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</si>
  <si>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</si>
  <si>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</si>
  <si>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</si>
  <si>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</si>
  <si>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</si>
  <si>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</si>
  <si>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</si>
  <si>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</si>
  <si>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</si>
  <si>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</si>
  <si>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</si>
  <si>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</si>
  <si>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</si>
  <si>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</si>
  <si>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</si>
  <si>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</si>
  <si>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</si>
  <si>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</si>
  <si>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</si>
  <si>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</si>
  <si>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</si>
  <si>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</si>
  <si>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</si>
  <si>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</si>
  <si>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</si>
  <si>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</si>
  <si>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</si>
  <si>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</si>
  <si>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</si>
  <si>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</si>
  <si>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</si>
  <si>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</si>
  <si>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</si>
  <si>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</si>
  <si>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</si>
  <si>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</si>
  <si>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</si>
  <si>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</si>
  <si>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</si>
  <si>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</si>
  <si>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</si>
  <si>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</si>
  <si>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</si>
  <si>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</si>
  <si>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</si>
  <si>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</si>
  <si>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</si>
  <si>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</si>
  <si>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</si>
  <si>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</si>
  <si>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</si>
  <si>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</si>
  <si>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</si>
  <si>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</si>
  <si>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</si>
  <si>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科学技术支出</t>
    <phoneticPr fontId="3" type="noConversion"/>
  </si>
  <si>
    <t>卫生健康支出</t>
    <phoneticPr fontId="3" type="noConversion"/>
  </si>
  <si>
    <t>城乡社区支出</t>
    <phoneticPr fontId="3" type="noConversion"/>
  </si>
  <si>
    <t>农林水支出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</si>
  <si>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</si>
  <si>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</si>
  <si>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</si>
  <si>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</si>
  <si>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</si>
  <si>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职业教育（款）2020年度决算</t>
    <phoneticPr fontId="3" type="noConversion"/>
  </si>
  <si>
    <t>成人教育（款）2020年度决算</t>
    <phoneticPr fontId="3" type="noConversion"/>
  </si>
  <si>
    <t>特殊教育（款）2020年度决算</t>
    <phoneticPr fontId="3" type="noConversion"/>
  </si>
  <si>
    <t>进修及培训（款）2020年度决算</t>
    <phoneticPr fontId="3" type="noConversion"/>
  </si>
  <si>
    <t>教育费附加安排的支出（款）2020年度决算</t>
    <phoneticPr fontId="3" type="noConversion"/>
  </si>
  <si>
    <t>科学技术普及（款）2020年度决算</t>
    <phoneticPr fontId="3" type="noConversion"/>
  </si>
  <si>
    <t>2020年年初无预算。</t>
    <phoneticPr fontId="3" type="noConversion"/>
  </si>
  <si>
    <t>行政事业单位养老支出（款）2020年度决算</t>
    <phoneticPr fontId="3" type="noConversion"/>
  </si>
  <si>
    <t>抚恤（款）2020年度决算</t>
    <phoneticPr fontId="3" type="noConversion"/>
  </si>
  <si>
    <t>城乡社区公共设施（款）2020年度决算</t>
    <phoneticPr fontId="3" type="noConversion"/>
  </si>
  <si>
    <t>扶贫（款）2020年度决算</t>
    <phoneticPr fontId="3" type="noConversion"/>
  </si>
  <si>
    <t>住房改革支出（款）2020年度决算</t>
    <phoneticPr fontId="3" type="noConversion"/>
  </si>
  <si>
    <t>五、政府性基金预算财政拨款支出决算情况说明</t>
    <phoneticPr fontId="3" type="noConversion"/>
  </si>
  <si>
    <t>（一）政府性基金预算财政拨款支出决算总体情况</t>
    <phoneticPr fontId="3" type="noConversion"/>
  </si>
  <si>
    <t>2020年度政府性基金预算财政拨款支出</t>
    <phoneticPr fontId="3" type="noConversion"/>
  </si>
  <si>
    <t>其他支出</t>
    <phoneticPr fontId="3" type="noConversion"/>
  </si>
  <si>
    <t>（二）政府性基金预算财政拨款支出决算具体情况</t>
    <phoneticPr fontId="3" type="noConversion"/>
  </si>
  <si>
    <t>1、其他支出（类）2020年度决算</t>
    <phoneticPr fontId="3" type="noConversion"/>
  </si>
  <si>
    <t>彩票公益金安排的支出（款）2020年度决算</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</si>
  <si>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</si>
  <si>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</si>
  <si>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</si>
  <si>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</si>
  <si>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</si>
  <si>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</si>
  <si>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</si>
  <si>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</si>
  <si>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</si>
  <si>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</si>
  <si>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</si>
  <si>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</si>
  <si>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</si>
  <si>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</si>
  <si>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3.公务用车购置及运行维护费。</t>
    <phoneticPr fontId="3" type="noConversion"/>
  </si>
  <si>
    <t>比2020年年初预算数</t>
    <phoneticPr fontId="3" type="noConversion"/>
  </si>
  <si>
    <t>其中，公务用车购置费2020年决算数</t>
    <phoneticPr fontId="3" type="noConversion"/>
  </si>
  <si>
    <t>2020年购置（更新）</t>
    <phoneticPr fontId="3" type="noConversion"/>
  </si>
  <si>
    <t>辆，</t>
    <phoneticPr fontId="3" type="noConversion"/>
  </si>
  <si>
    <t>车均购置费</t>
    <phoneticPr fontId="3" type="noConversion"/>
  </si>
  <si>
    <t>公务用车运行维护费2020年决算数</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</si>
  <si>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</si>
  <si>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</si>
  <si>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</si>
  <si>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</si>
  <si>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</si>
  <si>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</si>
  <si>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</si>
  <si>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</si>
  <si>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</si>
  <si>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</si>
  <si>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</si>
  <si>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</si>
  <si>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</si>
  <si>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</si>
  <si>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</si>
  <si>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</si>
  <si>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</si>
  <si>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</si>
  <si>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</si>
  <si>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</si>
  <si>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</si>
  <si>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</si>
  <si>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</si>
  <si>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</si>
  <si>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</si>
  <si>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</si>
  <si>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</si>
  <si>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</si>
  <si>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</si>
  <si>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</si>
  <si>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</si>
  <si>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</si>
  <si>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</si>
  <si>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</si>
  <si>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</si>
  <si>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</si>
  <si>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</si>
  <si>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</si>
  <si>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</si>
  <si>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</si>
  <si>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</si>
  <si>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</si>
  <si>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</si>
  <si>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</si>
  <si>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</si>
  <si>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</si>
  <si>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</si>
  <si>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</si>
  <si>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</si>
  <si>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</si>
  <si>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</si>
  <si>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</si>
  <si>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</si>
  <si>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</si>
  <si>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</si>
  <si>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</si>
  <si>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</si>
  <si>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</si>
  <si>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</si>
  <si>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</si>
  <si>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</si>
  <si>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</si>
  <si>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</si>
  <si>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</si>
  <si>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</si>
  <si>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</si>
  <si>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</si>
  <si>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</si>
  <si>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</si>
  <si>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</si>
  <si>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</si>
  <si>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</si>
  <si>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</si>
  <si>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</si>
  <si>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</si>
  <si>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</si>
  <si>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</si>
  <si>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</si>
  <si>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</si>
  <si>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</si>
  <si>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</si>
  <si>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</si>
  <si>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</si>
  <si>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</si>
  <si>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</si>
  <si>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</si>
  <si>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</si>
  <si>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</si>
  <si>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</si>
  <si>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</si>
  <si>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</si>
  <si>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</si>
  <si>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</si>
  <si>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</si>
  <si>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</si>
  <si>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</si>
  <si>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</si>
  <si>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</si>
  <si>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</si>
  <si>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</si>
  <si>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</si>
  <si>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</si>
  <si>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</si>
  <si>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</si>
  <si>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</si>
  <si>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</si>
  <si>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</si>
  <si>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</si>
  <si>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</si>
  <si>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</si>
  <si>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</si>
  <si>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</si>
  <si>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</si>
  <si>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</si>
  <si>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</si>
  <si>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</si>
  <si>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</si>
  <si>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</si>
  <si>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</si>
  <si>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</si>
  <si>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</si>
  <si>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</si>
  <si>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</si>
  <si>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</si>
  <si>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</si>
  <si>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</si>
  <si>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</si>
  <si>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</si>
  <si>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</si>
  <si>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</si>
  <si>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</si>
  <si>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</si>
  <si>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</si>
  <si>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</si>
  <si>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</si>
  <si>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</si>
  <si>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</si>
  <si>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</si>
  <si>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</si>
  <si>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</si>
  <si>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</si>
  <si>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</si>
  <si>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</si>
  <si>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</si>
  <si>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</si>
  <si>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</si>
  <si>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</si>
  <si>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</si>
  <si>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</si>
  <si>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</si>
  <si>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</si>
  <si>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</si>
  <si>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</si>
  <si>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</si>
  <si>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</si>
  <si>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</si>
  <si>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</si>
  <si>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</si>
  <si>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</si>
  <si>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</si>
  <si>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</si>
  <si>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</si>
  <si>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</si>
  <si>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</si>
  <si>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</si>
  <si>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</si>
  <si>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</si>
  <si>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</si>
  <si>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</si>
  <si>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</si>
  <si>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</si>
  <si>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</si>
  <si>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</si>
  <si>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</si>
  <si>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</si>
  <si>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</si>
  <si>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</si>
  <si>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</si>
  <si>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</si>
  <si>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</si>
  <si>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</si>
  <si>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</si>
  <si>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</si>
  <si>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</si>
  <si>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</si>
  <si>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</si>
  <si>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</si>
  <si>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</si>
  <si>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</si>
  <si>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</si>
  <si>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</si>
  <si>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</si>
  <si>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</si>
  <si>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</si>
  <si>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</si>
  <si>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</si>
  <si>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其中：</t>
  </si>
  <si>
    <t>车辆金额</t>
  </si>
  <si>
    <t>2020年年初无预算。其中：</t>
    <phoneticPr fontId="3" type="noConversion"/>
  </si>
  <si>
    <t>2020年年初无预算。</t>
  </si>
  <si>
    <t>报表详见附件</t>
    <phoneticPr fontId="3" type="noConversion"/>
  </si>
  <si>
    <t>2020年度无因公出国（境）费用。</t>
    <phoneticPr fontId="3" type="noConversion"/>
  </si>
  <si>
    <t>1.教育支出（类）2020年度决算</t>
    <phoneticPr fontId="3" type="noConversion"/>
  </si>
  <si>
    <t>2.科学技术支出（类）2020年度决算</t>
    <phoneticPr fontId="3" type="noConversion"/>
  </si>
  <si>
    <t>3.社会保障和就业支出（类）2020年度决算</t>
    <phoneticPr fontId="3" type="noConversion"/>
  </si>
  <si>
    <t>4.卫生健康支出（类）2020年度决算</t>
    <phoneticPr fontId="3" type="noConversion"/>
  </si>
  <si>
    <t>5.城乡社区支出（类）2020年度决算</t>
    <phoneticPr fontId="3" type="noConversion"/>
  </si>
  <si>
    <t>6.农林水支出（类）2020年度决算</t>
    <phoneticPr fontId="3" type="noConversion"/>
  </si>
  <si>
    <t>7.住房保障支出（类）2020年度决算</t>
    <phoneticPr fontId="3" type="noConversion"/>
  </si>
  <si>
    <t>主要原因是:财务供给人员经费有所增长，2019年年末我们实有在职人数521人，2020年年末实有在职人数532人。</t>
    <phoneticPr fontId="3" type="noConversion"/>
  </si>
  <si>
    <t>行政事业单位医疗（款）2020年度决算</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</si>
  <si>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</si>
  <si>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主要原因：压缩财政成本等规定，把勤俭节约落实到实处，培训费按要求压缩50%经费。</t>
    <phoneticPr fontId="3" type="noConversion"/>
  </si>
  <si>
    <t xml:space="preserve">    北京八中作为西城区教委下属的一所完中，实施初中、高中阶段教育教学工作。秉承着眼于未来、着力于素质；育人目标：志向高远、素质全面、基础扎实、特长明显。
    北京八中一校5址办学，开设高中部、初中部、国际部和超常教育。学校内设党委、工会、学生发展指导评价中心、教学指导评价中心、学校发展保障中心、国际化教育中心、超常教育创新实践中心、合作办学中心、初中部。
    截至2020年12月，教职工编制545人，学校实有教师532人，学生4030人，离退休533人。高级职称184人、中级职称157人。专任教师415人，包括特级教师12人、北京市骨干教师9人、北京市学科教学带头人2人；本科以上学历519人。开设教学班122个（初中56个、高中39个、超常教育实验班21个、中美高中课程班6个）。毕业1212人（初中774人、高中438人）；招生1453人（初中753人、高中544人、超常教育实验班156人）；在校生人（初中2098人、高中1284人、超常教育实验班649人），包括寄宿生531人，随班就读学生1人。
</t>
    <phoneticPr fontId="3" type="noConversion"/>
  </si>
  <si>
    <t>主要原因
1、生育保险做预算时列支在高中教育款，2020年实际列支在行政事业单位医疗支出。
2、行政事业单位医疗年初预算是按预算按排的人员经费，未包含追加调整的绩效工资，我校是按教师实际工资上缴医疗保险。
3、在职人员年末数比预算人数增加12人。</t>
    <phoneticPr fontId="3" type="noConversion"/>
  </si>
  <si>
    <t>主要原因是公积金年初预算按绩效工资预算数按排的，未包含上年调整的绩效工资，我校按教师实际工资做为公积金基数，本年在职人员增加12人。</t>
    <phoneticPr fontId="3" type="noConversion"/>
  </si>
  <si>
    <t>主要原因：用彩票公益金安排追加高中篮球三大球运动队经费项目</t>
    <phoneticPr fontId="3" type="noConversion"/>
  </si>
  <si>
    <t>主要原因：
1、2020年追加离退休人员抚恤金2029054元。
2、因人员增加及基数调追加养老保险、职业年金约836668元
3、调减离退休工资等约194575元</t>
    <phoneticPr fontId="3" type="noConversion"/>
  </si>
  <si>
    <t>主要原因：
1、在职人员经费增长约3656万元
2、追加公用经费约149.7万元。
3、追加教科书及教辅材料62.7万元
4、追加防疫项目15.3万元
5、追加北京八中超常儿童自我体验甄别系统59.8万元
6、追加空中课堂基地设备项目36.3万元
7、追加中小学扩班设备28.9万元
8、追加创新项目约165万元
9、追加学生活动约88.5万元
10、追减区级学生活动经费173.5万元</t>
    <phoneticPr fontId="3" type="noConversion"/>
  </si>
  <si>
    <t xml:space="preserve">    北京市第八中学对2020年度部门项目支出实施绩效评价，评价项目6个，占项目总数的12%，涉及金额3847.86万元。
    按时按进度完成全年52个专项资金项目的使用,严格按照预算及合同使用资金，根据《政府采购法》执行政府采购程序。学校整体项目支出绩效目标总体完成100%，与预期无偏离。
    北京八中整体项目完成后，改善了学校教育教学环境，提高了教师的教学能力，给学生提供了更好的生活和学习的空间。我校的超常儿童自我体验甄别系统很好的应对了疫情，突显了社会效益。线上报名、线上测试、线上筛选，免去了家长和学生的奔波及消耗，省去了学校组织这种大型甄别所产生的各方面显性和隐性的巨大资源浪费，为社会节省了大量的资源，创造了新的价值。校园保障经费确保校园安全，实现“平安校园”的目标。物业保洁经费校舍范围内的办公、教学、设备用房及生活用房全部委托给北京信捷苑物业管理有限公司统一管理。初中部租用一整栋楼，全部用于学生教室和教师办公室,满足我校东里初中部近2000名在校师生教育教学需要。北京八中在保持传统优势的基础上正在加速优质发展，务实地传承，求真地创新。学校整体办学水平高有特色，教师队伍整体素养好有名师，学生总体成绩优有特长，坚持"着眼于未来、着力于素质"的办学思想，按照"抓好课程建设和课堂质量--实现学生的高水平发展和教师的专业提升--成就学校教育和教育事业"的思路，以课程改革和拔尖创新人才培养为抓手，追求学校新的、更大成就的发展！</t>
    <phoneticPr fontId="3" type="noConversion"/>
  </si>
  <si>
    <t>主要原因：
1、西里校区操场整体改造工程及前期费1120000元因新冠疫情未开工，财政将款项全部收回。
2、北京八中百万庄基础网络环境升级改造项目结余款1250元，财政收回。
3、北京八中食堂油烟在线检测项目结余款560元，财政收回。
4、北京八中东里饮水机更新项目结余款400元，财政收回。
5、北京八中食堂厨房设备新增及更新项目结余款10455元，财政收回。</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</si>
</sst>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3">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4"/>
      <color rgb="FFFF0000"/>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3">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center" vertical="center" shrinkToFit="1"/>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horizontal="lef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10" fillId="0" borderId="0" xfId="0" applyNumberFormat="1" applyFont="1" applyAlignment="1">
      <alignment horizontal="left" vertical="center" shrinkToFit="1"/>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shrinkToFit="1"/>
    </xf>
    <xf numFmtId="0" fontId="10" fillId="0" borderId="0" xfId="0" applyFont="1" applyAlignment="1">
      <alignment horizontal="right" vertical="center"/>
    </xf>
    <xf numFmtId="0" fontId="10" fillId="0" borderId="0" xfId="0" applyFont="1" applyAlignment="1">
      <alignment horizontal="left" vertical="center" shrinkToFit="1"/>
    </xf>
    <xf numFmtId="0" fontId="22" fillId="0" borderId="0" xfId="0" applyFont="1" applyAlignment="1">
      <alignment horizontal="left" vertical="top" wrapText="1"/>
    </xf>
    <xf numFmtId="0" fontId="21" fillId="0" borderId="0" xfId="0" applyFont="1" applyAlignment="1">
      <alignment horizontal="left" vertical="top" wrapText="1"/>
    </xf>
    <xf numFmtId="176" fontId="10" fillId="0" borderId="0" xfId="0" applyNumberFormat="1" applyFont="1" applyAlignment="1">
      <alignment horizontal="left" vertical="center"/>
    </xf>
    <xf numFmtId="0" fontId="10" fillId="0" borderId="0" xfId="0" applyFont="1" applyAlignment="1">
      <alignment horizontal="left" vertical="center" wrapText="1"/>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A11" sqref="A11:M11"/>
    </sheetView>
  </sheetViews>
  <sheetFormatPr defaultRowHeight="14.25"/>
  <cols>
    <col min="1" max="1" width="16.5" customWidth="1"/>
    <col min="2" max="2" width="12.75" bestFit="1" customWidth="1"/>
  </cols>
  <sheetData>
    <row r="1" spans="1:14" ht="37.9" customHeight="1">
      <c r="A1" s="27" t="s">
        <v>0</v>
      </c>
      <c r="B1" s="28">
        <v>255005</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8" t="str">
        <f>_xlfn.IFNA(VLOOKUP(B1,'2020决算导出'!A:B,2,FALSE),"")</f>
        <v>北京市第八中学</v>
      </c>
      <c r="B11" s="58"/>
      <c r="C11" s="58"/>
      <c r="D11" s="58"/>
      <c r="E11" s="58"/>
      <c r="F11" s="58"/>
      <c r="G11" s="58"/>
      <c r="H11" s="58"/>
      <c r="I11" s="58"/>
      <c r="J11" s="58"/>
      <c r="K11" s="58"/>
      <c r="L11" s="58"/>
      <c r="M11" s="58"/>
      <c r="N11" s="1"/>
    </row>
    <row r="12" spans="1:14" ht="72" customHeight="1">
      <c r="A12" s="58" t="s">
        <v>161</v>
      </c>
      <c r="B12" s="58"/>
      <c r="C12" s="58"/>
      <c r="D12" s="58"/>
      <c r="E12" s="58"/>
      <c r="F12" s="58"/>
      <c r="G12" s="58"/>
      <c r="H12" s="58"/>
      <c r="I12" s="58"/>
      <c r="J12" s="58"/>
      <c r="K12" s="58"/>
      <c r="L12" s="58"/>
      <c r="M12" s="58"/>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75" defaultRowHeight="14.25"/>
  <cols>
    <col min="1" max="1" width="8.875" style="23"/>
    <col min="2" max="2" width="23.625" style="23" customWidth="1"/>
    <col min="3" max="4" width="7.25" style="40" customWidth="1"/>
    <col min="5" max="5" width="8.5" style="41" customWidth="1"/>
    <col min="6" max="6" width="19.625" style="23" customWidth="1"/>
    <col min="7" max="8" width="13.625" style="23" customWidth="1"/>
    <col min="9" max="16384" width="8.875" style="23"/>
  </cols>
  <sheetData>
    <row r="1" spans="1:8" ht="24">
      <c r="A1" s="21" t="s">
        <v>367</v>
      </c>
      <c r="B1" s="22" t="s">
        <v>296</v>
      </c>
      <c r="C1" s="37" t="s">
        <v>368</v>
      </c>
      <c r="D1" s="37" t="s">
        <v>369</v>
      </c>
      <c r="E1" s="38" t="s">
        <v>370</v>
      </c>
      <c r="F1" s="22" t="s">
        <v>371</v>
      </c>
      <c r="G1" s="22" t="s">
        <v>372</v>
      </c>
      <c r="H1" s="22" t="s">
        <v>373</v>
      </c>
    </row>
    <row r="2" spans="1:8">
      <c r="A2" s="24">
        <v>255001</v>
      </c>
      <c r="B2" s="25" t="s">
        <v>347</v>
      </c>
      <c r="C2" s="39" t="str">
        <f>LEFT(D2,3)</f>
        <v>205</v>
      </c>
      <c r="D2" s="39" t="str">
        <f>LEFT(E2,5)</f>
        <v>20502</v>
      </c>
      <c r="E2" s="39">
        <f>IF(ISNA(VLOOKUP(F2,'2020功能科目'!A:B,2,FALSE)),"",VLOOKUP(F2,'2020功能科目'!A:B,2,FALSE))</f>
        <v>2050201</v>
      </c>
      <c r="F2" s="25" t="s">
        <v>374</v>
      </c>
      <c r="G2" s="26">
        <v>91486047.549999997</v>
      </c>
      <c r="H2" s="26">
        <v>117849170.55</v>
      </c>
    </row>
    <row r="3" spans="1:8">
      <c r="A3" s="24">
        <v>255001</v>
      </c>
      <c r="B3" s="25" t="s">
        <v>347</v>
      </c>
      <c r="C3" s="39" t="str">
        <f t="shared" ref="C3:C66" si="0">LEFT(D3,3)</f>
        <v>205</v>
      </c>
      <c r="D3" s="39" t="str">
        <f t="shared" ref="D3:D66" si="1">LEFT(E3,5)</f>
        <v>20502</v>
      </c>
      <c r="E3" s="39">
        <f>IF(ISNA(VLOOKUP(F3,'2020功能科目'!A:B,2,FALSE)),"",VLOOKUP(F3,'2020功能科目'!A:B,2,FALSE))</f>
        <v>2050202</v>
      </c>
      <c r="F3" s="25" t="s">
        <v>375</v>
      </c>
      <c r="G3" s="26">
        <v>250000</v>
      </c>
      <c r="H3" s="26">
        <v>250000</v>
      </c>
    </row>
    <row r="4" spans="1:8">
      <c r="A4" s="24">
        <v>255001</v>
      </c>
      <c r="B4" s="25" t="s">
        <v>347</v>
      </c>
      <c r="C4" s="39" t="str">
        <f t="shared" si="0"/>
        <v>205</v>
      </c>
      <c r="D4" s="39" t="str">
        <f t="shared" si="1"/>
        <v>20502</v>
      </c>
      <c r="E4" s="39">
        <f>IF(ISNA(VLOOKUP(F4,'2020功能科目'!A:B,2,FALSE)),"",VLOOKUP(F4,'2020功能科目'!A:B,2,FALSE))</f>
        <v>2050204</v>
      </c>
      <c r="F4" s="25" t="s">
        <v>376</v>
      </c>
      <c r="G4" s="26">
        <v>1439000</v>
      </c>
      <c r="H4" s="26">
        <v>1439888.15</v>
      </c>
    </row>
    <row r="5" spans="1:8">
      <c r="A5" s="24">
        <v>255001</v>
      </c>
      <c r="B5" s="25" t="s">
        <v>347</v>
      </c>
      <c r="C5" s="39" t="str">
        <f t="shared" si="0"/>
        <v>205</v>
      </c>
      <c r="D5" s="39" t="str">
        <f t="shared" si="1"/>
        <v>20502</v>
      </c>
      <c r="E5" s="39">
        <f>IF(ISNA(VLOOKUP(F5,'2020功能科目'!A:B,2,FALSE)),"",VLOOKUP(F5,'2020功能科目'!A:B,2,FALSE))</f>
        <v>2050299</v>
      </c>
      <c r="F5" s="25" t="s">
        <v>377</v>
      </c>
      <c r="G5" s="26">
        <v>214493036.97999999</v>
      </c>
      <c r="H5" s="26">
        <v>699475364.90999997</v>
      </c>
    </row>
    <row r="6" spans="1:8">
      <c r="A6" s="24">
        <v>255002</v>
      </c>
      <c r="B6" s="25" t="s">
        <v>2</v>
      </c>
      <c r="C6" s="39" t="str">
        <f t="shared" si="0"/>
        <v>205</v>
      </c>
      <c r="D6" s="39" t="str">
        <f t="shared" si="1"/>
        <v>20502</v>
      </c>
      <c r="E6" s="39">
        <f>IF(ISNA(VLOOKUP(F6,'2020功能科目'!A:B,2,FALSE)),"",VLOOKUP(F6,'2020功能科目'!A:B,2,FALSE))</f>
        <v>2050204</v>
      </c>
      <c r="F6" s="25" t="s">
        <v>376</v>
      </c>
      <c r="G6" s="26">
        <v>48124789.539999999</v>
      </c>
      <c r="H6" s="26">
        <v>41249407.020000003</v>
      </c>
    </row>
    <row r="7" spans="1:8">
      <c r="A7" s="24">
        <v>255002</v>
      </c>
      <c r="B7" s="25" t="s">
        <v>2</v>
      </c>
      <c r="C7" s="39" t="str">
        <f t="shared" si="0"/>
        <v>205</v>
      </c>
      <c r="D7" s="39" t="str">
        <f t="shared" si="1"/>
        <v>20502</v>
      </c>
      <c r="E7" s="39">
        <f>IF(ISNA(VLOOKUP(F7,'2020功能科目'!A:B,2,FALSE)),"",VLOOKUP(F7,'2020功能科目'!A:B,2,FALSE))</f>
        <v>2050299</v>
      </c>
      <c r="F7" s="25" t="s">
        <v>377</v>
      </c>
      <c r="G7" s="26">
        <v>30405.93</v>
      </c>
      <c r="H7" s="26">
        <v>0</v>
      </c>
    </row>
    <row r="8" spans="1:8">
      <c r="A8" s="24">
        <v>255002</v>
      </c>
      <c r="B8" s="25" t="s">
        <v>2</v>
      </c>
      <c r="C8" s="39" t="str">
        <f t="shared" si="0"/>
        <v>205</v>
      </c>
      <c r="D8" s="39" t="str">
        <f t="shared" si="1"/>
        <v>20508</v>
      </c>
      <c r="E8" s="39">
        <f>IF(ISNA(VLOOKUP(F8,'2020功能科目'!A:B,2,FALSE)),"",VLOOKUP(F8,'2020功能科目'!A:B,2,FALSE))</f>
        <v>2050803</v>
      </c>
      <c r="F8" s="25" t="s">
        <v>378</v>
      </c>
      <c r="G8" s="26">
        <v>11182</v>
      </c>
      <c r="H8" s="26">
        <v>129600</v>
      </c>
    </row>
    <row r="9" spans="1:8">
      <c r="A9" s="24">
        <v>255002</v>
      </c>
      <c r="B9" s="25" t="s">
        <v>2</v>
      </c>
      <c r="C9" s="39" t="str">
        <f t="shared" si="0"/>
        <v>205</v>
      </c>
      <c r="D9" s="39" t="str">
        <f t="shared" si="1"/>
        <v>20509</v>
      </c>
      <c r="E9" s="39">
        <f>IF(ISNA(VLOOKUP(F9,'2020功能科目'!A:B,2,FALSE)),"",VLOOKUP(F9,'2020功能科目'!A:B,2,FALSE))</f>
        <v>2050903</v>
      </c>
      <c r="F9" s="25" t="s">
        <v>379</v>
      </c>
      <c r="G9" s="26">
        <v>3212790.52</v>
      </c>
      <c r="H9" s="26">
        <v>3213000</v>
      </c>
    </row>
    <row r="10" spans="1:8">
      <c r="A10" s="24">
        <v>255002</v>
      </c>
      <c r="B10" s="25" t="s">
        <v>2</v>
      </c>
      <c r="C10" s="39" t="str">
        <f t="shared" si="0"/>
        <v>205</v>
      </c>
      <c r="D10" s="39" t="str">
        <f t="shared" si="1"/>
        <v>20509</v>
      </c>
      <c r="E10" s="39">
        <f>IF(ISNA(VLOOKUP(F10,'2020功能科目'!A:B,2,FALSE)),"",VLOOKUP(F10,'2020功能科目'!A:B,2,FALSE))</f>
        <v>2050904</v>
      </c>
      <c r="F10" s="25" t="s">
        <v>380</v>
      </c>
      <c r="G10" s="26">
        <v>1320394.58</v>
      </c>
      <c r="H10" s="26">
        <v>1322860</v>
      </c>
    </row>
    <row r="11" spans="1:8">
      <c r="A11" s="24">
        <v>255002</v>
      </c>
      <c r="B11" s="25" t="s">
        <v>2</v>
      </c>
      <c r="C11" s="39" t="str">
        <f t="shared" si="0"/>
        <v>208</v>
      </c>
      <c r="D11" s="39" t="str">
        <f t="shared" si="1"/>
        <v>20805</v>
      </c>
      <c r="E11" s="39">
        <f>IF(ISNA(VLOOKUP(F11,'2020功能科目'!A:B,2,FALSE)),"",VLOOKUP(F11,'2020功能科目'!A:B,2,FALSE))</f>
        <v>2080502</v>
      </c>
      <c r="F11" s="25" t="s">
        <v>381</v>
      </c>
      <c r="G11" s="26">
        <v>5555767.7000000002</v>
      </c>
      <c r="H11" s="26">
        <v>3998855.7</v>
      </c>
    </row>
    <row r="12" spans="1:8">
      <c r="A12" s="24">
        <v>255002</v>
      </c>
      <c r="B12" s="25" t="s">
        <v>2</v>
      </c>
      <c r="C12" s="39" t="str">
        <f t="shared" si="0"/>
        <v>208</v>
      </c>
      <c r="D12" s="39" t="str">
        <f t="shared" si="1"/>
        <v>20805</v>
      </c>
      <c r="E12" s="39">
        <f>IF(ISNA(VLOOKUP(F12,'2020功能科目'!A:B,2,FALSE)),"",VLOOKUP(F12,'2020功能科目'!A:B,2,FALSE))</f>
        <v>2080505</v>
      </c>
      <c r="F12" s="25" t="s">
        <v>382</v>
      </c>
      <c r="G12" s="26">
        <v>3814393.45</v>
      </c>
      <c r="H12" s="26">
        <v>4018480</v>
      </c>
    </row>
    <row r="13" spans="1:8">
      <c r="A13" s="24">
        <v>255002</v>
      </c>
      <c r="B13" s="25" t="s">
        <v>2</v>
      </c>
      <c r="C13" s="39" t="str">
        <f t="shared" si="0"/>
        <v>208</v>
      </c>
      <c r="D13" s="39" t="str">
        <f t="shared" si="1"/>
        <v>20805</v>
      </c>
      <c r="E13" s="39">
        <f>IF(ISNA(VLOOKUP(F13,'2020功能科目'!A:B,2,FALSE)),"",VLOOKUP(F13,'2020功能科目'!A:B,2,FALSE))</f>
        <v>2080506</v>
      </c>
      <c r="F13" s="25" t="s">
        <v>383</v>
      </c>
      <c r="G13" s="26">
        <v>1865106.85</v>
      </c>
      <c r="H13" s="26">
        <v>2009240</v>
      </c>
    </row>
    <row r="14" spans="1:8">
      <c r="A14" s="24">
        <v>255002</v>
      </c>
      <c r="B14" s="25" t="s">
        <v>2</v>
      </c>
      <c r="C14" s="39" t="str">
        <f t="shared" si="0"/>
        <v>208</v>
      </c>
      <c r="D14" s="39" t="str">
        <f t="shared" si="1"/>
        <v>20808</v>
      </c>
      <c r="E14" s="39">
        <f>IF(ISNA(VLOOKUP(F14,'2020功能科目'!A:B,2,FALSE)),"",VLOOKUP(F14,'2020功能科目'!A:B,2,FALSE))</f>
        <v>2080801</v>
      </c>
      <c r="F14" s="25" t="s">
        <v>384</v>
      </c>
      <c r="G14" s="26">
        <v>227662</v>
      </c>
      <c r="H14" s="26">
        <v>0</v>
      </c>
    </row>
    <row r="15" spans="1:8">
      <c r="A15" s="24">
        <v>255002</v>
      </c>
      <c r="B15" s="25" t="s">
        <v>2</v>
      </c>
      <c r="C15" s="39" t="str">
        <f t="shared" si="0"/>
        <v>210</v>
      </c>
      <c r="D15" s="39" t="str">
        <f t="shared" si="1"/>
        <v>21011</v>
      </c>
      <c r="E15" s="39">
        <f>IF(ISNA(VLOOKUP(F15,'2020功能科目'!A:B,2,FALSE)),"",VLOOKUP(F15,'2020功能科目'!A:B,2,FALSE))</f>
        <v>2101102</v>
      </c>
      <c r="F15" s="25" t="s">
        <v>385</v>
      </c>
      <c r="G15" s="26">
        <v>3852817.24</v>
      </c>
      <c r="H15" s="26">
        <v>3265015</v>
      </c>
    </row>
    <row r="16" spans="1:8">
      <c r="A16" s="24">
        <v>255002</v>
      </c>
      <c r="B16" s="25" t="s">
        <v>2</v>
      </c>
      <c r="C16" s="39" t="str">
        <f t="shared" si="0"/>
        <v>210</v>
      </c>
      <c r="D16" s="39" t="str">
        <f t="shared" si="1"/>
        <v>21011</v>
      </c>
      <c r="E16" s="39">
        <f>IF(ISNA(VLOOKUP(F16,'2020功能科目'!A:B,2,FALSE)),"",VLOOKUP(F16,'2020功能科目'!A:B,2,FALSE))</f>
        <v>2101199</v>
      </c>
      <c r="F16" s="25" t="s">
        <v>386</v>
      </c>
      <c r="G16" s="26">
        <v>270000</v>
      </c>
      <c r="H16" s="26">
        <v>270000</v>
      </c>
    </row>
    <row r="17" spans="1:8">
      <c r="A17" s="24">
        <v>255002</v>
      </c>
      <c r="B17" s="25" t="s">
        <v>2</v>
      </c>
      <c r="C17" s="39" t="str">
        <f t="shared" si="0"/>
        <v>221</v>
      </c>
      <c r="D17" s="39" t="str">
        <f t="shared" si="1"/>
        <v>22102</v>
      </c>
      <c r="E17" s="39">
        <f>IF(ISNA(VLOOKUP(F17,'2020功能科目'!A:B,2,FALSE)),"",VLOOKUP(F17,'2020功能科目'!A:B,2,FALSE))</f>
        <v>2210201</v>
      </c>
      <c r="F17" s="25" t="s">
        <v>387</v>
      </c>
      <c r="G17" s="26">
        <v>4289411</v>
      </c>
      <c r="H17" s="26">
        <v>3985860</v>
      </c>
    </row>
    <row r="18" spans="1:8">
      <c r="A18" s="24">
        <v>255002</v>
      </c>
      <c r="B18" s="25" t="s">
        <v>2</v>
      </c>
      <c r="C18" s="39" t="str">
        <f t="shared" si="0"/>
        <v>221</v>
      </c>
      <c r="D18" s="39" t="str">
        <f t="shared" si="1"/>
        <v>22102</v>
      </c>
      <c r="E18" s="39">
        <f>IF(ISNA(VLOOKUP(F18,'2020功能科目'!A:B,2,FALSE)),"",VLOOKUP(F18,'2020功能科目'!A:B,2,FALSE))</f>
        <v>2210202</v>
      </c>
      <c r="F18" s="25" t="s">
        <v>388</v>
      </c>
      <c r="G18" s="26">
        <v>471020</v>
      </c>
      <c r="H18" s="26">
        <v>484320</v>
      </c>
    </row>
    <row r="19" spans="1:8">
      <c r="A19" s="24">
        <v>255002</v>
      </c>
      <c r="B19" s="25" t="s">
        <v>2</v>
      </c>
      <c r="C19" s="39" t="str">
        <f t="shared" si="0"/>
        <v>221</v>
      </c>
      <c r="D19" s="39" t="str">
        <f t="shared" si="1"/>
        <v>22102</v>
      </c>
      <c r="E19" s="39">
        <f>IF(ISNA(VLOOKUP(F19,'2020功能科目'!A:B,2,FALSE)),"",VLOOKUP(F19,'2020功能科目'!A:B,2,FALSE))</f>
        <v>2210203</v>
      </c>
      <c r="F19" s="25" t="s">
        <v>389</v>
      </c>
      <c r="G19" s="26">
        <v>3481190</v>
      </c>
      <c r="H19" s="26">
        <v>3504600</v>
      </c>
    </row>
    <row r="20" spans="1:8">
      <c r="A20" s="24">
        <v>255003</v>
      </c>
      <c r="B20" s="25" t="s">
        <v>3</v>
      </c>
      <c r="C20" s="39" t="str">
        <f t="shared" si="0"/>
        <v>205</v>
      </c>
      <c r="D20" s="39" t="str">
        <f t="shared" si="1"/>
        <v>20502</v>
      </c>
      <c r="E20" s="39">
        <f>IF(ISNA(VLOOKUP(F20,'2020功能科目'!A:B,2,FALSE)),"",VLOOKUP(F20,'2020功能科目'!A:B,2,FALSE))</f>
        <v>2050204</v>
      </c>
      <c r="F20" s="25" t="s">
        <v>376</v>
      </c>
      <c r="G20" s="26">
        <v>152778236.88</v>
      </c>
      <c r="H20" s="26">
        <v>120419845.34999999</v>
      </c>
    </row>
    <row r="21" spans="1:8">
      <c r="A21" s="24">
        <v>255003</v>
      </c>
      <c r="B21" s="25" t="s">
        <v>3</v>
      </c>
      <c r="C21" s="39" t="str">
        <f t="shared" si="0"/>
        <v>205</v>
      </c>
      <c r="D21" s="39" t="str">
        <f t="shared" si="1"/>
        <v>20502</v>
      </c>
      <c r="E21" s="39">
        <f>IF(ISNA(VLOOKUP(F21,'2020功能科目'!A:B,2,FALSE)),"",VLOOKUP(F21,'2020功能科目'!A:B,2,FALSE))</f>
        <v>2050299</v>
      </c>
      <c r="F21" s="25" t="s">
        <v>377</v>
      </c>
      <c r="G21" s="26">
        <v>44377.1</v>
      </c>
      <c r="H21" s="26">
        <v>0</v>
      </c>
    </row>
    <row r="22" spans="1:8">
      <c r="A22" s="24">
        <v>255003</v>
      </c>
      <c r="B22" s="25" t="s">
        <v>3</v>
      </c>
      <c r="C22" s="39" t="str">
        <f t="shared" si="0"/>
        <v>205</v>
      </c>
      <c r="D22" s="39" t="str">
        <f t="shared" si="1"/>
        <v>20508</v>
      </c>
      <c r="E22" s="39">
        <f>IF(ISNA(VLOOKUP(F22,'2020功能科目'!A:B,2,FALSE)),"",VLOOKUP(F22,'2020功能科目'!A:B,2,FALSE))</f>
        <v>2050803</v>
      </c>
      <c r="F22" s="25" t="s">
        <v>378</v>
      </c>
      <c r="G22" s="26">
        <v>52600</v>
      </c>
      <c r="H22" s="26">
        <v>341600</v>
      </c>
    </row>
    <row r="23" spans="1:8">
      <c r="A23" s="24">
        <v>255003</v>
      </c>
      <c r="B23" s="25" t="s">
        <v>3</v>
      </c>
      <c r="C23" s="39" t="str">
        <f t="shared" si="0"/>
        <v>205</v>
      </c>
      <c r="D23" s="39" t="str">
        <f t="shared" si="1"/>
        <v>20509</v>
      </c>
      <c r="E23" s="39">
        <f>IF(ISNA(VLOOKUP(F23,'2020功能科目'!A:B,2,FALSE)),"",VLOOKUP(F23,'2020功能科目'!A:B,2,FALSE))</f>
        <v>2050903</v>
      </c>
      <c r="F23" s="25" t="s">
        <v>379</v>
      </c>
      <c r="G23" s="26">
        <v>2379682.9900000002</v>
      </c>
      <c r="H23" s="26">
        <v>2940000</v>
      </c>
    </row>
    <row r="24" spans="1:8">
      <c r="A24" s="24">
        <v>255003</v>
      </c>
      <c r="B24" s="25" t="s">
        <v>3</v>
      </c>
      <c r="C24" s="39" t="str">
        <f t="shared" si="0"/>
        <v>205</v>
      </c>
      <c r="D24" s="39" t="str">
        <f t="shared" si="1"/>
        <v>20509</v>
      </c>
      <c r="E24" s="39">
        <f>IF(ISNA(VLOOKUP(F24,'2020功能科目'!A:B,2,FALSE)),"",VLOOKUP(F24,'2020功能科目'!A:B,2,FALSE))</f>
        <v>2050904</v>
      </c>
      <c r="F24" s="25" t="s">
        <v>380</v>
      </c>
      <c r="G24" s="26">
        <v>9243415.5999999996</v>
      </c>
      <c r="H24" s="26">
        <v>9269412</v>
      </c>
    </row>
    <row r="25" spans="1:8">
      <c r="A25" s="24">
        <v>255003</v>
      </c>
      <c r="B25" s="25" t="s">
        <v>3</v>
      </c>
      <c r="C25" s="39" t="str">
        <f t="shared" si="0"/>
        <v>208</v>
      </c>
      <c r="D25" s="39" t="str">
        <f t="shared" si="1"/>
        <v>20805</v>
      </c>
      <c r="E25" s="39">
        <f>IF(ISNA(VLOOKUP(F25,'2020功能科目'!A:B,2,FALSE)),"",VLOOKUP(F25,'2020功能科目'!A:B,2,FALSE))</f>
        <v>2080502</v>
      </c>
      <c r="F25" s="25" t="s">
        <v>381</v>
      </c>
      <c r="G25" s="26">
        <v>7136647.2000000002</v>
      </c>
      <c r="H25" s="26">
        <v>5933160.2000000002</v>
      </c>
    </row>
    <row r="26" spans="1:8">
      <c r="A26" s="24">
        <v>255003</v>
      </c>
      <c r="B26" s="25" t="s">
        <v>3</v>
      </c>
      <c r="C26" s="39" t="str">
        <f t="shared" si="0"/>
        <v>208</v>
      </c>
      <c r="D26" s="39" t="str">
        <f t="shared" si="1"/>
        <v>20805</v>
      </c>
      <c r="E26" s="39">
        <f>IF(ISNA(VLOOKUP(F26,'2020功能科目'!A:B,2,FALSE)),"",VLOOKUP(F26,'2020功能科目'!A:B,2,FALSE))</f>
        <v>2080505</v>
      </c>
      <c r="F26" s="25" t="s">
        <v>382</v>
      </c>
      <c r="G26" s="26">
        <v>11570503.529999999</v>
      </c>
      <c r="H26" s="26">
        <v>11360992.800000001</v>
      </c>
    </row>
    <row r="27" spans="1:8">
      <c r="A27" s="24">
        <v>255003</v>
      </c>
      <c r="B27" s="25" t="s">
        <v>3</v>
      </c>
      <c r="C27" s="39" t="str">
        <f t="shared" si="0"/>
        <v>208</v>
      </c>
      <c r="D27" s="39" t="str">
        <f t="shared" si="1"/>
        <v>20805</v>
      </c>
      <c r="E27" s="39">
        <f>IF(ISNA(VLOOKUP(F27,'2020功能科目'!A:B,2,FALSE)),"",VLOOKUP(F27,'2020功能科目'!A:B,2,FALSE))</f>
        <v>2080506</v>
      </c>
      <c r="F27" s="25" t="s">
        <v>383</v>
      </c>
      <c r="G27" s="26">
        <v>5721715.6200000001</v>
      </c>
      <c r="H27" s="26">
        <v>5680496.4000000004</v>
      </c>
    </row>
    <row r="28" spans="1:8">
      <c r="A28" s="24">
        <v>255003</v>
      </c>
      <c r="B28" s="25" t="s">
        <v>3</v>
      </c>
      <c r="C28" s="39" t="str">
        <f t="shared" si="0"/>
        <v>210</v>
      </c>
      <c r="D28" s="39" t="str">
        <f t="shared" si="1"/>
        <v>21011</v>
      </c>
      <c r="E28" s="39">
        <f>IF(ISNA(VLOOKUP(F28,'2020功能科目'!A:B,2,FALSE)),"",VLOOKUP(F28,'2020功能科目'!A:B,2,FALSE))</f>
        <v>2101102</v>
      </c>
      <c r="F28" s="25" t="s">
        <v>385</v>
      </c>
      <c r="G28" s="26">
        <v>11812757.25</v>
      </c>
      <c r="H28" s="26">
        <v>9230806.6500000004</v>
      </c>
    </row>
    <row r="29" spans="1:8">
      <c r="A29" s="24">
        <v>255003</v>
      </c>
      <c r="B29" s="25" t="s">
        <v>3</v>
      </c>
      <c r="C29" s="39" t="str">
        <f t="shared" si="0"/>
        <v>210</v>
      </c>
      <c r="D29" s="39" t="str">
        <f t="shared" si="1"/>
        <v>21011</v>
      </c>
      <c r="E29" s="39">
        <f>IF(ISNA(VLOOKUP(F29,'2020功能科目'!A:B,2,FALSE)),"",VLOOKUP(F29,'2020功能科目'!A:B,2,FALSE))</f>
        <v>2101199</v>
      </c>
      <c r="F29" s="25" t="s">
        <v>386</v>
      </c>
      <c r="G29" s="26">
        <v>270000</v>
      </c>
      <c r="H29" s="26">
        <v>270000</v>
      </c>
    </row>
    <row r="30" spans="1:8">
      <c r="A30" s="24">
        <v>255003</v>
      </c>
      <c r="B30" s="25" t="s">
        <v>3</v>
      </c>
      <c r="C30" s="39" t="str">
        <f t="shared" si="0"/>
        <v>221</v>
      </c>
      <c r="D30" s="39" t="str">
        <f t="shared" si="1"/>
        <v>22102</v>
      </c>
      <c r="E30" s="39">
        <f>IF(ISNA(VLOOKUP(F30,'2020功能科目'!A:B,2,FALSE)),"",VLOOKUP(F30,'2020功能科目'!A:B,2,FALSE))</f>
        <v>2210201</v>
      </c>
      <c r="F30" s="25" t="s">
        <v>387</v>
      </c>
      <c r="G30" s="26">
        <v>14001051</v>
      </c>
      <c r="H30" s="26">
        <v>11082744.6</v>
      </c>
    </row>
    <row r="31" spans="1:8">
      <c r="A31" s="24">
        <v>255003</v>
      </c>
      <c r="B31" s="25" t="s">
        <v>3</v>
      </c>
      <c r="C31" s="39" t="str">
        <f t="shared" si="0"/>
        <v>221</v>
      </c>
      <c r="D31" s="39" t="str">
        <f t="shared" si="1"/>
        <v>22102</v>
      </c>
      <c r="E31" s="39">
        <f>IF(ISNA(VLOOKUP(F31,'2020功能科目'!A:B,2,FALSE)),"",VLOOKUP(F31,'2020功能科目'!A:B,2,FALSE))</f>
        <v>2210202</v>
      </c>
      <c r="F31" s="25" t="s">
        <v>388</v>
      </c>
      <c r="G31" s="26">
        <v>922320</v>
      </c>
      <c r="H31" s="26">
        <v>920340</v>
      </c>
    </row>
    <row r="32" spans="1:8">
      <c r="A32" s="24">
        <v>255003</v>
      </c>
      <c r="B32" s="25" t="s">
        <v>3</v>
      </c>
      <c r="C32" s="39" t="str">
        <f t="shared" si="0"/>
        <v>221</v>
      </c>
      <c r="D32" s="39" t="str">
        <f t="shared" si="1"/>
        <v>22102</v>
      </c>
      <c r="E32" s="39">
        <f>IF(ISNA(VLOOKUP(F32,'2020功能科目'!A:B,2,FALSE)),"",VLOOKUP(F32,'2020功能科目'!A:B,2,FALSE))</f>
        <v>2210203</v>
      </c>
      <c r="F32" s="25" t="s">
        <v>389</v>
      </c>
      <c r="G32" s="26">
        <v>10771981</v>
      </c>
      <c r="H32" s="26">
        <v>10811328</v>
      </c>
    </row>
    <row r="33" spans="1:8">
      <c r="A33" s="24">
        <v>255004</v>
      </c>
      <c r="B33" s="25" t="s">
        <v>4</v>
      </c>
      <c r="C33" s="39" t="str">
        <f t="shared" si="0"/>
        <v>205</v>
      </c>
      <c r="D33" s="39" t="str">
        <f t="shared" si="1"/>
        <v>20502</v>
      </c>
      <c r="E33" s="39">
        <f>IF(ISNA(VLOOKUP(F33,'2020功能科目'!A:B,2,FALSE)),"",VLOOKUP(F33,'2020功能科目'!A:B,2,FALSE))</f>
        <v>2050204</v>
      </c>
      <c r="F33" s="25" t="s">
        <v>376</v>
      </c>
      <c r="G33" s="26">
        <v>39915298.020000003</v>
      </c>
      <c r="H33" s="26">
        <v>32564139.359999999</v>
      </c>
    </row>
    <row r="34" spans="1:8">
      <c r="A34" s="24">
        <v>255004</v>
      </c>
      <c r="B34" s="25" t="s">
        <v>4</v>
      </c>
      <c r="C34" s="39" t="str">
        <f t="shared" si="0"/>
        <v>205</v>
      </c>
      <c r="D34" s="39" t="str">
        <f t="shared" si="1"/>
        <v>20502</v>
      </c>
      <c r="E34" s="39">
        <f>IF(ISNA(VLOOKUP(F34,'2020功能科目'!A:B,2,FALSE)),"",VLOOKUP(F34,'2020功能科目'!A:B,2,FALSE))</f>
        <v>2050299</v>
      </c>
      <c r="F34" s="25" t="s">
        <v>377</v>
      </c>
      <c r="G34" s="26">
        <v>151.65</v>
      </c>
      <c r="H34" s="26">
        <v>0</v>
      </c>
    </row>
    <row r="35" spans="1:8">
      <c r="A35" s="24">
        <v>255004</v>
      </c>
      <c r="B35" s="25" t="s">
        <v>4</v>
      </c>
      <c r="C35" s="39" t="str">
        <f t="shared" si="0"/>
        <v>205</v>
      </c>
      <c r="D35" s="39" t="str">
        <f t="shared" si="1"/>
        <v>20508</v>
      </c>
      <c r="E35" s="39">
        <f>IF(ISNA(VLOOKUP(F35,'2020功能科目'!A:B,2,FALSE)),"",VLOOKUP(F35,'2020功能科目'!A:B,2,FALSE))</f>
        <v>2050803</v>
      </c>
      <c r="F35" s="25" t="s">
        <v>378</v>
      </c>
      <c r="G35" s="26">
        <v>52000</v>
      </c>
      <c r="H35" s="26">
        <v>104000</v>
      </c>
    </row>
    <row r="36" spans="1:8">
      <c r="A36" s="24">
        <v>255004</v>
      </c>
      <c r="B36" s="25" t="s">
        <v>4</v>
      </c>
      <c r="C36" s="39" t="str">
        <f t="shared" si="0"/>
        <v>205</v>
      </c>
      <c r="D36" s="39" t="str">
        <f t="shared" si="1"/>
        <v>20509</v>
      </c>
      <c r="E36" s="39">
        <f>IF(ISNA(VLOOKUP(F36,'2020功能科目'!A:B,2,FALSE)),"",VLOOKUP(F36,'2020功能科目'!A:B,2,FALSE))</f>
        <v>2050904</v>
      </c>
      <c r="F36" s="25" t="s">
        <v>380</v>
      </c>
      <c r="G36" s="26">
        <v>1774649</v>
      </c>
      <c r="H36" s="26">
        <v>1825180</v>
      </c>
    </row>
    <row r="37" spans="1:8">
      <c r="A37" s="24">
        <v>255004</v>
      </c>
      <c r="B37" s="25" t="s">
        <v>4</v>
      </c>
      <c r="C37" s="39" t="str">
        <f t="shared" si="0"/>
        <v>208</v>
      </c>
      <c r="D37" s="39" t="str">
        <f t="shared" si="1"/>
        <v>20805</v>
      </c>
      <c r="E37" s="39">
        <f>IF(ISNA(VLOOKUP(F37,'2020功能科目'!A:B,2,FALSE)),"",VLOOKUP(F37,'2020功能科目'!A:B,2,FALSE))</f>
        <v>2080502</v>
      </c>
      <c r="F37" s="25" t="s">
        <v>381</v>
      </c>
      <c r="G37" s="26">
        <v>2630407.4</v>
      </c>
      <c r="H37" s="26">
        <v>2438843.1</v>
      </c>
    </row>
    <row r="38" spans="1:8">
      <c r="A38" s="24">
        <v>255004</v>
      </c>
      <c r="B38" s="25" t="s">
        <v>4</v>
      </c>
      <c r="C38" s="39" t="str">
        <f t="shared" si="0"/>
        <v>208</v>
      </c>
      <c r="D38" s="39" t="str">
        <f t="shared" si="1"/>
        <v>20805</v>
      </c>
      <c r="E38" s="39">
        <f>IF(ISNA(VLOOKUP(F38,'2020功能科目'!A:B,2,FALSE)),"",VLOOKUP(F38,'2020功能科目'!A:B,2,FALSE))</f>
        <v>2080505</v>
      </c>
      <c r="F38" s="25" t="s">
        <v>382</v>
      </c>
      <c r="G38" s="26">
        <v>3526398.04</v>
      </c>
      <c r="H38" s="26">
        <v>3194464.96</v>
      </c>
    </row>
    <row r="39" spans="1:8">
      <c r="A39" s="24">
        <v>255004</v>
      </c>
      <c r="B39" s="25" t="s">
        <v>4</v>
      </c>
      <c r="C39" s="39" t="str">
        <f t="shared" si="0"/>
        <v>208</v>
      </c>
      <c r="D39" s="39" t="str">
        <f t="shared" si="1"/>
        <v>20805</v>
      </c>
      <c r="E39" s="39">
        <f>IF(ISNA(VLOOKUP(F39,'2020功能科目'!A:B,2,FALSE)),"",VLOOKUP(F39,'2020功能科目'!A:B,2,FALSE))</f>
        <v>2080506</v>
      </c>
      <c r="F39" s="25" t="s">
        <v>383</v>
      </c>
      <c r="G39" s="26">
        <v>1763399</v>
      </c>
      <c r="H39" s="26">
        <v>1597232.48</v>
      </c>
    </row>
    <row r="40" spans="1:8">
      <c r="A40" s="24">
        <v>255004</v>
      </c>
      <c r="B40" s="25" t="s">
        <v>4</v>
      </c>
      <c r="C40" s="39" t="str">
        <f t="shared" si="0"/>
        <v>210</v>
      </c>
      <c r="D40" s="39" t="str">
        <f t="shared" si="1"/>
        <v>21011</v>
      </c>
      <c r="E40" s="39">
        <f>IF(ISNA(VLOOKUP(F40,'2020功能科目'!A:B,2,FALSE)),"",VLOOKUP(F40,'2020功能科目'!A:B,2,FALSE))</f>
        <v>2101102</v>
      </c>
      <c r="F40" s="25" t="s">
        <v>385</v>
      </c>
      <c r="G40" s="26">
        <v>3187289.14</v>
      </c>
      <c r="H40" s="26">
        <v>2595502.7799999998</v>
      </c>
    </row>
    <row r="41" spans="1:8">
      <c r="A41" s="24">
        <v>255004</v>
      </c>
      <c r="B41" s="25" t="s">
        <v>4</v>
      </c>
      <c r="C41" s="39" t="str">
        <f t="shared" si="0"/>
        <v>210</v>
      </c>
      <c r="D41" s="39" t="str">
        <f t="shared" si="1"/>
        <v>21011</v>
      </c>
      <c r="E41" s="39">
        <f>IF(ISNA(VLOOKUP(F41,'2020功能科目'!A:B,2,FALSE)),"",VLOOKUP(F41,'2020功能科目'!A:B,2,FALSE))</f>
        <v>2101199</v>
      </c>
      <c r="F41" s="25" t="s">
        <v>386</v>
      </c>
      <c r="G41" s="26">
        <v>270000</v>
      </c>
      <c r="H41" s="26">
        <v>270000</v>
      </c>
    </row>
    <row r="42" spans="1:8">
      <c r="A42" s="24">
        <v>255004</v>
      </c>
      <c r="B42" s="25" t="s">
        <v>4</v>
      </c>
      <c r="C42" s="39" t="str">
        <f t="shared" si="0"/>
        <v>221</v>
      </c>
      <c r="D42" s="39" t="str">
        <f t="shared" si="1"/>
        <v>22102</v>
      </c>
      <c r="E42" s="39">
        <f>IF(ISNA(VLOOKUP(F42,'2020功能科目'!A:B,2,FALSE)),"",VLOOKUP(F42,'2020功能科目'!A:B,2,FALSE))</f>
        <v>2210201</v>
      </c>
      <c r="F42" s="25" t="s">
        <v>387</v>
      </c>
      <c r="G42" s="26">
        <v>3646068</v>
      </c>
      <c r="H42" s="26">
        <v>3175848.72</v>
      </c>
    </row>
    <row r="43" spans="1:8">
      <c r="A43" s="24">
        <v>255004</v>
      </c>
      <c r="B43" s="25" t="s">
        <v>4</v>
      </c>
      <c r="C43" s="39" t="str">
        <f t="shared" si="0"/>
        <v>221</v>
      </c>
      <c r="D43" s="39" t="str">
        <f t="shared" si="1"/>
        <v>22102</v>
      </c>
      <c r="E43" s="39">
        <f>IF(ISNA(VLOOKUP(F43,'2020功能科目'!A:B,2,FALSE)),"",VLOOKUP(F43,'2020功能科目'!A:B,2,FALSE))</f>
        <v>2210202</v>
      </c>
      <c r="F43" s="25" t="s">
        <v>388</v>
      </c>
      <c r="G43" s="26">
        <v>306010</v>
      </c>
      <c r="H43" s="26">
        <v>303720</v>
      </c>
    </row>
    <row r="44" spans="1:8">
      <c r="A44" s="24">
        <v>255004</v>
      </c>
      <c r="B44" s="25" t="s">
        <v>4</v>
      </c>
      <c r="C44" s="39" t="str">
        <f t="shared" si="0"/>
        <v>221</v>
      </c>
      <c r="D44" s="39" t="str">
        <f t="shared" si="1"/>
        <v>22102</v>
      </c>
      <c r="E44" s="39">
        <f>IF(ISNA(VLOOKUP(F44,'2020功能科目'!A:B,2,FALSE)),"",VLOOKUP(F44,'2020功能科目'!A:B,2,FALSE))</f>
        <v>2210203</v>
      </c>
      <c r="F44" s="25" t="s">
        <v>389</v>
      </c>
      <c r="G44" s="26">
        <v>3796897</v>
      </c>
      <c r="H44" s="26">
        <v>3755904</v>
      </c>
    </row>
    <row r="45" spans="1:8">
      <c r="A45" s="24">
        <v>255005</v>
      </c>
      <c r="B45" s="25" t="s">
        <v>5</v>
      </c>
      <c r="C45" s="39" t="str">
        <f t="shared" si="0"/>
        <v>205</v>
      </c>
      <c r="D45" s="39" t="str">
        <f t="shared" si="1"/>
        <v>20502</v>
      </c>
      <c r="E45" s="39">
        <f>IF(ISNA(VLOOKUP(F45,'2020功能科目'!A:B,2,FALSE)),"",VLOOKUP(F45,'2020功能科目'!A:B,2,FALSE))</f>
        <v>2050204</v>
      </c>
      <c r="F45" s="25" t="s">
        <v>376</v>
      </c>
      <c r="G45" s="26">
        <v>190954069.34999999</v>
      </c>
      <c r="H45" s="26">
        <v>150185478.69999999</v>
      </c>
    </row>
    <row r="46" spans="1:8">
      <c r="A46" s="24">
        <v>255005</v>
      </c>
      <c r="B46" s="25" t="s">
        <v>5</v>
      </c>
      <c r="C46" s="39" t="str">
        <f t="shared" si="0"/>
        <v>205</v>
      </c>
      <c r="D46" s="39" t="str">
        <f t="shared" si="1"/>
        <v>20502</v>
      </c>
      <c r="E46" s="39">
        <f>IF(ISNA(VLOOKUP(F46,'2020功能科目'!A:B,2,FALSE)),"",VLOOKUP(F46,'2020功能科目'!A:B,2,FALSE))</f>
        <v>2050299</v>
      </c>
      <c r="F46" s="25" t="s">
        <v>377</v>
      </c>
      <c r="G46" s="26">
        <v>2866722.19</v>
      </c>
      <c r="H46" s="26">
        <v>2636250</v>
      </c>
    </row>
    <row r="47" spans="1:8">
      <c r="A47" s="24">
        <v>255005</v>
      </c>
      <c r="B47" s="25" t="s">
        <v>5</v>
      </c>
      <c r="C47" s="39" t="str">
        <f t="shared" si="0"/>
        <v>205</v>
      </c>
      <c r="D47" s="39" t="str">
        <f t="shared" si="1"/>
        <v>20508</v>
      </c>
      <c r="E47" s="39">
        <f>IF(ISNA(VLOOKUP(F47,'2020功能科目'!A:B,2,FALSE)),"",VLOOKUP(F47,'2020功能科目'!A:B,2,FALSE))</f>
        <v>2050803</v>
      </c>
      <c r="F47" s="25" t="s">
        <v>378</v>
      </c>
      <c r="G47" s="26">
        <v>208000</v>
      </c>
      <c r="H47" s="26">
        <v>416000</v>
      </c>
    </row>
    <row r="48" spans="1:8">
      <c r="A48" s="24">
        <v>255005</v>
      </c>
      <c r="B48" s="25" t="s">
        <v>5</v>
      </c>
      <c r="C48" s="39" t="str">
        <f t="shared" si="0"/>
        <v>205</v>
      </c>
      <c r="D48" s="39" t="str">
        <f t="shared" si="1"/>
        <v>20509</v>
      </c>
      <c r="E48" s="39">
        <f>IF(ISNA(VLOOKUP(F48,'2020功能科目'!A:B,2,FALSE)),"",VLOOKUP(F48,'2020功能科目'!A:B,2,FALSE))</f>
        <v>2050903</v>
      </c>
      <c r="F48" s="25" t="s">
        <v>379</v>
      </c>
      <c r="G48" s="26">
        <v>770000</v>
      </c>
      <c r="H48" s="26">
        <v>1890000</v>
      </c>
    </row>
    <row r="49" spans="1:8">
      <c r="A49" s="24">
        <v>255005</v>
      </c>
      <c r="B49" s="25" t="s">
        <v>5</v>
      </c>
      <c r="C49" s="39" t="str">
        <f t="shared" si="0"/>
        <v>205</v>
      </c>
      <c r="D49" s="39" t="str">
        <f t="shared" si="1"/>
        <v>20509</v>
      </c>
      <c r="E49" s="39">
        <f>IF(ISNA(VLOOKUP(F49,'2020功能科目'!A:B,2,FALSE)),"",VLOOKUP(F49,'2020功能科目'!A:B,2,FALSE))</f>
        <v>2050904</v>
      </c>
      <c r="F49" s="25" t="s">
        <v>380</v>
      </c>
      <c r="G49" s="26">
        <v>1940390</v>
      </c>
      <c r="H49" s="26">
        <v>1953255</v>
      </c>
    </row>
    <row r="50" spans="1:8">
      <c r="A50" s="24">
        <v>255005</v>
      </c>
      <c r="B50" s="25" t="s">
        <v>5</v>
      </c>
      <c r="C50" s="39" t="str">
        <f t="shared" si="0"/>
        <v>208</v>
      </c>
      <c r="D50" s="39" t="str">
        <f t="shared" si="1"/>
        <v>20805</v>
      </c>
      <c r="E50" s="39">
        <f>IF(ISNA(VLOOKUP(F50,'2020功能科目'!A:B,2,FALSE)),"",VLOOKUP(F50,'2020功能科目'!A:B,2,FALSE))</f>
        <v>2080502</v>
      </c>
      <c r="F50" s="25" t="s">
        <v>381</v>
      </c>
      <c r="G50" s="26">
        <v>11244448.4</v>
      </c>
      <c r="H50" s="26">
        <v>9409970.4000000004</v>
      </c>
    </row>
    <row r="51" spans="1:8">
      <c r="A51" s="24">
        <v>255005</v>
      </c>
      <c r="B51" s="25" t="s">
        <v>5</v>
      </c>
      <c r="C51" s="39" t="str">
        <f t="shared" si="0"/>
        <v>208</v>
      </c>
      <c r="D51" s="39" t="str">
        <f t="shared" si="1"/>
        <v>20805</v>
      </c>
      <c r="E51" s="39">
        <f>IF(ISNA(VLOOKUP(F51,'2020功能科目'!A:B,2,FALSE)),"",VLOOKUP(F51,'2020功能科目'!A:B,2,FALSE))</f>
        <v>2080505</v>
      </c>
      <c r="F51" s="25" t="s">
        <v>382</v>
      </c>
      <c r="G51" s="26">
        <v>13878247.68</v>
      </c>
      <c r="H51" s="26">
        <v>13319840.640000001</v>
      </c>
    </row>
    <row r="52" spans="1:8">
      <c r="A52" s="24">
        <v>255005</v>
      </c>
      <c r="B52" s="25" t="s">
        <v>5</v>
      </c>
      <c r="C52" s="39" t="str">
        <f t="shared" si="0"/>
        <v>208</v>
      </c>
      <c r="D52" s="39" t="str">
        <f t="shared" si="1"/>
        <v>20805</v>
      </c>
      <c r="E52" s="39">
        <f>IF(ISNA(VLOOKUP(F52,'2020功能科目'!A:B,2,FALSE)),"",VLOOKUP(F52,'2020功能科目'!A:B,2,FALSE))</f>
        <v>2080506</v>
      </c>
      <c r="F52" s="25" t="s">
        <v>383</v>
      </c>
      <c r="G52" s="26">
        <v>6938181.9199999999</v>
      </c>
      <c r="H52" s="26">
        <v>6659920.3200000003</v>
      </c>
    </row>
    <row r="53" spans="1:8">
      <c r="A53" s="24">
        <v>255005</v>
      </c>
      <c r="B53" s="25" t="s">
        <v>5</v>
      </c>
      <c r="C53" s="39" t="str">
        <f t="shared" si="0"/>
        <v>210</v>
      </c>
      <c r="D53" s="39" t="str">
        <f t="shared" si="1"/>
        <v>21011</v>
      </c>
      <c r="E53" s="39">
        <f>IF(ISNA(VLOOKUP(F53,'2020功能科目'!A:B,2,FALSE)),"",VLOOKUP(F53,'2020功能科目'!A:B,2,FALSE))</f>
        <v>2101102</v>
      </c>
      <c r="F53" s="25" t="s">
        <v>385</v>
      </c>
      <c r="G53" s="26">
        <v>13036082.369999999</v>
      </c>
      <c r="H53" s="26">
        <v>10822370.52</v>
      </c>
    </row>
    <row r="54" spans="1:8">
      <c r="A54" s="24">
        <v>255005</v>
      </c>
      <c r="B54" s="25" t="s">
        <v>5</v>
      </c>
      <c r="C54" s="39" t="str">
        <f t="shared" si="0"/>
        <v>210</v>
      </c>
      <c r="D54" s="39" t="str">
        <f t="shared" si="1"/>
        <v>21011</v>
      </c>
      <c r="E54" s="39">
        <f>IF(ISNA(VLOOKUP(F54,'2020功能科目'!A:B,2,FALSE)),"",VLOOKUP(F54,'2020功能科目'!A:B,2,FALSE))</f>
        <v>2101199</v>
      </c>
      <c r="F54" s="25" t="s">
        <v>386</v>
      </c>
      <c r="G54" s="26">
        <v>1432500</v>
      </c>
      <c r="H54" s="26">
        <v>1530000</v>
      </c>
    </row>
    <row r="55" spans="1:8">
      <c r="A55" s="24">
        <v>255005</v>
      </c>
      <c r="B55" s="25" t="s">
        <v>5</v>
      </c>
      <c r="C55" s="39" t="str">
        <f t="shared" si="0"/>
        <v>221</v>
      </c>
      <c r="D55" s="39" t="str">
        <f t="shared" si="1"/>
        <v>22102</v>
      </c>
      <c r="E55" s="39">
        <f>IF(ISNA(VLOOKUP(F55,'2020功能科目'!A:B,2,FALSE)),"",VLOOKUP(F55,'2020功能科目'!A:B,2,FALSE))</f>
        <v>2210201</v>
      </c>
      <c r="F55" s="25" t="s">
        <v>387</v>
      </c>
      <c r="G55" s="26">
        <v>13534459</v>
      </c>
      <c r="H55" s="26">
        <v>13109880.48</v>
      </c>
    </row>
    <row r="56" spans="1:8">
      <c r="A56" s="24">
        <v>255005</v>
      </c>
      <c r="B56" s="25" t="s">
        <v>5</v>
      </c>
      <c r="C56" s="39" t="str">
        <f t="shared" si="0"/>
        <v>221</v>
      </c>
      <c r="D56" s="39" t="str">
        <f t="shared" si="1"/>
        <v>22102</v>
      </c>
      <c r="E56" s="39">
        <f>IF(ISNA(VLOOKUP(F56,'2020功能科目'!A:B,2,FALSE)),"",VLOOKUP(F56,'2020功能科目'!A:B,2,FALSE))</f>
        <v>2210202</v>
      </c>
      <c r="F56" s="25" t="s">
        <v>388</v>
      </c>
      <c r="G56" s="26">
        <v>1091000</v>
      </c>
      <c r="H56" s="26">
        <v>1095960</v>
      </c>
    </row>
    <row r="57" spans="1:8">
      <c r="A57" s="24">
        <v>255005</v>
      </c>
      <c r="B57" s="25" t="s">
        <v>5</v>
      </c>
      <c r="C57" s="39" t="str">
        <f t="shared" si="0"/>
        <v>221</v>
      </c>
      <c r="D57" s="39" t="str">
        <f t="shared" si="1"/>
        <v>22102</v>
      </c>
      <c r="E57" s="39">
        <f>IF(ISNA(VLOOKUP(F57,'2020功能科目'!A:B,2,FALSE)),"",VLOOKUP(F57,'2020功能科目'!A:B,2,FALSE))</f>
        <v>2210203</v>
      </c>
      <c r="F57" s="25" t="s">
        <v>389</v>
      </c>
      <c r="G57" s="26">
        <v>13943366</v>
      </c>
      <c r="H57" s="26">
        <v>13587324</v>
      </c>
    </row>
    <row r="58" spans="1:8">
      <c r="A58" s="24">
        <v>255006</v>
      </c>
      <c r="B58" s="25" t="s">
        <v>6</v>
      </c>
      <c r="C58" s="39" t="str">
        <f t="shared" si="0"/>
        <v>205</v>
      </c>
      <c r="D58" s="39" t="str">
        <f t="shared" si="1"/>
        <v>20502</v>
      </c>
      <c r="E58" s="39">
        <f>IF(ISNA(VLOOKUP(F58,'2020功能科目'!A:B,2,FALSE)),"",VLOOKUP(F58,'2020功能科目'!A:B,2,FALSE))</f>
        <v>2050204</v>
      </c>
      <c r="F58" s="25" t="s">
        <v>376</v>
      </c>
      <c r="G58" s="26">
        <v>61620759.719999999</v>
      </c>
      <c r="H58" s="26">
        <v>50041645.509999998</v>
      </c>
    </row>
    <row r="59" spans="1:8">
      <c r="A59" s="24">
        <v>255006</v>
      </c>
      <c r="B59" s="25" t="s">
        <v>6</v>
      </c>
      <c r="C59" s="39" t="str">
        <f t="shared" si="0"/>
        <v>205</v>
      </c>
      <c r="D59" s="39" t="str">
        <f t="shared" si="1"/>
        <v>20508</v>
      </c>
      <c r="E59" s="39">
        <f>IF(ISNA(VLOOKUP(F59,'2020功能科目'!A:B,2,FALSE)),"",VLOOKUP(F59,'2020功能科目'!A:B,2,FALSE))</f>
        <v>2050803</v>
      </c>
      <c r="F59" s="25" t="s">
        <v>378</v>
      </c>
      <c r="G59" s="26">
        <v>75200</v>
      </c>
      <c r="H59" s="26">
        <v>150400</v>
      </c>
    </row>
    <row r="60" spans="1:8">
      <c r="A60" s="24">
        <v>255006</v>
      </c>
      <c r="B60" s="25" t="s">
        <v>6</v>
      </c>
      <c r="C60" s="39" t="str">
        <f t="shared" si="0"/>
        <v>205</v>
      </c>
      <c r="D60" s="39" t="str">
        <f t="shared" si="1"/>
        <v>20509</v>
      </c>
      <c r="E60" s="39">
        <f>IF(ISNA(VLOOKUP(F60,'2020功能科目'!A:B,2,FALSE)),"",VLOOKUP(F60,'2020功能科目'!A:B,2,FALSE))</f>
        <v>2050903</v>
      </c>
      <c r="F60" s="25" t="s">
        <v>379</v>
      </c>
      <c r="G60" s="26">
        <v>1148396.98</v>
      </c>
      <c r="H60" s="26">
        <v>1176000</v>
      </c>
    </row>
    <row r="61" spans="1:8">
      <c r="A61" s="24">
        <v>255006</v>
      </c>
      <c r="B61" s="25" t="s">
        <v>6</v>
      </c>
      <c r="C61" s="39" t="str">
        <f t="shared" si="0"/>
        <v>205</v>
      </c>
      <c r="D61" s="39" t="str">
        <f t="shared" si="1"/>
        <v>20509</v>
      </c>
      <c r="E61" s="39">
        <f>IF(ISNA(VLOOKUP(F61,'2020功能科目'!A:B,2,FALSE)),"",VLOOKUP(F61,'2020功能科目'!A:B,2,FALSE))</f>
        <v>2050904</v>
      </c>
      <c r="F61" s="25" t="s">
        <v>380</v>
      </c>
      <c r="G61" s="26">
        <v>1397999</v>
      </c>
      <c r="H61" s="26">
        <v>1406528</v>
      </c>
    </row>
    <row r="62" spans="1:8">
      <c r="A62" s="24">
        <v>255006</v>
      </c>
      <c r="B62" s="25" t="s">
        <v>6</v>
      </c>
      <c r="C62" s="39" t="str">
        <f t="shared" si="0"/>
        <v>208</v>
      </c>
      <c r="D62" s="39" t="str">
        <f t="shared" si="1"/>
        <v>20805</v>
      </c>
      <c r="E62" s="39">
        <f>IF(ISNA(VLOOKUP(F62,'2020功能科目'!A:B,2,FALSE)),"",VLOOKUP(F62,'2020功能科目'!A:B,2,FALSE))</f>
        <v>2080502</v>
      </c>
      <c r="F62" s="25" t="s">
        <v>381</v>
      </c>
      <c r="G62" s="26">
        <v>4320912.45</v>
      </c>
      <c r="H62" s="26">
        <v>3602040.2</v>
      </c>
    </row>
    <row r="63" spans="1:8">
      <c r="A63" s="24">
        <v>255006</v>
      </c>
      <c r="B63" s="25" t="s">
        <v>6</v>
      </c>
      <c r="C63" s="39" t="str">
        <f t="shared" si="0"/>
        <v>208</v>
      </c>
      <c r="D63" s="39" t="str">
        <f t="shared" si="1"/>
        <v>20805</v>
      </c>
      <c r="E63" s="39">
        <f>IF(ISNA(VLOOKUP(F63,'2020功能科目'!A:B,2,FALSE)),"",VLOOKUP(F63,'2020功能科目'!A:B,2,FALSE))</f>
        <v>2080505</v>
      </c>
      <c r="F63" s="25" t="s">
        <v>382</v>
      </c>
      <c r="G63" s="26">
        <v>4557372.16</v>
      </c>
      <c r="H63" s="26">
        <v>4847359.04</v>
      </c>
    </row>
    <row r="64" spans="1:8">
      <c r="A64" s="24">
        <v>255006</v>
      </c>
      <c r="B64" s="25" t="s">
        <v>6</v>
      </c>
      <c r="C64" s="39" t="str">
        <f t="shared" si="0"/>
        <v>208</v>
      </c>
      <c r="D64" s="39" t="str">
        <f t="shared" si="1"/>
        <v>20805</v>
      </c>
      <c r="E64" s="39">
        <f>IF(ISNA(VLOOKUP(F64,'2020功能科目'!A:B,2,FALSE)),"",VLOOKUP(F64,'2020功能科目'!A:B,2,FALSE))</f>
        <v>2080506</v>
      </c>
      <c r="F64" s="25" t="s">
        <v>383</v>
      </c>
      <c r="G64" s="26">
        <v>2281101.5699999998</v>
      </c>
      <c r="H64" s="26">
        <v>2423679.52</v>
      </c>
    </row>
    <row r="65" spans="1:8">
      <c r="A65" s="24">
        <v>255006</v>
      </c>
      <c r="B65" s="25" t="s">
        <v>6</v>
      </c>
      <c r="C65" s="39" t="str">
        <f t="shared" si="0"/>
        <v>210</v>
      </c>
      <c r="D65" s="39" t="str">
        <f t="shared" si="1"/>
        <v>21011</v>
      </c>
      <c r="E65" s="39">
        <f>IF(ISNA(VLOOKUP(F65,'2020功能科目'!A:B,2,FALSE)),"",VLOOKUP(F65,'2020功能科目'!A:B,2,FALSE))</f>
        <v>2101102</v>
      </c>
      <c r="F65" s="25" t="s">
        <v>385</v>
      </c>
      <c r="G65" s="26">
        <v>4749195.3899999997</v>
      </c>
      <c r="H65" s="26">
        <v>3938479.22</v>
      </c>
    </row>
    <row r="66" spans="1:8">
      <c r="A66" s="24">
        <v>255006</v>
      </c>
      <c r="B66" s="25" t="s">
        <v>6</v>
      </c>
      <c r="C66" s="39" t="str">
        <f t="shared" si="0"/>
        <v>210</v>
      </c>
      <c r="D66" s="39" t="str">
        <f t="shared" si="1"/>
        <v>21011</v>
      </c>
      <c r="E66" s="39">
        <f>IF(ISNA(VLOOKUP(F66,'2020功能科目'!A:B,2,FALSE)),"",VLOOKUP(F66,'2020功能科目'!A:B,2,FALSE))</f>
        <v>2101199</v>
      </c>
      <c r="F66" s="25" t="s">
        <v>386</v>
      </c>
      <c r="G66" s="26">
        <v>360000</v>
      </c>
      <c r="H66" s="26">
        <v>360000</v>
      </c>
    </row>
    <row r="67" spans="1:8">
      <c r="A67" s="24">
        <v>255006</v>
      </c>
      <c r="B67" s="25" t="s">
        <v>6</v>
      </c>
      <c r="C67" s="39" t="str">
        <f t="shared" ref="C67:C130" si="2">LEFT(D67,3)</f>
        <v>221</v>
      </c>
      <c r="D67" s="39" t="str">
        <f t="shared" ref="D67:D130" si="3">LEFT(E67,5)</f>
        <v>22102</v>
      </c>
      <c r="E67" s="39">
        <f>IF(ISNA(VLOOKUP(F67,'2020功能科目'!A:B,2,FALSE)),"",VLOOKUP(F67,'2020功能科目'!A:B,2,FALSE))</f>
        <v>2210201</v>
      </c>
      <c r="F67" s="25" t="s">
        <v>387</v>
      </c>
      <c r="G67" s="26">
        <v>4889382</v>
      </c>
      <c r="H67" s="26">
        <v>4763519.28</v>
      </c>
    </row>
    <row r="68" spans="1:8">
      <c r="A68" s="24">
        <v>255006</v>
      </c>
      <c r="B68" s="25" t="s">
        <v>6</v>
      </c>
      <c r="C68" s="39" t="str">
        <f t="shared" si="2"/>
        <v>221</v>
      </c>
      <c r="D68" s="39" t="str">
        <f t="shared" si="3"/>
        <v>22102</v>
      </c>
      <c r="E68" s="39">
        <f>IF(ISNA(VLOOKUP(F68,'2020功能科目'!A:B,2,FALSE)),"",VLOOKUP(F68,'2020功能科目'!A:B,2,FALSE))</f>
        <v>2210202</v>
      </c>
      <c r="F68" s="25" t="s">
        <v>388</v>
      </c>
      <c r="G68" s="26">
        <v>459140</v>
      </c>
      <c r="H68" s="26">
        <v>458160</v>
      </c>
    </row>
    <row r="69" spans="1:8">
      <c r="A69" s="24">
        <v>255006</v>
      </c>
      <c r="B69" s="25" t="s">
        <v>6</v>
      </c>
      <c r="C69" s="39" t="str">
        <f t="shared" si="2"/>
        <v>221</v>
      </c>
      <c r="D69" s="39" t="str">
        <f t="shared" si="3"/>
        <v>22102</v>
      </c>
      <c r="E69" s="39">
        <f>IF(ISNA(VLOOKUP(F69,'2020功能科目'!A:B,2,FALSE)),"",VLOOKUP(F69,'2020功能科目'!A:B,2,FALSE))</f>
        <v>2210203</v>
      </c>
      <c r="F69" s="25" t="s">
        <v>389</v>
      </c>
      <c r="G69" s="26">
        <v>5159253</v>
      </c>
      <c r="H69" s="26">
        <v>5092561.08</v>
      </c>
    </row>
    <row r="70" spans="1:8">
      <c r="A70" s="24">
        <v>255007</v>
      </c>
      <c r="B70" s="25" t="s">
        <v>7</v>
      </c>
      <c r="C70" s="39" t="str">
        <f t="shared" si="2"/>
        <v>205</v>
      </c>
      <c r="D70" s="39" t="str">
        <f t="shared" si="3"/>
        <v>20502</v>
      </c>
      <c r="E70" s="39">
        <f>IF(ISNA(VLOOKUP(F70,'2020功能科目'!A:B,2,FALSE)),"",VLOOKUP(F70,'2020功能科目'!A:B,2,FALSE))</f>
        <v>2050204</v>
      </c>
      <c r="F70" s="25" t="s">
        <v>376</v>
      </c>
      <c r="G70" s="26">
        <v>40125494.289999999</v>
      </c>
      <c r="H70" s="26">
        <v>34610753.630000003</v>
      </c>
    </row>
    <row r="71" spans="1:8">
      <c r="A71" s="24">
        <v>255007</v>
      </c>
      <c r="B71" s="25" t="s">
        <v>7</v>
      </c>
      <c r="C71" s="39" t="str">
        <f t="shared" si="2"/>
        <v>205</v>
      </c>
      <c r="D71" s="39" t="str">
        <f t="shared" si="3"/>
        <v>20509</v>
      </c>
      <c r="E71" s="39">
        <f>IF(ISNA(VLOOKUP(F71,'2020功能科目'!A:B,2,FALSE)),"",VLOOKUP(F71,'2020功能科目'!A:B,2,FALSE))</f>
        <v>2050903</v>
      </c>
      <c r="F71" s="25" t="s">
        <v>379</v>
      </c>
      <c r="G71" s="26">
        <v>294000</v>
      </c>
      <c r="H71" s="26">
        <v>294000</v>
      </c>
    </row>
    <row r="72" spans="1:8">
      <c r="A72" s="24">
        <v>255007</v>
      </c>
      <c r="B72" s="25" t="s">
        <v>7</v>
      </c>
      <c r="C72" s="39" t="str">
        <f t="shared" si="2"/>
        <v>205</v>
      </c>
      <c r="D72" s="39" t="str">
        <f t="shared" si="3"/>
        <v>20509</v>
      </c>
      <c r="E72" s="39">
        <f>IF(ISNA(VLOOKUP(F72,'2020功能科目'!A:B,2,FALSE)),"",VLOOKUP(F72,'2020功能科目'!A:B,2,FALSE))</f>
        <v>2050904</v>
      </c>
      <c r="F72" s="25" t="s">
        <v>380</v>
      </c>
      <c r="G72" s="26">
        <v>75890</v>
      </c>
      <c r="H72" s="26">
        <v>78060</v>
      </c>
    </row>
    <row r="73" spans="1:8">
      <c r="A73" s="24">
        <v>255007</v>
      </c>
      <c r="B73" s="25" t="s">
        <v>7</v>
      </c>
      <c r="C73" s="39" t="str">
        <f t="shared" si="2"/>
        <v>208</v>
      </c>
      <c r="D73" s="39" t="str">
        <f t="shared" si="3"/>
        <v>20805</v>
      </c>
      <c r="E73" s="39">
        <f>IF(ISNA(VLOOKUP(F73,'2020功能科目'!A:B,2,FALSE)),"",VLOOKUP(F73,'2020功能科目'!A:B,2,FALSE))</f>
        <v>2080502</v>
      </c>
      <c r="F73" s="25" t="s">
        <v>381</v>
      </c>
      <c r="G73" s="26">
        <v>2806240.8</v>
      </c>
      <c r="H73" s="26">
        <v>2220714</v>
      </c>
    </row>
    <row r="74" spans="1:8">
      <c r="A74" s="24">
        <v>255007</v>
      </c>
      <c r="B74" s="25" t="s">
        <v>7</v>
      </c>
      <c r="C74" s="39" t="str">
        <f t="shared" si="2"/>
        <v>208</v>
      </c>
      <c r="D74" s="39" t="str">
        <f t="shared" si="3"/>
        <v>20805</v>
      </c>
      <c r="E74" s="39">
        <f>IF(ISNA(VLOOKUP(F74,'2020功能科目'!A:B,2,FALSE)),"",VLOOKUP(F74,'2020功能科目'!A:B,2,FALSE))</f>
        <v>2080505</v>
      </c>
      <c r="F74" s="25" t="s">
        <v>382</v>
      </c>
      <c r="G74" s="26">
        <v>3520697.6</v>
      </c>
      <c r="H74" s="26">
        <v>3107495.04</v>
      </c>
    </row>
    <row r="75" spans="1:8">
      <c r="A75" s="24">
        <v>255007</v>
      </c>
      <c r="B75" s="25" t="s">
        <v>7</v>
      </c>
      <c r="C75" s="39" t="str">
        <f t="shared" si="2"/>
        <v>208</v>
      </c>
      <c r="D75" s="39" t="str">
        <f t="shared" si="3"/>
        <v>20805</v>
      </c>
      <c r="E75" s="39">
        <f>IF(ISNA(VLOOKUP(F75,'2020功能科目'!A:B,2,FALSE)),"",VLOOKUP(F75,'2020功能科目'!A:B,2,FALSE))</f>
        <v>2080506</v>
      </c>
      <c r="F75" s="25" t="s">
        <v>383</v>
      </c>
      <c r="G75" s="26">
        <v>1751940.16</v>
      </c>
      <c r="H75" s="26">
        <v>1553747.52</v>
      </c>
    </row>
    <row r="76" spans="1:8">
      <c r="A76" s="24">
        <v>255007</v>
      </c>
      <c r="B76" s="25" t="s">
        <v>7</v>
      </c>
      <c r="C76" s="39" t="str">
        <f t="shared" si="2"/>
        <v>210</v>
      </c>
      <c r="D76" s="39" t="str">
        <f t="shared" si="3"/>
        <v>21011</v>
      </c>
      <c r="E76" s="39">
        <f>IF(ISNA(VLOOKUP(F76,'2020功能科目'!A:B,2,FALSE)),"",VLOOKUP(F76,'2020功能科目'!A:B,2,FALSE))</f>
        <v>2101102</v>
      </c>
      <c r="F76" s="25" t="s">
        <v>385</v>
      </c>
      <c r="G76" s="26">
        <v>3180415.07</v>
      </c>
      <c r="H76" s="26">
        <v>2524839.7200000002</v>
      </c>
    </row>
    <row r="77" spans="1:8">
      <c r="A77" s="24">
        <v>255007</v>
      </c>
      <c r="B77" s="25" t="s">
        <v>7</v>
      </c>
      <c r="C77" s="39" t="str">
        <f t="shared" si="2"/>
        <v>210</v>
      </c>
      <c r="D77" s="39" t="str">
        <f t="shared" si="3"/>
        <v>21011</v>
      </c>
      <c r="E77" s="39">
        <f>IF(ISNA(VLOOKUP(F77,'2020功能科目'!A:B,2,FALSE)),"",VLOOKUP(F77,'2020功能科目'!A:B,2,FALSE))</f>
        <v>2101199</v>
      </c>
      <c r="F77" s="25" t="s">
        <v>386</v>
      </c>
      <c r="G77" s="26">
        <v>90000</v>
      </c>
      <c r="H77" s="26">
        <v>90000</v>
      </c>
    </row>
    <row r="78" spans="1:8">
      <c r="A78" s="24">
        <v>255007</v>
      </c>
      <c r="B78" s="25" t="s">
        <v>7</v>
      </c>
      <c r="C78" s="39" t="str">
        <f t="shared" si="2"/>
        <v>221</v>
      </c>
      <c r="D78" s="39" t="str">
        <f t="shared" si="3"/>
        <v>22102</v>
      </c>
      <c r="E78" s="39">
        <f>IF(ISNA(VLOOKUP(F78,'2020功能科目'!A:B,2,FALSE)),"",VLOOKUP(F78,'2020功能科目'!A:B,2,FALSE))</f>
        <v>2210201</v>
      </c>
      <c r="F78" s="25" t="s">
        <v>387</v>
      </c>
      <c r="G78" s="26">
        <v>3957394</v>
      </c>
      <c r="H78" s="26">
        <v>3164621.28</v>
      </c>
    </row>
    <row r="79" spans="1:8">
      <c r="A79" s="24">
        <v>255007</v>
      </c>
      <c r="B79" s="25" t="s">
        <v>7</v>
      </c>
      <c r="C79" s="39" t="str">
        <f t="shared" si="2"/>
        <v>221</v>
      </c>
      <c r="D79" s="39" t="str">
        <f t="shared" si="3"/>
        <v>22102</v>
      </c>
      <c r="E79" s="39">
        <f>IF(ISNA(VLOOKUP(F79,'2020功能科目'!A:B,2,FALSE)),"",VLOOKUP(F79,'2020功能科目'!A:B,2,FALSE))</f>
        <v>2210202</v>
      </c>
      <c r="F79" s="25" t="s">
        <v>388</v>
      </c>
      <c r="G79" s="26">
        <v>326120</v>
      </c>
      <c r="H79" s="26">
        <v>328560</v>
      </c>
    </row>
    <row r="80" spans="1:8">
      <c r="A80" s="24">
        <v>255007</v>
      </c>
      <c r="B80" s="25" t="s">
        <v>7</v>
      </c>
      <c r="C80" s="39" t="str">
        <f t="shared" si="2"/>
        <v>221</v>
      </c>
      <c r="D80" s="39" t="str">
        <f t="shared" si="3"/>
        <v>22102</v>
      </c>
      <c r="E80" s="39">
        <f>IF(ISNA(VLOOKUP(F80,'2020功能科目'!A:B,2,FALSE)),"",VLOOKUP(F80,'2020功能科目'!A:B,2,FALSE))</f>
        <v>2210203</v>
      </c>
      <c r="F80" s="25" t="s">
        <v>389</v>
      </c>
      <c r="G80" s="26">
        <v>4028106</v>
      </c>
      <c r="H80" s="26">
        <v>4008300</v>
      </c>
    </row>
    <row r="81" spans="1:8">
      <c r="A81" s="24">
        <v>255009</v>
      </c>
      <c r="B81" s="25" t="s">
        <v>8</v>
      </c>
      <c r="C81" s="39" t="str">
        <f t="shared" si="2"/>
        <v>205</v>
      </c>
      <c r="D81" s="39" t="str">
        <f t="shared" si="3"/>
        <v>20502</v>
      </c>
      <c r="E81" s="39">
        <f>IF(ISNA(VLOOKUP(F81,'2020功能科目'!A:B,2,FALSE)),"",VLOOKUP(F81,'2020功能科目'!A:B,2,FALSE))</f>
        <v>2050204</v>
      </c>
      <c r="F81" s="25" t="s">
        <v>376</v>
      </c>
      <c r="G81" s="26">
        <v>124256159.78</v>
      </c>
      <c r="H81" s="26">
        <v>101289453.22</v>
      </c>
    </row>
    <row r="82" spans="1:8">
      <c r="A82" s="24">
        <v>255009</v>
      </c>
      <c r="B82" s="25" t="s">
        <v>8</v>
      </c>
      <c r="C82" s="39" t="str">
        <f t="shared" si="2"/>
        <v>205</v>
      </c>
      <c r="D82" s="39" t="str">
        <f t="shared" si="3"/>
        <v>20502</v>
      </c>
      <c r="E82" s="39">
        <f>IF(ISNA(VLOOKUP(F82,'2020功能科目'!A:B,2,FALSE)),"",VLOOKUP(F82,'2020功能科目'!A:B,2,FALSE))</f>
        <v>2050299</v>
      </c>
      <c r="F82" s="25" t="s">
        <v>377</v>
      </c>
      <c r="G82" s="26">
        <v>149690.69</v>
      </c>
      <c r="H82" s="26">
        <v>0</v>
      </c>
    </row>
    <row r="83" spans="1:8">
      <c r="A83" s="24">
        <v>255009</v>
      </c>
      <c r="B83" s="25" t="s">
        <v>8</v>
      </c>
      <c r="C83" s="39" t="str">
        <f t="shared" si="2"/>
        <v>205</v>
      </c>
      <c r="D83" s="39" t="str">
        <f t="shared" si="3"/>
        <v>20508</v>
      </c>
      <c r="E83" s="39">
        <f>IF(ISNA(VLOOKUP(F83,'2020功能科目'!A:B,2,FALSE)),"",VLOOKUP(F83,'2020功能科目'!A:B,2,FALSE))</f>
        <v>2050803</v>
      </c>
      <c r="F83" s="25" t="s">
        <v>378</v>
      </c>
      <c r="G83" s="26">
        <v>152000</v>
      </c>
      <c r="H83" s="26">
        <v>304000</v>
      </c>
    </row>
    <row r="84" spans="1:8">
      <c r="A84" s="24">
        <v>255009</v>
      </c>
      <c r="B84" s="25" t="s">
        <v>8</v>
      </c>
      <c r="C84" s="39" t="str">
        <f t="shared" si="2"/>
        <v>205</v>
      </c>
      <c r="D84" s="39" t="str">
        <f t="shared" si="3"/>
        <v>20509</v>
      </c>
      <c r="E84" s="39">
        <f>IF(ISNA(VLOOKUP(F84,'2020功能科目'!A:B,2,FALSE)),"",VLOOKUP(F84,'2020功能科目'!A:B,2,FALSE))</f>
        <v>2050903</v>
      </c>
      <c r="F84" s="25" t="s">
        <v>379</v>
      </c>
      <c r="G84" s="26">
        <v>1972270.57</v>
      </c>
      <c r="H84" s="26">
        <v>3710000</v>
      </c>
    </row>
    <row r="85" spans="1:8">
      <c r="A85" s="24">
        <v>255009</v>
      </c>
      <c r="B85" s="25" t="s">
        <v>8</v>
      </c>
      <c r="C85" s="39" t="str">
        <f t="shared" si="2"/>
        <v>205</v>
      </c>
      <c r="D85" s="39" t="str">
        <f t="shared" si="3"/>
        <v>20509</v>
      </c>
      <c r="E85" s="39">
        <f>IF(ISNA(VLOOKUP(F85,'2020功能科目'!A:B,2,FALSE)),"",VLOOKUP(F85,'2020功能科目'!A:B,2,FALSE))</f>
        <v>2050904</v>
      </c>
      <c r="F85" s="25" t="s">
        <v>380</v>
      </c>
      <c r="G85" s="26">
        <v>982200</v>
      </c>
      <c r="H85" s="26">
        <v>982200</v>
      </c>
    </row>
    <row r="86" spans="1:8">
      <c r="A86" s="24">
        <v>255009</v>
      </c>
      <c r="B86" s="25" t="s">
        <v>8</v>
      </c>
      <c r="C86" s="39" t="str">
        <f t="shared" si="2"/>
        <v>208</v>
      </c>
      <c r="D86" s="39" t="str">
        <f t="shared" si="3"/>
        <v>20805</v>
      </c>
      <c r="E86" s="39">
        <f>IF(ISNA(VLOOKUP(F86,'2020功能科目'!A:B,2,FALSE)),"",VLOOKUP(F86,'2020功能科目'!A:B,2,FALSE))</f>
        <v>2080502</v>
      </c>
      <c r="F86" s="25" t="s">
        <v>381</v>
      </c>
      <c r="G86" s="26">
        <v>7889952.5999999996</v>
      </c>
      <c r="H86" s="26">
        <v>5878449.5999999996</v>
      </c>
    </row>
    <row r="87" spans="1:8">
      <c r="A87" s="24">
        <v>255009</v>
      </c>
      <c r="B87" s="25" t="s">
        <v>8</v>
      </c>
      <c r="C87" s="39" t="str">
        <f t="shared" si="2"/>
        <v>208</v>
      </c>
      <c r="D87" s="39" t="str">
        <f t="shared" si="3"/>
        <v>20805</v>
      </c>
      <c r="E87" s="39">
        <f>IF(ISNA(VLOOKUP(F87,'2020功能科目'!A:B,2,FALSE)),"",VLOOKUP(F87,'2020功能科目'!A:B,2,FALSE))</f>
        <v>2080505</v>
      </c>
      <c r="F87" s="25" t="s">
        <v>382</v>
      </c>
      <c r="G87" s="26">
        <v>9621649.4399999995</v>
      </c>
      <c r="H87" s="26">
        <v>9481114.4000000004</v>
      </c>
    </row>
    <row r="88" spans="1:8">
      <c r="A88" s="24">
        <v>255009</v>
      </c>
      <c r="B88" s="25" t="s">
        <v>8</v>
      </c>
      <c r="C88" s="39" t="str">
        <f t="shared" si="2"/>
        <v>208</v>
      </c>
      <c r="D88" s="39" t="str">
        <f t="shared" si="3"/>
        <v>20805</v>
      </c>
      <c r="E88" s="39">
        <f>IF(ISNA(VLOOKUP(F88,'2020功能科目'!A:B,2,FALSE)),"",VLOOKUP(F88,'2020功能科目'!A:B,2,FALSE))</f>
        <v>2080506</v>
      </c>
      <c r="F88" s="25" t="s">
        <v>383</v>
      </c>
      <c r="G88" s="26">
        <v>4860125.84</v>
      </c>
      <c r="H88" s="26">
        <v>4740557.2</v>
      </c>
    </row>
    <row r="89" spans="1:8">
      <c r="A89" s="24">
        <v>255009</v>
      </c>
      <c r="B89" s="25" t="s">
        <v>8</v>
      </c>
      <c r="C89" s="39" t="str">
        <f t="shared" si="2"/>
        <v>208</v>
      </c>
      <c r="D89" s="39" t="str">
        <f t="shared" si="3"/>
        <v>20808</v>
      </c>
      <c r="E89" s="39">
        <f>IF(ISNA(VLOOKUP(F89,'2020功能科目'!A:B,2,FALSE)),"",VLOOKUP(F89,'2020功能科目'!A:B,2,FALSE))</f>
        <v>2080801</v>
      </c>
      <c r="F89" s="25" t="s">
        <v>384</v>
      </c>
      <c r="G89" s="26">
        <v>293118</v>
      </c>
      <c r="H89" s="26">
        <v>0</v>
      </c>
    </row>
    <row r="90" spans="1:8">
      <c r="A90" s="24">
        <v>255009</v>
      </c>
      <c r="B90" s="25" t="s">
        <v>8</v>
      </c>
      <c r="C90" s="39" t="str">
        <f t="shared" si="2"/>
        <v>210</v>
      </c>
      <c r="D90" s="39" t="str">
        <f t="shared" si="3"/>
        <v>21011</v>
      </c>
      <c r="E90" s="39">
        <f>IF(ISNA(VLOOKUP(F90,'2020功能科目'!A:B,2,FALSE)),"",VLOOKUP(F90,'2020功能科目'!A:B,2,FALSE))</f>
        <v>2101102</v>
      </c>
      <c r="F90" s="25" t="s">
        <v>385</v>
      </c>
      <c r="G90" s="26">
        <v>9111016.4700000007</v>
      </c>
      <c r="H90" s="26">
        <v>7703405.4500000002</v>
      </c>
    </row>
    <row r="91" spans="1:8">
      <c r="A91" s="24">
        <v>255009</v>
      </c>
      <c r="B91" s="25" t="s">
        <v>8</v>
      </c>
      <c r="C91" s="39" t="str">
        <f t="shared" si="2"/>
        <v>210</v>
      </c>
      <c r="D91" s="39" t="str">
        <f t="shared" si="3"/>
        <v>21011</v>
      </c>
      <c r="E91" s="39">
        <f>IF(ISNA(VLOOKUP(F91,'2020功能科目'!A:B,2,FALSE)),"",VLOOKUP(F91,'2020功能科目'!A:B,2,FALSE))</f>
        <v>2101199</v>
      </c>
      <c r="F91" s="25" t="s">
        <v>386</v>
      </c>
      <c r="G91" s="26">
        <v>502500</v>
      </c>
      <c r="H91" s="26">
        <v>720000</v>
      </c>
    </row>
    <row r="92" spans="1:8">
      <c r="A92" s="24">
        <v>255009</v>
      </c>
      <c r="B92" s="25" t="s">
        <v>8</v>
      </c>
      <c r="C92" s="39" t="str">
        <f t="shared" si="2"/>
        <v>221</v>
      </c>
      <c r="D92" s="39" t="str">
        <f t="shared" si="3"/>
        <v>22102</v>
      </c>
      <c r="E92" s="39">
        <f>IF(ISNA(VLOOKUP(F92,'2020功能科目'!A:B,2,FALSE)),"",VLOOKUP(F92,'2020功能科目'!A:B,2,FALSE))</f>
        <v>2210201</v>
      </c>
      <c r="F92" s="25" t="s">
        <v>387</v>
      </c>
      <c r="G92" s="26">
        <v>9697199.1699999999</v>
      </c>
      <c r="H92" s="26">
        <v>9390835.8000000007</v>
      </c>
    </row>
    <row r="93" spans="1:8">
      <c r="A93" s="24">
        <v>255009</v>
      </c>
      <c r="B93" s="25" t="s">
        <v>8</v>
      </c>
      <c r="C93" s="39" t="str">
        <f t="shared" si="2"/>
        <v>221</v>
      </c>
      <c r="D93" s="39" t="str">
        <f t="shared" si="3"/>
        <v>22102</v>
      </c>
      <c r="E93" s="39">
        <f>IF(ISNA(VLOOKUP(F93,'2020功能科目'!A:B,2,FALSE)),"",VLOOKUP(F93,'2020功能科目'!A:B,2,FALSE))</f>
        <v>2210202</v>
      </c>
      <c r="F93" s="25" t="s">
        <v>388</v>
      </c>
      <c r="G93" s="26">
        <v>762590</v>
      </c>
      <c r="H93" s="26">
        <v>766080</v>
      </c>
    </row>
    <row r="94" spans="1:8">
      <c r="A94" s="24">
        <v>255009</v>
      </c>
      <c r="B94" s="25" t="s">
        <v>8</v>
      </c>
      <c r="C94" s="39" t="str">
        <f t="shared" si="2"/>
        <v>221</v>
      </c>
      <c r="D94" s="39" t="str">
        <f t="shared" si="3"/>
        <v>22102</v>
      </c>
      <c r="E94" s="39">
        <f>IF(ISNA(VLOOKUP(F94,'2020功能科目'!A:B,2,FALSE)),"",VLOOKUP(F94,'2020功能科目'!A:B,2,FALSE))</f>
        <v>2210203</v>
      </c>
      <c r="F94" s="25" t="s">
        <v>389</v>
      </c>
      <c r="G94" s="26">
        <v>10491968</v>
      </c>
      <c r="H94" s="26">
        <v>10359198</v>
      </c>
    </row>
    <row r="95" spans="1:8">
      <c r="A95" s="24">
        <v>255010</v>
      </c>
      <c r="B95" s="25" t="s">
        <v>9</v>
      </c>
      <c r="C95" s="39" t="str">
        <f t="shared" si="2"/>
        <v>205</v>
      </c>
      <c r="D95" s="39" t="str">
        <f t="shared" si="3"/>
        <v>20502</v>
      </c>
      <c r="E95" s="39">
        <f>IF(ISNA(VLOOKUP(F95,'2020功能科目'!A:B,2,FALSE)),"",VLOOKUP(F95,'2020功能科目'!A:B,2,FALSE))</f>
        <v>2050204</v>
      </c>
      <c r="F95" s="25" t="s">
        <v>376</v>
      </c>
      <c r="G95" s="26">
        <v>41571468.560000002</v>
      </c>
      <c r="H95" s="26">
        <v>33047919.75</v>
      </c>
    </row>
    <row r="96" spans="1:8">
      <c r="A96" s="24">
        <v>255010</v>
      </c>
      <c r="B96" s="25" t="s">
        <v>9</v>
      </c>
      <c r="C96" s="39" t="str">
        <f t="shared" si="2"/>
        <v>205</v>
      </c>
      <c r="D96" s="39" t="str">
        <f t="shared" si="3"/>
        <v>20502</v>
      </c>
      <c r="E96" s="39">
        <f>IF(ISNA(VLOOKUP(F96,'2020功能科目'!A:B,2,FALSE)),"",VLOOKUP(F96,'2020功能科目'!A:B,2,FALSE))</f>
        <v>2050299</v>
      </c>
      <c r="F96" s="25" t="s">
        <v>377</v>
      </c>
      <c r="G96" s="26">
        <v>119.75</v>
      </c>
      <c r="H96" s="26">
        <v>0</v>
      </c>
    </row>
    <row r="97" spans="1:8">
      <c r="A97" s="24">
        <v>255010</v>
      </c>
      <c r="B97" s="25" t="s">
        <v>9</v>
      </c>
      <c r="C97" s="39" t="str">
        <f t="shared" si="2"/>
        <v>205</v>
      </c>
      <c r="D97" s="39" t="str">
        <f t="shared" si="3"/>
        <v>20508</v>
      </c>
      <c r="E97" s="39">
        <f>IF(ISNA(VLOOKUP(F97,'2020功能科目'!A:B,2,FALSE)),"",VLOOKUP(F97,'2020功能科目'!A:B,2,FALSE))</f>
        <v>2050803</v>
      </c>
      <c r="F97" s="25" t="s">
        <v>378</v>
      </c>
      <c r="G97" s="26">
        <v>0</v>
      </c>
      <c r="H97" s="26">
        <v>95200</v>
      </c>
    </row>
    <row r="98" spans="1:8">
      <c r="A98" s="24">
        <v>255010</v>
      </c>
      <c r="B98" s="25" t="s">
        <v>9</v>
      </c>
      <c r="C98" s="39" t="str">
        <f t="shared" si="2"/>
        <v>205</v>
      </c>
      <c r="D98" s="39" t="str">
        <f t="shared" si="3"/>
        <v>20509</v>
      </c>
      <c r="E98" s="39">
        <f>IF(ISNA(VLOOKUP(F98,'2020功能科目'!A:B,2,FALSE)),"",VLOOKUP(F98,'2020功能科目'!A:B,2,FALSE))</f>
        <v>2050903</v>
      </c>
      <c r="F98" s="25" t="s">
        <v>379</v>
      </c>
      <c r="G98" s="26">
        <v>3250590.92</v>
      </c>
      <c r="H98" s="26">
        <v>3255000</v>
      </c>
    </row>
    <row r="99" spans="1:8">
      <c r="A99" s="24">
        <v>255010</v>
      </c>
      <c r="B99" s="25" t="s">
        <v>9</v>
      </c>
      <c r="C99" s="39" t="str">
        <f t="shared" si="2"/>
        <v>205</v>
      </c>
      <c r="D99" s="39" t="str">
        <f t="shared" si="3"/>
        <v>20509</v>
      </c>
      <c r="E99" s="39">
        <f>IF(ISNA(VLOOKUP(F99,'2020功能科目'!A:B,2,FALSE)),"",VLOOKUP(F99,'2020功能科目'!A:B,2,FALSE))</f>
        <v>2050904</v>
      </c>
      <c r="F99" s="25" t="s">
        <v>380</v>
      </c>
      <c r="G99" s="26">
        <v>890550</v>
      </c>
      <c r="H99" s="26">
        <v>890550</v>
      </c>
    </row>
    <row r="100" spans="1:8">
      <c r="A100" s="24">
        <v>255010</v>
      </c>
      <c r="B100" s="25" t="s">
        <v>9</v>
      </c>
      <c r="C100" s="39" t="str">
        <f t="shared" si="2"/>
        <v>208</v>
      </c>
      <c r="D100" s="39" t="str">
        <f t="shared" si="3"/>
        <v>20805</v>
      </c>
      <c r="E100" s="39">
        <f>IF(ISNA(VLOOKUP(F100,'2020功能科目'!A:B,2,FALSE)),"",VLOOKUP(F100,'2020功能科目'!A:B,2,FALSE))</f>
        <v>2080502</v>
      </c>
      <c r="F100" s="25" t="s">
        <v>381</v>
      </c>
      <c r="G100" s="26">
        <v>2467953.6</v>
      </c>
      <c r="H100" s="26">
        <v>1792087.6</v>
      </c>
    </row>
    <row r="101" spans="1:8">
      <c r="A101" s="24">
        <v>255010</v>
      </c>
      <c r="B101" s="25" t="s">
        <v>9</v>
      </c>
      <c r="C101" s="39" t="str">
        <f t="shared" si="2"/>
        <v>208</v>
      </c>
      <c r="D101" s="39" t="str">
        <f t="shared" si="3"/>
        <v>20805</v>
      </c>
      <c r="E101" s="39">
        <f>IF(ISNA(VLOOKUP(F101,'2020功能科目'!A:B,2,FALSE)),"",VLOOKUP(F101,'2020功能科目'!A:B,2,FALSE))</f>
        <v>2080505</v>
      </c>
      <c r="F101" s="25" t="s">
        <v>382</v>
      </c>
      <c r="G101" s="26">
        <v>2658630.4</v>
      </c>
      <c r="H101" s="26">
        <v>2991288.17</v>
      </c>
    </row>
    <row r="102" spans="1:8">
      <c r="A102" s="24">
        <v>255010</v>
      </c>
      <c r="B102" s="25" t="s">
        <v>9</v>
      </c>
      <c r="C102" s="39" t="str">
        <f t="shared" si="2"/>
        <v>208</v>
      </c>
      <c r="D102" s="39" t="str">
        <f t="shared" si="3"/>
        <v>20805</v>
      </c>
      <c r="E102" s="39">
        <f>IF(ISNA(VLOOKUP(F102,'2020功能科目'!A:B,2,FALSE)),"",VLOOKUP(F102,'2020功能科目'!A:B,2,FALSE))</f>
        <v>2080506</v>
      </c>
      <c r="F102" s="25" t="s">
        <v>383</v>
      </c>
      <c r="G102" s="26">
        <v>1319135.2</v>
      </c>
      <c r="H102" s="26">
        <v>1495644.09</v>
      </c>
    </row>
    <row r="103" spans="1:8">
      <c r="A103" s="24">
        <v>255010</v>
      </c>
      <c r="B103" s="25" t="s">
        <v>9</v>
      </c>
      <c r="C103" s="39" t="str">
        <f t="shared" si="2"/>
        <v>210</v>
      </c>
      <c r="D103" s="39" t="str">
        <f t="shared" si="3"/>
        <v>21011</v>
      </c>
      <c r="E103" s="39">
        <f>IF(ISNA(VLOOKUP(F103,'2020功能科目'!A:B,2,FALSE)),"",VLOOKUP(F103,'2020功能科目'!A:B,2,FALSE))</f>
        <v>2101102</v>
      </c>
      <c r="F103" s="25" t="s">
        <v>385</v>
      </c>
      <c r="G103" s="26">
        <v>2984278.47</v>
      </c>
      <c r="H103" s="26">
        <v>2430421.64</v>
      </c>
    </row>
    <row r="104" spans="1:8">
      <c r="A104" s="24">
        <v>255010</v>
      </c>
      <c r="B104" s="25" t="s">
        <v>9</v>
      </c>
      <c r="C104" s="39" t="str">
        <f t="shared" si="2"/>
        <v>210</v>
      </c>
      <c r="D104" s="39" t="str">
        <f t="shared" si="3"/>
        <v>21011</v>
      </c>
      <c r="E104" s="39">
        <f>IF(ISNA(VLOOKUP(F104,'2020功能科目'!A:B,2,FALSE)),"",VLOOKUP(F104,'2020功能科目'!A:B,2,FALSE))</f>
        <v>2101199</v>
      </c>
      <c r="F104" s="25" t="s">
        <v>386</v>
      </c>
      <c r="G104" s="26">
        <v>90000</v>
      </c>
      <c r="H104" s="26">
        <v>90000</v>
      </c>
    </row>
    <row r="105" spans="1:8">
      <c r="A105" s="24">
        <v>255010</v>
      </c>
      <c r="B105" s="25" t="s">
        <v>9</v>
      </c>
      <c r="C105" s="39" t="str">
        <f t="shared" si="2"/>
        <v>221</v>
      </c>
      <c r="D105" s="39" t="str">
        <f t="shared" si="3"/>
        <v>22102</v>
      </c>
      <c r="E105" s="39">
        <f>IF(ISNA(VLOOKUP(F105,'2020功能科目'!A:B,2,FALSE)),"",VLOOKUP(F105,'2020功能科目'!A:B,2,FALSE))</f>
        <v>2210201</v>
      </c>
      <c r="F105" s="25" t="s">
        <v>387</v>
      </c>
      <c r="G105" s="26">
        <v>3409368</v>
      </c>
      <c r="H105" s="26">
        <v>2957466.13</v>
      </c>
    </row>
    <row r="106" spans="1:8">
      <c r="A106" s="24">
        <v>255010</v>
      </c>
      <c r="B106" s="25" t="s">
        <v>9</v>
      </c>
      <c r="C106" s="39" t="str">
        <f t="shared" si="2"/>
        <v>221</v>
      </c>
      <c r="D106" s="39" t="str">
        <f t="shared" si="3"/>
        <v>22102</v>
      </c>
      <c r="E106" s="39">
        <f>IF(ISNA(VLOOKUP(F106,'2020功能科目'!A:B,2,FALSE)),"",VLOOKUP(F106,'2020功能科目'!A:B,2,FALSE))</f>
        <v>2210202</v>
      </c>
      <c r="F106" s="25" t="s">
        <v>388</v>
      </c>
      <c r="G106" s="26">
        <v>271060</v>
      </c>
      <c r="H106" s="26">
        <v>271560</v>
      </c>
    </row>
    <row r="107" spans="1:8">
      <c r="A107" s="24">
        <v>255010</v>
      </c>
      <c r="B107" s="25" t="s">
        <v>9</v>
      </c>
      <c r="C107" s="39" t="str">
        <f t="shared" si="2"/>
        <v>221</v>
      </c>
      <c r="D107" s="39" t="str">
        <f t="shared" si="3"/>
        <v>22102</v>
      </c>
      <c r="E107" s="39">
        <f>IF(ISNA(VLOOKUP(F107,'2020功能科目'!A:B,2,FALSE)),"",VLOOKUP(F107,'2020功能科目'!A:B,2,FALSE))</f>
        <v>2210203</v>
      </c>
      <c r="F107" s="25" t="s">
        <v>389</v>
      </c>
      <c r="G107" s="26">
        <v>3352019</v>
      </c>
      <c r="H107" s="26">
        <v>3263772</v>
      </c>
    </row>
    <row r="108" spans="1:8">
      <c r="A108" s="24">
        <v>255012</v>
      </c>
      <c r="B108" s="25" t="s">
        <v>10</v>
      </c>
      <c r="C108" s="39" t="str">
        <f t="shared" si="2"/>
        <v>205</v>
      </c>
      <c r="D108" s="39" t="str">
        <f t="shared" si="3"/>
        <v>20502</v>
      </c>
      <c r="E108" s="39">
        <f>IF(ISNA(VLOOKUP(F108,'2020功能科目'!A:B,2,FALSE)),"",VLOOKUP(F108,'2020功能科目'!A:B,2,FALSE))</f>
        <v>2050204</v>
      </c>
      <c r="F108" s="25" t="s">
        <v>376</v>
      </c>
      <c r="G108" s="26">
        <v>40312745.149999999</v>
      </c>
      <c r="H108" s="26">
        <v>33484005.390000001</v>
      </c>
    </row>
    <row r="109" spans="1:8">
      <c r="A109" s="24">
        <v>255012</v>
      </c>
      <c r="B109" s="25" t="s">
        <v>10</v>
      </c>
      <c r="C109" s="39" t="str">
        <f t="shared" si="2"/>
        <v>205</v>
      </c>
      <c r="D109" s="39" t="str">
        <f t="shared" si="3"/>
        <v>20502</v>
      </c>
      <c r="E109" s="39">
        <f>IF(ISNA(VLOOKUP(F109,'2020功能科目'!A:B,2,FALSE)),"",VLOOKUP(F109,'2020功能科目'!A:B,2,FALSE))</f>
        <v>2050299</v>
      </c>
      <c r="F109" s="25" t="s">
        <v>377</v>
      </c>
      <c r="G109" s="26">
        <v>537.64</v>
      </c>
      <c r="H109" s="26">
        <v>0</v>
      </c>
    </row>
    <row r="110" spans="1:8">
      <c r="A110" s="24">
        <v>255012</v>
      </c>
      <c r="B110" s="25" t="s">
        <v>10</v>
      </c>
      <c r="C110" s="39" t="str">
        <f t="shared" si="2"/>
        <v>205</v>
      </c>
      <c r="D110" s="39" t="str">
        <f t="shared" si="3"/>
        <v>20508</v>
      </c>
      <c r="E110" s="39">
        <f>IF(ISNA(VLOOKUP(F110,'2020功能科目'!A:B,2,FALSE)),"",VLOOKUP(F110,'2020功能科目'!A:B,2,FALSE))</f>
        <v>2050803</v>
      </c>
      <c r="F110" s="25" t="s">
        <v>378</v>
      </c>
      <c r="G110" s="26">
        <v>50000</v>
      </c>
      <c r="H110" s="26">
        <v>106400</v>
      </c>
    </row>
    <row r="111" spans="1:8">
      <c r="A111" s="24">
        <v>255012</v>
      </c>
      <c r="B111" s="25" t="s">
        <v>10</v>
      </c>
      <c r="C111" s="39" t="str">
        <f t="shared" si="2"/>
        <v>205</v>
      </c>
      <c r="D111" s="39" t="str">
        <f t="shared" si="3"/>
        <v>20509</v>
      </c>
      <c r="E111" s="39">
        <f>IF(ISNA(VLOOKUP(F111,'2020功能科目'!A:B,2,FALSE)),"",VLOOKUP(F111,'2020功能科目'!A:B,2,FALSE))</f>
        <v>2050903</v>
      </c>
      <c r="F111" s="25" t="s">
        <v>379</v>
      </c>
      <c r="G111" s="26">
        <v>1793268.17</v>
      </c>
      <c r="H111" s="26">
        <v>1800000</v>
      </c>
    </row>
    <row r="112" spans="1:8">
      <c r="A112" s="24">
        <v>255012</v>
      </c>
      <c r="B112" s="25" t="s">
        <v>10</v>
      </c>
      <c r="C112" s="39" t="str">
        <f t="shared" si="2"/>
        <v>205</v>
      </c>
      <c r="D112" s="39" t="str">
        <f t="shared" si="3"/>
        <v>20509</v>
      </c>
      <c r="E112" s="39">
        <f>IF(ISNA(VLOOKUP(F112,'2020功能科目'!A:B,2,FALSE)),"",VLOOKUP(F112,'2020功能科目'!A:B,2,FALSE))</f>
        <v>2050904</v>
      </c>
      <c r="F112" s="25" t="s">
        <v>380</v>
      </c>
      <c r="G112" s="26">
        <v>478870</v>
      </c>
      <c r="H112" s="26">
        <v>499470</v>
      </c>
    </row>
    <row r="113" spans="1:8">
      <c r="A113" s="24">
        <v>255012</v>
      </c>
      <c r="B113" s="25" t="s">
        <v>10</v>
      </c>
      <c r="C113" s="39" t="str">
        <f t="shared" si="2"/>
        <v>208</v>
      </c>
      <c r="D113" s="39" t="str">
        <f t="shared" si="3"/>
        <v>20805</v>
      </c>
      <c r="E113" s="39">
        <f>IF(ISNA(VLOOKUP(F113,'2020功能科目'!A:B,2,FALSE)),"",VLOOKUP(F113,'2020功能科目'!A:B,2,FALSE))</f>
        <v>2080502</v>
      </c>
      <c r="F113" s="25" t="s">
        <v>381</v>
      </c>
      <c r="G113" s="26">
        <v>2162359.2999999998</v>
      </c>
      <c r="H113" s="26">
        <v>1664722</v>
      </c>
    </row>
    <row r="114" spans="1:8">
      <c r="A114" s="24">
        <v>255012</v>
      </c>
      <c r="B114" s="25" t="s">
        <v>10</v>
      </c>
      <c r="C114" s="39" t="str">
        <f t="shared" si="2"/>
        <v>208</v>
      </c>
      <c r="D114" s="39" t="str">
        <f t="shared" si="3"/>
        <v>20805</v>
      </c>
      <c r="E114" s="39">
        <f>IF(ISNA(VLOOKUP(F114,'2020功能科目'!A:B,2,FALSE)),"",VLOOKUP(F114,'2020功能科目'!A:B,2,FALSE))</f>
        <v>2080505</v>
      </c>
      <c r="F114" s="25" t="s">
        <v>382</v>
      </c>
      <c r="G114" s="26">
        <v>3120027.04</v>
      </c>
      <c r="H114" s="26">
        <v>3296740.16</v>
      </c>
    </row>
    <row r="115" spans="1:8">
      <c r="A115" s="24">
        <v>255012</v>
      </c>
      <c r="B115" s="25" t="s">
        <v>10</v>
      </c>
      <c r="C115" s="39" t="str">
        <f t="shared" si="2"/>
        <v>208</v>
      </c>
      <c r="D115" s="39" t="str">
        <f t="shared" si="3"/>
        <v>20805</v>
      </c>
      <c r="E115" s="39">
        <f>IF(ISNA(VLOOKUP(F115,'2020功能科目'!A:B,2,FALSE)),"",VLOOKUP(F115,'2020功能科目'!A:B,2,FALSE))</f>
        <v>2080506</v>
      </c>
      <c r="F115" s="25" t="s">
        <v>383</v>
      </c>
      <c r="G115" s="26">
        <v>1560013.52</v>
      </c>
      <c r="H115" s="26">
        <v>1648370.08</v>
      </c>
    </row>
    <row r="116" spans="1:8">
      <c r="A116" s="24">
        <v>255012</v>
      </c>
      <c r="B116" s="25" t="s">
        <v>10</v>
      </c>
      <c r="C116" s="39" t="str">
        <f t="shared" si="2"/>
        <v>210</v>
      </c>
      <c r="D116" s="39" t="str">
        <f t="shared" si="3"/>
        <v>21011</v>
      </c>
      <c r="E116" s="39">
        <f>IF(ISNA(VLOOKUP(F116,'2020功能科目'!A:B,2,FALSE)),"",VLOOKUP(F116,'2020功能科目'!A:B,2,FALSE))</f>
        <v>2101102</v>
      </c>
      <c r="F116" s="25" t="s">
        <v>385</v>
      </c>
      <c r="G116" s="26">
        <v>2921969.38</v>
      </c>
      <c r="H116" s="26">
        <v>2678601.38</v>
      </c>
    </row>
    <row r="117" spans="1:8">
      <c r="A117" s="24">
        <v>255012</v>
      </c>
      <c r="B117" s="25" t="s">
        <v>10</v>
      </c>
      <c r="C117" s="39" t="str">
        <f t="shared" si="2"/>
        <v>210</v>
      </c>
      <c r="D117" s="39" t="str">
        <f t="shared" si="3"/>
        <v>21011</v>
      </c>
      <c r="E117" s="39">
        <f>IF(ISNA(VLOOKUP(F117,'2020功能科目'!A:B,2,FALSE)),"",VLOOKUP(F117,'2020功能科目'!A:B,2,FALSE))</f>
        <v>2101199</v>
      </c>
      <c r="F117" s="25" t="s">
        <v>386</v>
      </c>
      <c r="G117" s="26">
        <v>90000</v>
      </c>
      <c r="H117" s="26">
        <v>90000</v>
      </c>
    </row>
    <row r="118" spans="1:8">
      <c r="A118" s="24">
        <v>255012</v>
      </c>
      <c r="B118" s="25" t="s">
        <v>10</v>
      </c>
      <c r="C118" s="39" t="str">
        <f t="shared" si="2"/>
        <v>221</v>
      </c>
      <c r="D118" s="39" t="str">
        <f t="shared" si="3"/>
        <v>22102</v>
      </c>
      <c r="E118" s="39">
        <f>IF(ISNA(VLOOKUP(F118,'2020功能科目'!A:B,2,FALSE)),"",VLOOKUP(F118,'2020功能科目'!A:B,2,FALSE))</f>
        <v>2210201</v>
      </c>
      <c r="F118" s="25" t="s">
        <v>387</v>
      </c>
      <c r="G118" s="26">
        <v>3425726</v>
      </c>
      <c r="H118" s="26">
        <v>3270555.12</v>
      </c>
    </row>
    <row r="119" spans="1:8">
      <c r="A119" s="24">
        <v>255012</v>
      </c>
      <c r="B119" s="25" t="s">
        <v>10</v>
      </c>
      <c r="C119" s="39" t="str">
        <f t="shared" si="2"/>
        <v>221</v>
      </c>
      <c r="D119" s="39" t="str">
        <f t="shared" si="3"/>
        <v>22102</v>
      </c>
      <c r="E119" s="39">
        <f>IF(ISNA(VLOOKUP(F119,'2020功能科目'!A:B,2,FALSE)),"",VLOOKUP(F119,'2020功能科目'!A:B,2,FALSE))</f>
        <v>2210202</v>
      </c>
      <c r="F119" s="25" t="s">
        <v>388</v>
      </c>
      <c r="G119" s="26">
        <v>271260</v>
      </c>
      <c r="H119" s="26">
        <v>273840</v>
      </c>
    </row>
    <row r="120" spans="1:8">
      <c r="A120" s="24">
        <v>255012</v>
      </c>
      <c r="B120" s="25" t="s">
        <v>10</v>
      </c>
      <c r="C120" s="39" t="str">
        <f t="shared" si="2"/>
        <v>221</v>
      </c>
      <c r="D120" s="39" t="str">
        <f t="shared" si="3"/>
        <v>22102</v>
      </c>
      <c r="E120" s="39">
        <f>IF(ISNA(VLOOKUP(F120,'2020功能科目'!A:B,2,FALSE)),"",VLOOKUP(F120,'2020功能科目'!A:B,2,FALSE))</f>
        <v>2210203</v>
      </c>
      <c r="F120" s="25" t="s">
        <v>389</v>
      </c>
      <c r="G120" s="26">
        <v>3296799</v>
      </c>
      <c r="H120" s="26">
        <v>3309192</v>
      </c>
    </row>
    <row r="121" spans="1:8">
      <c r="A121" s="24">
        <v>255013</v>
      </c>
      <c r="B121" s="25" t="s">
        <v>11</v>
      </c>
      <c r="C121" s="39" t="str">
        <f t="shared" si="2"/>
        <v>205</v>
      </c>
      <c r="D121" s="39" t="str">
        <f t="shared" si="3"/>
        <v>20502</v>
      </c>
      <c r="E121" s="39">
        <f>IF(ISNA(VLOOKUP(F121,'2020功能科目'!A:B,2,FALSE)),"",VLOOKUP(F121,'2020功能科目'!A:B,2,FALSE))</f>
        <v>2050204</v>
      </c>
      <c r="F121" s="25" t="s">
        <v>376</v>
      </c>
      <c r="G121" s="26">
        <v>30448629.859999999</v>
      </c>
      <c r="H121" s="26">
        <v>25412444.559999999</v>
      </c>
    </row>
    <row r="122" spans="1:8">
      <c r="A122" s="24">
        <v>255013</v>
      </c>
      <c r="B122" s="25" t="s">
        <v>11</v>
      </c>
      <c r="C122" s="39" t="str">
        <f t="shared" si="2"/>
        <v>205</v>
      </c>
      <c r="D122" s="39" t="str">
        <f t="shared" si="3"/>
        <v>20508</v>
      </c>
      <c r="E122" s="39">
        <f>IF(ISNA(VLOOKUP(F122,'2020功能科目'!A:B,2,FALSE)),"",VLOOKUP(F122,'2020功能科目'!A:B,2,FALSE))</f>
        <v>2050803</v>
      </c>
      <c r="F122" s="25" t="s">
        <v>378</v>
      </c>
      <c r="G122" s="26">
        <v>42000</v>
      </c>
      <c r="H122" s="26">
        <v>84000</v>
      </c>
    </row>
    <row r="123" spans="1:8">
      <c r="A123" s="24">
        <v>255013</v>
      </c>
      <c r="B123" s="25" t="s">
        <v>11</v>
      </c>
      <c r="C123" s="39" t="str">
        <f t="shared" si="2"/>
        <v>205</v>
      </c>
      <c r="D123" s="39" t="str">
        <f t="shared" si="3"/>
        <v>20509</v>
      </c>
      <c r="E123" s="39">
        <f>IF(ISNA(VLOOKUP(F123,'2020功能科目'!A:B,2,FALSE)),"",VLOOKUP(F123,'2020功能科目'!A:B,2,FALSE))</f>
        <v>2050903</v>
      </c>
      <c r="F123" s="25" t="s">
        <v>379</v>
      </c>
      <c r="G123" s="26">
        <v>989300</v>
      </c>
      <c r="H123" s="26">
        <v>1005000</v>
      </c>
    </row>
    <row r="124" spans="1:8">
      <c r="A124" s="24">
        <v>255013</v>
      </c>
      <c r="B124" s="25" t="s">
        <v>11</v>
      </c>
      <c r="C124" s="39" t="str">
        <f t="shared" si="2"/>
        <v>205</v>
      </c>
      <c r="D124" s="39" t="str">
        <f t="shared" si="3"/>
        <v>20509</v>
      </c>
      <c r="E124" s="39">
        <f>IF(ISNA(VLOOKUP(F124,'2020功能科目'!A:B,2,FALSE)),"",VLOOKUP(F124,'2020功能科目'!A:B,2,FALSE))</f>
        <v>2050904</v>
      </c>
      <c r="F124" s="25" t="s">
        <v>380</v>
      </c>
      <c r="G124" s="26">
        <v>408926</v>
      </c>
      <c r="H124" s="26">
        <v>440300</v>
      </c>
    </row>
    <row r="125" spans="1:8">
      <c r="A125" s="24">
        <v>255013</v>
      </c>
      <c r="B125" s="25" t="s">
        <v>11</v>
      </c>
      <c r="C125" s="39" t="str">
        <f t="shared" si="2"/>
        <v>208</v>
      </c>
      <c r="D125" s="39" t="str">
        <f t="shared" si="3"/>
        <v>20805</v>
      </c>
      <c r="E125" s="39">
        <f>IF(ISNA(VLOOKUP(F125,'2020功能科目'!A:B,2,FALSE)),"",VLOOKUP(F125,'2020功能科目'!A:B,2,FALSE))</f>
        <v>2080502</v>
      </c>
      <c r="F125" s="25" t="s">
        <v>381</v>
      </c>
      <c r="G125" s="26">
        <v>2723793.23</v>
      </c>
      <c r="H125" s="26">
        <v>2364267.7999999998</v>
      </c>
    </row>
    <row r="126" spans="1:8">
      <c r="A126" s="24">
        <v>255013</v>
      </c>
      <c r="B126" s="25" t="s">
        <v>11</v>
      </c>
      <c r="C126" s="39" t="str">
        <f t="shared" si="2"/>
        <v>208</v>
      </c>
      <c r="D126" s="39" t="str">
        <f t="shared" si="3"/>
        <v>20805</v>
      </c>
      <c r="E126" s="39">
        <f>IF(ISNA(VLOOKUP(F126,'2020功能科目'!A:B,2,FALSE)),"",VLOOKUP(F126,'2020功能科目'!A:B,2,FALSE))</f>
        <v>2080505</v>
      </c>
      <c r="F126" s="25" t="s">
        <v>382</v>
      </c>
      <c r="G126" s="26">
        <v>2219541.3199999998</v>
      </c>
      <c r="H126" s="26">
        <v>2542644.16</v>
      </c>
    </row>
    <row r="127" spans="1:8">
      <c r="A127" s="24">
        <v>255013</v>
      </c>
      <c r="B127" s="25" t="s">
        <v>11</v>
      </c>
      <c r="C127" s="39" t="str">
        <f t="shared" si="2"/>
        <v>208</v>
      </c>
      <c r="D127" s="39" t="str">
        <f t="shared" si="3"/>
        <v>20805</v>
      </c>
      <c r="E127" s="39">
        <f>IF(ISNA(VLOOKUP(F127,'2020功能科目'!A:B,2,FALSE)),"",VLOOKUP(F127,'2020功能科目'!A:B,2,FALSE))</f>
        <v>2080506</v>
      </c>
      <c r="F127" s="25" t="s">
        <v>383</v>
      </c>
      <c r="G127" s="26">
        <v>1102259.3600000001</v>
      </c>
      <c r="H127" s="26">
        <v>1271322.08</v>
      </c>
    </row>
    <row r="128" spans="1:8">
      <c r="A128" s="24">
        <v>255013</v>
      </c>
      <c r="B128" s="25" t="s">
        <v>11</v>
      </c>
      <c r="C128" s="39" t="str">
        <f t="shared" si="2"/>
        <v>210</v>
      </c>
      <c r="D128" s="39" t="str">
        <f t="shared" si="3"/>
        <v>21011</v>
      </c>
      <c r="E128" s="39">
        <f>IF(ISNA(VLOOKUP(F128,'2020功能科目'!A:B,2,FALSE)),"",VLOOKUP(F128,'2020功能科目'!A:B,2,FALSE))</f>
        <v>2101102</v>
      </c>
      <c r="F128" s="25" t="s">
        <v>385</v>
      </c>
      <c r="G128" s="26">
        <v>2195050.12</v>
      </c>
      <c r="H128" s="26">
        <v>2065898.38</v>
      </c>
    </row>
    <row r="129" spans="1:8">
      <c r="A129" s="24">
        <v>255013</v>
      </c>
      <c r="B129" s="25" t="s">
        <v>11</v>
      </c>
      <c r="C129" s="39" t="str">
        <f t="shared" si="2"/>
        <v>210</v>
      </c>
      <c r="D129" s="39" t="str">
        <f t="shared" si="3"/>
        <v>21011</v>
      </c>
      <c r="E129" s="39">
        <f>IF(ISNA(VLOOKUP(F129,'2020功能科目'!A:B,2,FALSE)),"",VLOOKUP(F129,'2020功能科目'!A:B,2,FALSE))</f>
        <v>2101199</v>
      </c>
      <c r="F129" s="25" t="s">
        <v>386</v>
      </c>
      <c r="G129" s="26">
        <v>270000</v>
      </c>
      <c r="H129" s="26">
        <v>270000</v>
      </c>
    </row>
    <row r="130" spans="1:8">
      <c r="A130" s="24">
        <v>255013</v>
      </c>
      <c r="B130" s="25" t="s">
        <v>11</v>
      </c>
      <c r="C130" s="39" t="str">
        <f t="shared" si="2"/>
        <v>221</v>
      </c>
      <c r="D130" s="39" t="str">
        <f t="shared" si="3"/>
        <v>22102</v>
      </c>
      <c r="E130" s="39">
        <f>IF(ISNA(VLOOKUP(F130,'2020功能科目'!A:B,2,FALSE)),"",VLOOKUP(F130,'2020功能科目'!A:B,2,FALSE))</f>
        <v>2210201</v>
      </c>
      <c r="F130" s="25" t="s">
        <v>387</v>
      </c>
      <c r="G130" s="26">
        <v>2894242</v>
      </c>
      <c r="H130" s="26">
        <v>2536983.12</v>
      </c>
    </row>
    <row r="131" spans="1:8">
      <c r="A131" s="24">
        <v>255013</v>
      </c>
      <c r="B131" s="25" t="s">
        <v>11</v>
      </c>
      <c r="C131" s="39" t="str">
        <f t="shared" ref="C131:C194" si="4">LEFT(D131,3)</f>
        <v>221</v>
      </c>
      <c r="D131" s="39" t="str">
        <f t="shared" ref="D131:D194" si="5">LEFT(E131,5)</f>
        <v>22102</v>
      </c>
      <c r="E131" s="39">
        <f>IF(ISNA(VLOOKUP(F131,'2020功能科目'!A:B,2,FALSE)),"",VLOOKUP(F131,'2020功能科目'!A:B,2,FALSE))</f>
        <v>2210202</v>
      </c>
      <c r="F131" s="25" t="s">
        <v>388</v>
      </c>
      <c r="G131" s="26">
        <v>258440</v>
      </c>
      <c r="H131" s="26">
        <v>263280</v>
      </c>
    </row>
    <row r="132" spans="1:8">
      <c r="A132" s="24">
        <v>255013</v>
      </c>
      <c r="B132" s="25" t="s">
        <v>11</v>
      </c>
      <c r="C132" s="39" t="str">
        <f t="shared" si="4"/>
        <v>221</v>
      </c>
      <c r="D132" s="39" t="str">
        <f t="shared" si="5"/>
        <v>22102</v>
      </c>
      <c r="E132" s="39">
        <f>IF(ISNA(VLOOKUP(F132,'2020功能科目'!A:B,2,FALSE)),"",VLOOKUP(F132,'2020功能科目'!A:B,2,FALSE))</f>
        <v>2210203</v>
      </c>
      <c r="F132" s="25" t="s">
        <v>389</v>
      </c>
      <c r="G132" s="26">
        <v>2552733</v>
      </c>
      <c r="H132" s="26">
        <v>2543640</v>
      </c>
    </row>
    <row r="133" spans="1:8">
      <c r="A133" s="24">
        <v>255015</v>
      </c>
      <c r="B133" s="25" t="s">
        <v>12</v>
      </c>
      <c r="C133" s="39" t="str">
        <f t="shared" si="4"/>
        <v>205</v>
      </c>
      <c r="D133" s="39" t="str">
        <f t="shared" si="5"/>
        <v>20502</v>
      </c>
      <c r="E133" s="39">
        <f>IF(ISNA(VLOOKUP(F133,'2020功能科目'!A:B,2,FALSE)),"",VLOOKUP(F133,'2020功能科目'!A:B,2,FALSE))</f>
        <v>2050204</v>
      </c>
      <c r="F133" s="25" t="s">
        <v>376</v>
      </c>
      <c r="G133" s="26">
        <v>45046360.259999998</v>
      </c>
      <c r="H133" s="26">
        <v>35380488.119999997</v>
      </c>
    </row>
    <row r="134" spans="1:8">
      <c r="A134" s="24">
        <v>255015</v>
      </c>
      <c r="B134" s="25" t="s">
        <v>12</v>
      </c>
      <c r="C134" s="39" t="str">
        <f t="shared" si="4"/>
        <v>205</v>
      </c>
      <c r="D134" s="39" t="str">
        <f t="shared" si="5"/>
        <v>20508</v>
      </c>
      <c r="E134" s="39">
        <f>IF(ISNA(VLOOKUP(F134,'2020功能科目'!A:B,2,FALSE)),"",VLOOKUP(F134,'2020功能科目'!A:B,2,FALSE))</f>
        <v>2050803</v>
      </c>
      <c r="F134" s="25" t="s">
        <v>378</v>
      </c>
      <c r="G134" s="26">
        <v>56400</v>
      </c>
      <c r="H134" s="26">
        <v>112800</v>
      </c>
    </row>
    <row r="135" spans="1:8">
      <c r="A135" s="24">
        <v>255015</v>
      </c>
      <c r="B135" s="25" t="s">
        <v>12</v>
      </c>
      <c r="C135" s="39" t="str">
        <f t="shared" si="4"/>
        <v>205</v>
      </c>
      <c r="D135" s="39" t="str">
        <f t="shared" si="5"/>
        <v>20509</v>
      </c>
      <c r="E135" s="39">
        <f>IF(ISNA(VLOOKUP(F135,'2020功能科目'!A:B,2,FALSE)),"",VLOOKUP(F135,'2020功能科目'!A:B,2,FALSE))</f>
        <v>2050903</v>
      </c>
      <c r="F135" s="25" t="s">
        <v>379</v>
      </c>
      <c r="G135" s="26">
        <v>708945.59</v>
      </c>
      <c r="H135" s="26">
        <v>710000</v>
      </c>
    </row>
    <row r="136" spans="1:8">
      <c r="A136" s="24">
        <v>255015</v>
      </c>
      <c r="B136" s="25" t="s">
        <v>12</v>
      </c>
      <c r="C136" s="39" t="str">
        <f t="shared" si="4"/>
        <v>205</v>
      </c>
      <c r="D136" s="39" t="str">
        <f t="shared" si="5"/>
        <v>20509</v>
      </c>
      <c r="E136" s="39">
        <f>IF(ISNA(VLOOKUP(F136,'2020功能科目'!A:B,2,FALSE)),"",VLOOKUP(F136,'2020功能科目'!A:B,2,FALSE))</f>
        <v>2050904</v>
      </c>
      <c r="F136" s="25" t="s">
        <v>380</v>
      </c>
      <c r="G136" s="26">
        <v>400000</v>
      </c>
      <c r="H136" s="26">
        <v>410000</v>
      </c>
    </row>
    <row r="137" spans="1:8">
      <c r="A137" s="24">
        <v>255015</v>
      </c>
      <c r="B137" s="25" t="s">
        <v>12</v>
      </c>
      <c r="C137" s="39" t="str">
        <f t="shared" si="4"/>
        <v>208</v>
      </c>
      <c r="D137" s="39" t="str">
        <f t="shared" si="5"/>
        <v>20805</v>
      </c>
      <c r="E137" s="39">
        <f>IF(ISNA(VLOOKUP(F137,'2020功能科目'!A:B,2,FALSE)),"",VLOOKUP(F137,'2020功能科目'!A:B,2,FALSE))</f>
        <v>2080502</v>
      </c>
      <c r="F137" s="25" t="s">
        <v>381</v>
      </c>
      <c r="G137" s="26">
        <v>3732772.56</v>
      </c>
      <c r="H137" s="26">
        <v>3453462.56</v>
      </c>
    </row>
    <row r="138" spans="1:8">
      <c r="A138" s="24">
        <v>255015</v>
      </c>
      <c r="B138" s="25" t="s">
        <v>12</v>
      </c>
      <c r="C138" s="39" t="str">
        <f t="shared" si="4"/>
        <v>208</v>
      </c>
      <c r="D138" s="39" t="str">
        <f t="shared" si="5"/>
        <v>20805</v>
      </c>
      <c r="E138" s="39">
        <f>IF(ISNA(VLOOKUP(F138,'2020功能科目'!A:B,2,FALSE)),"",VLOOKUP(F138,'2020功能科目'!A:B,2,FALSE))</f>
        <v>2080505</v>
      </c>
      <c r="F138" s="25" t="s">
        <v>382</v>
      </c>
      <c r="G138" s="26">
        <v>3274095.25</v>
      </c>
      <c r="H138" s="26">
        <v>3518125.76</v>
      </c>
    </row>
    <row r="139" spans="1:8">
      <c r="A139" s="24">
        <v>255015</v>
      </c>
      <c r="B139" s="25" t="s">
        <v>12</v>
      </c>
      <c r="C139" s="39" t="str">
        <f t="shared" si="4"/>
        <v>208</v>
      </c>
      <c r="D139" s="39" t="str">
        <f t="shared" si="5"/>
        <v>20805</v>
      </c>
      <c r="E139" s="39">
        <f>IF(ISNA(VLOOKUP(F139,'2020功能科目'!A:B,2,FALSE)),"",VLOOKUP(F139,'2020功能科目'!A:B,2,FALSE))</f>
        <v>2080506</v>
      </c>
      <c r="F139" s="25" t="s">
        <v>383</v>
      </c>
      <c r="G139" s="26">
        <v>1634303.88</v>
      </c>
      <c r="H139" s="26">
        <v>1759062.88</v>
      </c>
    </row>
    <row r="140" spans="1:8">
      <c r="A140" s="24">
        <v>255015</v>
      </c>
      <c r="B140" s="25" t="s">
        <v>12</v>
      </c>
      <c r="C140" s="39" t="str">
        <f t="shared" si="4"/>
        <v>210</v>
      </c>
      <c r="D140" s="39" t="str">
        <f t="shared" si="5"/>
        <v>21011</v>
      </c>
      <c r="E140" s="39">
        <f>IF(ISNA(VLOOKUP(F140,'2020功能科目'!A:B,2,FALSE)),"",VLOOKUP(F140,'2020功能科目'!A:B,2,FALSE))</f>
        <v>2101102</v>
      </c>
      <c r="F140" s="25" t="s">
        <v>385</v>
      </c>
      <c r="G140" s="26">
        <v>3419659.97</v>
      </c>
      <c r="H140" s="26">
        <v>2858477.18</v>
      </c>
    </row>
    <row r="141" spans="1:8">
      <c r="A141" s="24">
        <v>255015</v>
      </c>
      <c r="B141" s="25" t="s">
        <v>12</v>
      </c>
      <c r="C141" s="39" t="str">
        <f t="shared" si="4"/>
        <v>210</v>
      </c>
      <c r="D141" s="39" t="str">
        <f t="shared" si="5"/>
        <v>21011</v>
      </c>
      <c r="E141" s="39">
        <f>IF(ISNA(VLOOKUP(F141,'2020功能科目'!A:B,2,FALSE)),"",VLOOKUP(F141,'2020功能科目'!A:B,2,FALSE))</f>
        <v>2101199</v>
      </c>
      <c r="F141" s="25" t="s">
        <v>386</v>
      </c>
      <c r="G141" s="26">
        <v>630000</v>
      </c>
      <c r="H141" s="26">
        <v>630000</v>
      </c>
    </row>
    <row r="142" spans="1:8">
      <c r="A142" s="24">
        <v>255015</v>
      </c>
      <c r="B142" s="25" t="s">
        <v>12</v>
      </c>
      <c r="C142" s="39" t="str">
        <f t="shared" si="4"/>
        <v>221</v>
      </c>
      <c r="D142" s="39" t="str">
        <f t="shared" si="5"/>
        <v>22102</v>
      </c>
      <c r="E142" s="39">
        <f>IF(ISNA(VLOOKUP(F142,'2020功能科目'!A:B,2,FALSE)),"",VLOOKUP(F142,'2020功能科目'!A:B,2,FALSE))</f>
        <v>2210201</v>
      </c>
      <c r="F142" s="25" t="s">
        <v>387</v>
      </c>
      <c r="G142" s="26">
        <v>4241288</v>
      </c>
      <c r="H142" s="26">
        <v>3484594.32</v>
      </c>
    </row>
    <row r="143" spans="1:8">
      <c r="A143" s="24">
        <v>255015</v>
      </c>
      <c r="B143" s="25" t="s">
        <v>12</v>
      </c>
      <c r="C143" s="39" t="str">
        <f t="shared" si="4"/>
        <v>221</v>
      </c>
      <c r="D143" s="39" t="str">
        <f t="shared" si="5"/>
        <v>22102</v>
      </c>
      <c r="E143" s="39">
        <f>IF(ISNA(VLOOKUP(F143,'2020功能科目'!A:B,2,FALSE)),"",VLOOKUP(F143,'2020功能科目'!A:B,2,FALSE))</f>
        <v>2210202</v>
      </c>
      <c r="F143" s="25" t="s">
        <v>388</v>
      </c>
      <c r="G143" s="26">
        <v>330980</v>
      </c>
      <c r="H143" s="26">
        <v>340320</v>
      </c>
    </row>
    <row r="144" spans="1:8">
      <c r="A144" s="24">
        <v>255015</v>
      </c>
      <c r="B144" s="25" t="s">
        <v>12</v>
      </c>
      <c r="C144" s="39" t="str">
        <f t="shared" si="4"/>
        <v>221</v>
      </c>
      <c r="D144" s="39" t="str">
        <f t="shared" si="5"/>
        <v>22102</v>
      </c>
      <c r="E144" s="39">
        <f>IF(ISNA(VLOOKUP(F144,'2020功能科目'!A:B,2,FALSE)),"",VLOOKUP(F144,'2020功能科目'!A:B,2,FALSE))</f>
        <v>2210203</v>
      </c>
      <c r="F144" s="25" t="s">
        <v>389</v>
      </c>
      <c r="G144" s="26">
        <v>3682499</v>
      </c>
      <c r="H144" s="26">
        <v>3655644</v>
      </c>
    </row>
    <row r="145" spans="1:8">
      <c r="A145" s="24">
        <v>255016</v>
      </c>
      <c r="B145" s="25" t="s">
        <v>13</v>
      </c>
      <c r="C145" s="39" t="str">
        <f t="shared" si="4"/>
        <v>205</v>
      </c>
      <c r="D145" s="39" t="str">
        <f t="shared" si="5"/>
        <v>20502</v>
      </c>
      <c r="E145" s="39">
        <f>IF(ISNA(VLOOKUP(F145,'2020功能科目'!A:B,2,FALSE)),"",VLOOKUP(F145,'2020功能科目'!A:B,2,FALSE))</f>
        <v>2050204</v>
      </c>
      <c r="F145" s="25" t="s">
        <v>376</v>
      </c>
      <c r="G145" s="26">
        <v>47246105.899999999</v>
      </c>
      <c r="H145" s="26">
        <v>39172065.210000001</v>
      </c>
    </row>
    <row r="146" spans="1:8">
      <c r="A146" s="24">
        <v>255016</v>
      </c>
      <c r="B146" s="25" t="s">
        <v>13</v>
      </c>
      <c r="C146" s="39" t="str">
        <f t="shared" si="4"/>
        <v>205</v>
      </c>
      <c r="D146" s="39" t="str">
        <f t="shared" si="5"/>
        <v>20509</v>
      </c>
      <c r="E146" s="39">
        <f>IF(ISNA(VLOOKUP(F146,'2020功能科目'!A:B,2,FALSE)),"",VLOOKUP(F146,'2020功能科目'!A:B,2,FALSE))</f>
        <v>2050904</v>
      </c>
      <c r="F146" s="25" t="s">
        <v>380</v>
      </c>
      <c r="G146" s="26">
        <v>505783</v>
      </c>
      <c r="H146" s="26">
        <v>505783</v>
      </c>
    </row>
    <row r="147" spans="1:8">
      <c r="A147" s="24">
        <v>255016</v>
      </c>
      <c r="B147" s="25" t="s">
        <v>13</v>
      </c>
      <c r="C147" s="39" t="str">
        <f t="shared" si="4"/>
        <v>208</v>
      </c>
      <c r="D147" s="39" t="str">
        <f t="shared" si="5"/>
        <v>20805</v>
      </c>
      <c r="E147" s="39">
        <f>IF(ISNA(VLOOKUP(F147,'2020功能科目'!A:B,2,FALSE)),"",VLOOKUP(F147,'2020功能科目'!A:B,2,FALSE))</f>
        <v>2080502</v>
      </c>
      <c r="F147" s="25" t="s">
        <v>381</v>
      </c>
      <c r="G147" s="26">
        <v>6301983.5</v>
      </c>
      <c r="H147" s="26">
        <v>4434560</v>
      </c>
    </row>
    <row r="148" spans="1:8">
      <c r="A148" s="24">
        <v>255016</v>
      </c>
      <c r="B148" s="25" t="s">
        <v>13</v>
      </c>
      <c r="C148" s="39" t="str">
        <f t="shared" si="4"/>
        <v>208</v>
      </c>
      <c r="D148" s="39" t="str">
        <f t="shared" si="5"/>
        <v>20805</v>
      </c>
      <c r="E148" s="39">
        <f>IF(ISNA(VLOOKUP(F148,'2020功能科目'!A:B,2,FALSE)),"",VLOOKUP(F148,'2020功能科目'!A:B,2,FALSE))</f>
        <v>2080505</v>
      </c>
      <c r="F148" s="25" t="s">
        <v>382</v>
      </c>
      <c r="G148" s="26">
        <v>3381831.52</v>
      </c>
      <c r="H148" s="26">
        <v>3812575.04</v>
      </c>
    </row>
    <row r="149" spans="1:8">
      <c r="A149" s="24">
        <v>255016</v>
      </c>
      <c r="B149" s="25" t="s">
        <v>13</v>
      </c>
      <c r="C149" s="39" t="str">
        <f t="shared" si="4"/>
        <v>208</v>
      </c>
      <c r="D149" s="39" t="str">
        <f t="shared" si="5"/>
        <v>20805</v>
      </c>
      <c r="E149" s="39">
        <f>IF(ISNA(VLOOKUP(F149,'2020功能科目'!A:B,2,FALSE)),"",VLOOKUP(F149,'2020功能科目'!A:B,2,FALSE))</f>
        <v>2080506</v>
      </c>
      <c r="F149" s="25" t="s">
        <v>383</v>
      </c>
      <c r="G149" s="26">
        <v>1690915.76</v>
      </c>
      <c r="H149" s="26">
        <v>1906287.52</v>
      </c>
    </row>
    <row r="150" spans="1:8">
      <c r="A150" s="24">
        <v>255016</v>
      </c>
      <c r="B150" s="25" t="s">
        <v>13</v>
      </c>
      <c r="C150" s="39" t="str">
        <f t="shared" si="4"/>
        <v>210</v>
      </c>
      <c r="D150" s="39" t="str">
        <f t="shared" si="5"/>
        <v>21011</v>
      </c>
      <c r="E150" s="39">
        <f>IF(ISNA(VLOOKUP(F150,'2020功能科目'!A:B,2,FALSE)),"",VLOOKUP(F150,'2020功能科目'!A:B,2,FALSE))</f>
        <v>2101102</v>
      </c>
      <c r="F150" s="25" t="s">
        <v>385</v>
      </c>
      <c r="G150" s="26">
        <v>3578927.44</v>
      </c>
      <c r="H150" s="26">
        <v>3097717.22</v>
      </c>
    </row>
    <row r="151" spans="1:8">
      <c r="A151" s="24">
        <v>255016</v>
      </c>
      <c r="B151" s="25" t="s">
        <v>13</v>
      </c>
      <c r="C151" s="39" t="str">
        <f t="shared" si="4"/>
        <v>210</v>
      </c>
      <c r="D151" s="39" t="str">
        <f t="shared" si="5"/>
        <v>21011</v>
      </c>
      <c r="E151" s="39">
        <f>IF(ISNA(VLOOKUP(F151,'2020功能科目'!A:B,2,FALSE)),"",VLOOKUP(F151,'2020功能科目'!A:B,2,FALSE))</f>
        <v>2101199</v>
      </c>
      <c r="F151" s="25" t="s">
        <v>386</v>
      </c>
      <c r="G151" s="26">
        <v>540000</v>
      </c>
      <c r="H151" s="26">
        <v>540000</v>
      </c>
    </row>
    <row r="152" spans="1:8">
      <c r="A152" s="24">
        <v>255016</v>
      </c>
      <c r="B152" s="25" t="s">
        <v>13</v>
      </c>
      <c r="C152" s="39" t="str">
        <f t="shared" si="4"/>
        <v>221</v>
      </c>
      <c r="D152" s="39" t="str">
        <f t="shared" si="5"/>
        <v>22102</v>
      </c>
      <c r="E152" s="39">
        <f>IF(ISNA(VLOOKUP(F152,'2020功能科目'!A:B,2,FALSE)),"",VLOOKUP(F152,'2020功能科目'!A:B,2,FALSE))</f>
        <v>2210201</v>
      </c>
      <c r="F152" s="25" t="s">
        <v>387</v>
      </c>
      <c r="G152" s="26">
        <v>4478908</v>
      </c>
      <c r="H152" s="26">
        <v>3765431.28</v>
      </c>
    </row>
    <row r="153" spans="1:8">
      <c r="A153" s="24">
        <v>255016</v>
      </c>
      <c r="B153" s="25" t="s">
        <v>13</v>
      </c>
      <c r="C153" s="39" t="str">
        <f t="shared" si="4"/>
        <v>221</v>
      </c>
      <c r="D153" s="39" t="str">
        <f t="shared" si="5"/>
        <v>22102</v>
      </c>
      <c r="E153" s="39">
        <f>IF(ISNA(VLOOKUP(F153,'2020功能科目'!A:B,2,FALSE)),"",VLOOKUP(F153,'2020功能科目'!A:B,2,FALSE))</f>
        <v>2210202</v>
      </c>
      <c r="F153" s="25" t="s">
        <v>388</v>
      </c>
      <c r="G153" s="26">
        <v>455020</v>
      </c>
      <c r="H153" s="26">
        <v>461160</v>
      </c>
    </row>
    <row r="154" spans="1:8">
      <c r="A154" s="24">
        <v>255016</v>
      </c>
      <c r="B154" s="25" t="s">
        <v>13</v>
      </c>
      <c r="C154" s="39" t="str">
        <f t="shared" si="4"/>
        <v>221</v>
      </c>
      <c r="D154" s="39" t="str">
        <f t="shared" si="5"/>
        <v>22102</v>
      </c>
      <c r="E154" s="39">
        <f>IF(ISNA(VLOOKUP(F154,'2020功能科目'!A:B,2,FALSE)),"",VLOOKUP(F154,'2020功能科目'!A:B,2,FALSE))</f>
        <v>2210203</v>
      </c>
      <c r="F154" s="25" t="s">
        <v>389</v>
      </c>
      <c r="G154" s="26">
        <v>3502648</v>
      </c>
      <c r="H154" s="26">
        <v>3514476</v>
      </c>
    </row>
    <row r="155" spans="1:8">
      <c r="A155" s="24">
        <v>255017</v>
      </c>
      <c r="B155" s="25" t="s">
        <v>14</v>
      </c>
      <c r="C155" s="39" t="str">
        <f t="shared" si="4"/>
        <v>205</v>
      </c>
      <c r="D155" s="39" t="str">
        <f t="shared" si="5"/>
        <v>20502</v>
      </c>
      <c r="E155" s="39">
        <f>IF(ISNA(VLOOKUP(F155,'2020功能科目'!A:B,2,FALSE)),"",VLOOKUP(F155,'2020功能科目'!A:B,2,FALSE))</f>
        <v>2050204</v>
      </c>
      <c r="F155" s="25" t="s">
        <v>376</v>
      </c>
      <c r="G155" s="26">
        <v>89138519.200000003</v>
      </c>
      <c r="H155" s="26">
        <v>70342681.379999995</v>
      </c>
    </row>
    <row r="156" spans="1:8">
      <c r="A156" s="24">
        <v>255017</v>
      </c>
      <c r="B156" s="25" t="s">
        <v>14</v>
      </c>
      <c r="C156" s="39" t="str">
        <f t="shared" si="4"/>
        <v>205</v>
      </c>
      <c r="D156" s="39" t="str">
        <f t="shared" si="5"/>
        <v>20502</v>
      </c>
      <c r="E156" s="39">
        <f>IF(ISNA(VLOOKUP(F156,'2020功能科目'!A:B,2,FALSE)),"",VLOOKUP(F156,'2020功能科目'!A:B,2,FALSE))</f>
        <v>2050299</v>
      </c>
      <c r="F156" s="25" t="s">
        <v>377</v>
      </c>
      <c r="G156" s="26">
        <v>1714692.65</v>
      </c>
      <c r="H156" s="26">
        <v>1712000</v>
      </c>
    </row>
    <row r="157" spans="1:8">
      <c r="A157" s="24">
        <v>255017</v>
      </c>
      <c r="B157" s="25" t="s">
        <v>14</v>
      </c>
      <c r="C157" s="39" t="str">
        <f t="shared" si="4"/>
        <v>205</v>
      </c>
      <c r="D157" s="39" t="str">
        <f t="shared" si="5"/>
        <v>20508</v>
      </c>
      <c r="E157" s="39">
        <f>IF(ISNA(VLOOKUP(F157,'2020功能科目'!A:B,2,FALSE)),"",VLOOKUP(F157,'2020功能科目'!A:B,2,FALSE))</f>
        <v>2050803</v>
      </c>
      <c r="F157" s="25" t="s">
        <v>378</v>
      </c>
      <c r="G157" s="26">
        <v>0</v>
      </c>
      <c r="H157" s="26">
        <v>210400</v>
      </c>
    </row>
    <row r="158" spans="1:8">
      <c r="A158" s="24">
        <v>255017</v>
      </c>
      <c r="B158" s="25" t="s">
        <v>14</v>
      </c>
      <c r="C158" s="39" t="str">
        <f t="shared" si="4"/>
        <v>205</v>
      </c>
      <c r="D158" s="39" t="str">
        <f t="shared" si="5"/>
        <v>20509</v>
      </c>
      <c r="E158" s="39">
        <f>IF(ISNA(VLOOKUP(F158,'2020功能科目'!A:B,2,FALSE)),"",VLOOKUP(F158,'2020功能科目'!A:B,2,FALSE))</f>
        <v>2050903</v>
      </c>
      <c r="F158" s="25" t="s">
        <v>379</v>
      </c>
      <c r="G158" s="26">
        <v>5437810</v>
      </c>
      <c r="H158" s="26">
        <v>0</v>
      </c>
    </row>
    <row r="159" spans="1:8">
      <c r="A159" s="24">
        <v>255017</v>
      </c>
      <c r="B159" s="25" t="s">
        <v>14</v>
      </c>
      <c r="C159" s="39" t="str">
        <f t="shared" si="4"/>
        <v>205</v>
      </c>
      <c r="D159" s="39" t="str">
        <f t="shared" si="5"/>
        <v>20509</v>
      </c>
      <c r="E159" s="39">
        <f>IF(ISNA(VLOOKUP(F159,'2020功能科目'!A:B,2,FALSE)),"",VLOOKUP(F159,'2020功能科目'!A:B,2,FALSE))</f>
        <v>2050904</v>
      </c>
      <c r="F159" s="25" t="s">
        <v>380</v>
      </c>
      <c r="G159" s="26">
        <v>1714126.07</v>
      </c>
      <c r="H159" s="26">
        <v>1721170</v>
      </c>
    </row>
    <row r="160" spans="1:8">
      <c r="A160" s="24">
        <v>255017</v>
      </c>
      <c r="B160" s="25" t="s">
        <v>14</v>
      </c>
      <c r="C160" s="39" t="str">
        <f t="shared" si="4"/>
        <v>208</v>
      </c>
      <c r="D160" s="39" t="str">
        <f t="shared" si="5"/>
        <v>20805</v>
      </c>
      <c r="E160" s="39">
        <f>IF(ISNA(VLOOKUP(F160,'2020功能科目'!A:B,2,FALSE)),"",VLOOKUP(F160,'2020功能科目'!A:B,2,FALSE))</f>
        <v>2080502</v>
      </c>
      <c r="F160" s="25" t="s">
        <v>381</v>
      </c>
      <c r="G160" s="26">
        <v>10296976</v>
      </c>
      <c r="H160" s="26">
        <v>7373679.0999999996</v>
      </c>
    </row>
    <row r="161" spans="1:8">
      <c r="A161" s="24">
        <v>255017</v>
      </c>
      <c r="B161" s="25" t="s">
        <v>14</v>
      </c>
      <c r="C161" s="39" t="str">
        <f t="shared" si="4"/>
        <v>208</v>
      </c>
      <c r="D161" s="39" t="str">
        <f t="shared" si="5"/>
        <v>20805</v>
      </c>
      <c r="E161" s="39">
        <f>IF(ISNA(VLOOKUP(F161,'2020功能科目'!A:B,2,FALSE)),"",VLOOKUP(F161,'2020功能科目'!A:B,2,FALSE))</f>
        <v>2080505</v>
      </c>
      <c r="F161" s="25" t="s">
        <v>382</v>
      </c>
      <c r="G161" s="26">
        <v>6370760.1600000001</v>
      </c>
      <c r="H161" s="26">
        <v>6839761.1200000001</v>
      </c>
    </row>
    <row r="162" spans="1:8">
      <c r="A162" s="24">
        <v>255017</v>
      </c>
      <c r="B162" s="25" t="s">
        <v>14</v>
      </c>
      <c r="C162" s="39" t="str">
        <f t="shared" si="4"/>
        <v>208</v>
      </c>
      <c r="D162" s="39" t="str">
        <f t="shared" si="5"/>
        <v>20805</v>
      </c>
      <c r="E162" s="39">
        <f>IF(ISNA(VLOOKUP(F162,'2020功能科目'!A:B,2,FALSE)),"",VLOOKUP(F162,'2020功能科目'!A:B,2,FALSE))</f>
        <v>2080506</v>
      </c>
      <c r="F162" s="25" t="s">
        <v>383</v>
      </c>
      <c r="G162" s="26">
        <v>3184752.48</v>
      </c>
      <c r="H162" s="26">
        <v>3419880.56</v>
      </c>
    </row>
    <row r="163" spans="1:8">
      <c r="A163" s="24">
        <v>255017</v>
      </c>
      <c r="B163" s="25" t="s">
        <v>14</v>
      </c>
      <c r="C163" s="39" t="str">
        <f t="shared" si="4"/>
        <v>210</v>
      </c>
      <c r="D163" s="39" t="str">
        <f t="shared" si="5"/>
        <v>21011</v>
      </c>
      <c r="E163" s="39">
        <f>IF(ISNA(VLOOKUP(F163,'2020功能科目'!A:B,2,FALSE)),"",VLOOKUP(F163,'2020功能科目'!A:B,2,FALSE))</f>
        <v>2101102</v>
      </c>
      <c r="F163" s="25" t="s">
        <v>385</v>
      </c>
      <c r="G163" s="26">
        <v>6683140.0599999996</v>
      </c>
      <c r="H163" s="26">
        <v>5557305.9100000001</v>
      </c>
    </row>
    <row r="164" spans="1:8">
      <c r="A164" s="24">
        <v>255017</v>
      </c>
      <c r="B164" s="25" t="s">
        <v>14</v>
      </c>
      <c r="C164" s="39" t="str">
        <f t="shared" si="4"/>
        <v>210</v>
      </c>
      <c r="D164" s="39" t="str">
        <f t="shared" si="5"/>
        <v>21011</v>
      </c>
      <c r="E164" s="39">
        <f>IF(ISNA(VLOOKUP(F164,'2020功能科目'!A:B,2,FALSE)),"",VLOOKUP(F164,'2020功能科目'!A:B,2,FALSE))</f>
        <v>2101199</v>
      </c>
      <c r="F164" s="25" t="s">
        <v>386</v>
      </c>
      <c r="G164" s="26">
        <v>675000</v>
      </c>
      <c r="H164" s="26">
        <v>990000</v>
      </c>
    </row>
    <row r="165" spans="1:8">
      <c r="A165" s="24">
        <v>255017</v>
      </c>
      <c r="B165" s="25" t="s">
        <v>14</v>
      </c>
      <c r="C165" s="39" t="str">
        <f t="shared" si="4"/>
        <v>221</v>
      </c>
      <c r="D165" s="39" t="str">
        <f t="shared" si="5"/>
        <v>22102</v>
      </c>
      <c r="E165" s="39">
        <f>IF(ISNA(VLOOKUP(F165,'2020功能科目'!A:B,2,FALSE)),"",VLOOKUP(F165,'2020功能科目'!A:B,2,FALSE))</f>
        <v>2210201</v>
      </c>
      <c r="F165" s="25" t="s">
        <v>387</v>
      </c>
      <c r="G165" s="26">
        <v>7941420</v>
      </c>
      <c r="H165" s="26">
        <v>6707820.8399999999</v>
      </c>
    </row>
    <row r="166" spans="1:8">
      <c r="A166" s="24">
        <v>255017</v>
      </c>
      <c r="B166" s="25" t="s">
        <v>14</v>
      </c>
      <c r="C166" s="39" t="str">
        <f t="shared" si="4"/>
        <v>221</v>
      </c>
      <c r="D166" s="39" t="str">
        <f t="shared" si="5"/>
        <v>22102</v>
      </c>
      <c r="E166" s="39">
        <f>IF(ISNA(VLOOKUP(F166,'2020功能科目'!A:B,2,FALSE)),"",VLOOKUP(F166,'2020功能科目'!A:B,2,FALSE))</f>
        <v>2210202</v>
      </c>
      <c r="F166" s="25" t="s">
        <v>388</v>
      </c>
      <c r="G166" s="26">
        <v>750140</v>
      </c>
      <c r="H166" s="26">
        <v>752160</v>
      </c>
    </row>
    <row r="167" spans="1:8">
      <c r="A167" s="24">
        <v>255017</v>
      </c>
      <c r="B167" s="25" t="s">
        <v>14</v>
      </c>
      <c r="C167" s="39" t="str">
        <f t="shared" si="4"/>
        <v>221</v>
      </c>
      <c r="D167" s="39" t="str">
        <f t="shared" si="5"/>
        <v>22102</v>
      </c>
      <c r="E167" s="39">
        <f>IF(ISNA(VLOOKUP(F167,'2020功能科目'!A:B,2,FALSE)),"",VLOOKUP(F167,'2020功能科目'!A:B,2,FALSE))</f>
        <v>2210203</v>
      </c>
      <c r="F167" s="25" t="s">
        <v>389</v>
      </c>
      <c r="G167" s="26">
        <v>7254355</v>
      </c>
      <c r="H167" s="26">
        <v>7050396</v>
      </c>
    </row>
    <row r="168" spans="1:8">
      <c r="A168" s="24">
        <v>255018</v>
      </c>
      <c r="B168" s="25" t="s">
        <v>15</v>
      </c>
      <c r="C168" s="39" t="str">
        <f t="shared" si="4"/>
        <v>205</v>
      </c>
      <c r="D168" s="39" t="str">
        <f t="shared" si="5"/>
        <v>20502</v>
      </c>
      <c r="E168" s="39">
        <f>IF(ISNA(VLOOKUP(F168,'2020功能科目'!A:B,2,FALSE)),"",VLOOKUP(F168,'2020功能科目'!A:B,2,FALSE))</f>
        <v>2050203</v>
      </c>
      <c r="F168" s="25" t="s">
        <v>390</v>
      </c>
      <c r="G168" s="26">
        <v>31036700.18</v>
      </c>
      <c r="H168" s="26">
        <v>25164969.210000001</v>
      </c>
    </row>
    <row r="169" spans="1:8">
      <c r="A169" s="24">
        <v>255018</v>
      </c>
      <c r="B169" s="25" t="s">
        <v>15</v>
      </c>
      <c r="C169" s="39" t="str">
        <f t="shared" si="4"/>
        <v>205</v>
      </c>
      <c r="D169" s="39" t="str">
        <f t="shared" si="5"/>
        <v>20502</v>
      </c>
      <c r="E169" s="39">
        <f>IF(ISNA(VLOOKUP(F169,'2020功能科目'!A:B,2,FALSE)),"",VLOOKUP(F169,'2020功能科目'!A:B,2,FALSE))</f>
        <v>2050299</v>
      </c>
      <c r="F169" s="25" t="s">
        <v>377</v>
      </c>
      <c r="G169" s="26">
        <v>1221.6099999999999</v>
      </c>
      <c r="H169" s="26">
        <v>0</v>
      </c>
    </row>
    <row r="170" spans="1:8">
      <c r="A170" s="24">
        <v>255018</v>
      </c>
      <c r="B170" s="25" t="s">
        <v>15</v>
      </c>
      <c r="C170" s="39" t="str">
        <f t="shared" si="4"/>
        <v>205</v>
      </c>
      <c r="D170" s="39" t="str">
        <f t="shared" si="5"/>
        <v>20508</v>
      </c>
      <c r="E170" s="39">
        <f>IF(ISNA(VLOOKUP(F170,'2020功能科目'!A:B,2,FALSE)),"",VLOOKUP(F170,'2020功能科目'!A:B,2,FALSE))</f>
        <v>2050803</v>
      </c>
      <c r="F170" s="25" t="s">
        <v>378</v>
      </c>
      <c r="G170" s="26">
        <v>5550</v>
      </c>
      <c r="H170" s="26">
        <v>80800</v>
      </c>
    </row>
    <row r="171" spans="1:8">
      <c r="A171" s="24">
        <v>255018</v>
      </c>
      <c r="B171" s="25" t="s">
        <v>15</v>
      </c>
      <c r="C171" s="39" t="str">
        <f t="shared" si="4"/>
        <v>205</v>
      </c>
      <c r="D171" s="39" t="str">
        <f t="shared" si="5"/>
        <v>20509</v>
      </c>
      <c r="E171" s="39">
        <f>IF(ISNA(VLOOKUP(F171,'2020功能科目'!A:B,2,FALSE)),"",VLOOKUP(F171,'2020功能科目'!A:B,2,FALSE))</f>
        <v>2050903</v>
      </c>
      <c r="F171" s="25" t="s">
        <v>379</v>
      </c>
      <c r="G171" s="26">
        <v>560000</v>
      </c>
      <c r="H171" s="26">
        <v>560000</v>
      </c>
    </row>
    <row r="172" spans="1:8">
      <c r="A172" s="24">
        <v>255018</v>
      </c>
      <c r="B172" s="25" t="s">
        <v>15</v>
      </c>
      <c r="C172" s="39" t="str">
        <f t="shared" si="4"/>
        <v>205</v>
      </c>
      <c r="D172" s="39" t="str">
        <f t="shared" si="5"/>
        <v>20509</v>
      </c>
      <c r="E172" s="39">
        <f>IF(ISNA(VLOOKUP(F172,'2020功能科目'!A:B,2,FALSE)),"",VLOOKUP(F172,'2020功能科目'!A:B,2,FALSE))</f>
        <v>2050904</v>
      </c>
      <c r="F172" s="25" t="s">
        <v>380</v>
      </c>
      <c r="G172" s="26">
        <v>880040.24</v>
      </c>
      <c r="H172" s="26">
        <v>891700</v>
      </c>
    </row>
    <row r="173" spans="1:8">
      <c r="A173" s="24">
        <v>255018</v>
      </c>
      <c r="B173" s="25" t="s">
        <v>15</v>
      </c>
      <c r="C173" s="39" t="str">
        <f t="shared" si="4"/>
        <v>208</v>
      </c>
      <c r="D173" s="39" t="str">
        <f t="shared" si="5"/>
        <v>20805</v>
      </c>
      <c r="E173" s="39">
        <f>IF(ISNA(VLOOKUP(F173,'2020功能科目'!A:B,2,FALSE)),"",VLOOKUP(F173,'2020功能科目'!A:B,2,FALSE))</f>
        <v>2080502</v>
      </c>
      <c r="F173" s="25" t="s">
        <v>381</v>
      </c>
      <c r="G173" s="26">
        <v>2215214.2999999998</v>
      </c>
      <c r="H173" s="26">
        <v>1701460.4</v>
      </c>
    </row>
    <row r="174" spans="1:8">
      <c r="A174" s="24">
        <v>255018</v>
      </c>
      <c r="B174" s="25" t="s">
        <v>15</v>
      </c>
      <c r="C174" s="39" t="str">
        <f t="shared" si="4"/>
        <v>208</v>
      </c>
      <c r="D174" s="39" t="str">
        <f t="shared" si="5"/>
        <v>20805</v>
      </c>
      <c r="E174" s="39">
        <f>IF(ISNA(VLOOKUP(F174,'2020功能科目'!A:B,2,FALSE)),"",VLOOKUP(F174,'2020功能科目'!A:B,2,FALSE))</f>
        <v>2080505</v>
      </c>
      <c r="F174" s="25" t="s">
        <v>382</v>
      </c>
      <c r="G174" s="26">
        <v>2313286.88</v>
      </c>
      <c r="H174" s="26">
        <v>2585615.7799999998</v>
      </c>
    </row>
    <row r="175" spans="1:8">
      <c r="A175" s="24">
        <v>255018</v>
      </c>
      <c r="B175" s="25" t="s">
        <v>15</v>
      </c>
      <c r="C175" s="39" t="str">
        <f t="shared" si="4"/>
        <v>208</v>
      </c>
      <c r="D175" s="39" t="str">
        <f t="shared" si="5"/>
        <v>20805</v>
      </c>
      <c r="E175" s="39">
        <f>IF(ISNA(VLOOKUP(F175,'2020功能科目'!A:B,2,FALSE)),"",VLOOKUP(F175,'2020功能科目'!A:B,2,FALSE))</f>
        <v>2080506</v>
      </c>
      <c r="F175" s="25" t="s">
        <v>383</v>
      </c>
      <c r="G175" s="26">
        <v>1156643.44</v>
      </c>
      <c r="H175" s="26">
        <v>1292807.8899999999</v>
      </c>
    </row>
    <row r="176" spans="1:8">
      <c r="A176" s="24">
        <v>255018</v>
      </c>
      <c r="B176" s="25" t="s">
        <v>15</v>
      </c>
      <c r="C176" s="39" t="str">
        <f t="shared" si="4"/>
        <v>210</v>
      </c>
      <c r="D176" s="39" t="str">
        <f t="shared" si="5"/>
        <v>21011</v>
      </c>
      <c r="E176" s="39">
        <f>IF(ISNA(VLOOKUP(F176,'2020功能科目'!A:B,2,FALSE)),"",VLOOKUP(F176,'2020功能科目'!A:B,2,FALSE))</f>
        <v>2101102</v>
      </c>
      <c r="F176" s="25" t="s">
        <v>385</v>
      </c>
      <c r="G176" s="26">
        <v>2064834.45</v>
      </c>
      <c r="H176" s="26">
        <v>2100812.8199999998</v>
      </c>
    </row>
    <row r="177" spans="1:8">
      <c r="A177" s="24">
        <v>255018</v>
      </c>
      <c r="B177" s="25" t="s">
        <v>15</v>
      </c>
      <c r="C177" s="39" t="str">
        <f t="shared" si="4"/>
        <v>210</v>
      </c>
      <c r="D177" s="39" t="str">
        <f t="shared" si="5"/>
        <v>21011</v>
      </c>
      <c r="E177" s="39">
        <f>IF(ISNA(VLOOKUP(F177,'2020功能科目'!A:B,2,FALSE)),"",VLOOKUP(F177,'2020功能科目'!A:B,2,FALSE))</f>
        <v>2101199</v>
      </c>
      <c r="F177" s="25" t="s">
        <v>386</v>
      </c>
      <c r="G177" s="26">
        <v>90000</v>
      </c>
      <c r="H177" s="26">
        <v>90000</v>
      </c>
    </row>
    <row r="178" spans="1:8">
      <c r="A178" s="24">
        <v>255018</v>
      </c>
      <c r="B178" s="25" t="s">
        <v>15</v>
      </c>
      <c r="C178" s="39" t="str">
        <f t="shared" si="4"/>
        <v>221</v>
      </c>
      <c r="D178" s="39" t="str">
        <f t="shared" si="5"/>
        <v>22102</v>
      </c>
      <c r="E178" s="39">
        <f>IF(ISNA(VLOOKUP(F178,'2020功能科目'!A:B,2,FALSE)),"",VLOOKUP(F178,'2020功能科目'!A:B,2,FALSE))</f>
        <v>2210201</v>
      </c>
      <c r="F178" s="25" t="s">
        <v>387</v>
      </c>
      <c r="G178" s="26">
        <v>3015262</v>
      </c>
      <c r="H178" s="26">
        <v>2545211.83</v>
      </c>
    </row>
    <row r="179" spans="1:8">
      <c r="A179" s="24">
        <v>255018</v>
      </c>
      <c r="B179" s="25" t="s">
        <v>15</v>
      </c>
      <c r="C179" s="39" t="str">
        <f t="shared" si="4"/>
        <v>221</v>
      </c>
      <c r="D179" s="39" t="str">
        <f t="shared" si="5"/>
        <v>22102</v>
      </c>
      <c r="E179" s="39">
        <f>IF(ISNA(VLOOKUP(F179,'2020功能科目'!A:B,2,FALSE)),"",VLOOKUP(F179,'2020功能科目'!A:B,2,FALSE))</f>
        <v>2210202</v>
      </c>
      <c r="F179" s="25" t="s">
        <v>388</v>
      </c>
      <c r="G179" s="26">
        <v>228740</v>
      </c>
      <c r="H179" s="26">
        <v>229920</v>
      </c>
    </row>
    <row r="180" spans="1:8">
      <c r="A180" s="24">
        <v>255018</v>
      </c>
      <c r="B180" s="25" t="s">
        <v>15</v>
      </c>
      <c r="C180" s="39" t="str">
        <f t="shared" si="4"/>
        <v>221</v>
      </c>
      <c r="D180" s="39" t="str">
        <f t="shared" si="5"/>
        <v>22102</v>
      </c>
      <c r="E180" s="39">
        <f>IF(ISNA(VLOOKUP(F180,'2020功能科目'!A:B,2,FALSE)),"",VLOOKUP(F180,'2020功能科目'!A:B,2,FALSE))</f>
        <v>2210203</v>
      </c>
      <c r="F180" s="25" t="s">
        <v>389</v>
      </c>
      <c r="G180" s="26">
        <v>2594909</v>
      </c>
      <c r="H180" s="26">
        <v>2644452</v>
      </c>
    </row>
    <row r="181" spans="1:8">
      <c r="A181" s="24">
        <v>255019</v>
      </c>
      <c r="B181" s="25" t="s">
        <v>16</v>
      </c>
      <c r="C181" s="39" t="str">
        <f t="shared" si="4"/>
        <v>205</v>
      </c>
      <c r="D181" s="39" t="str">
        <f t="shared" si="5"/>
        <v>20502</v>
      </c>
      <c r="E181" s="39">
        <f>IF(ISNA(VLOOKUP(F181,'2020功能科目'!A:B,2,FALSE)),"",VLOOKUP(F181,'2020功能科目'!A:B,2,FALSE))</f>
        <v>2050204</v>
      </c>
      <c r="F181" s="25" t="s">
        <v>376</v>
      </c>
      <c r="G181" s="26">
        <v>43425460.350000001</v>
      </c>
      <c r="H181" s="26">
        <v>28718501.699999999</v>
      </c>
    </row>
    <row r="182" spans="1:8">
      <c r="A182" s="24">
        <v>255019</v>
      </c>
      <c r="B182" s="25" t="s">
        <v>16</v>
      </c>
      <c r="C182" s="39" t="str">
        <f t="shared" si="4"/>
        <v>205</v>
      </c>
      <c r="D182" s="39" t="str">
        <f t="shared" si="5"/>
        <v>20508</v>
      </c>
      <c r="E182" s="39">
        <f>IF(ISNA(VLOOKUP(F182,'2020功能科目'!A:B,2,FALSE)),"",VLOOKUP(F182,'2020功能科目'!A:B,2,FALSE))</f>
        <v>2050803</v>
      </c>
      <c r="F182" s="25" t="s">
        <v>378</v>
      </c>
      <c r="G182" s="26">
        <v>49200</v>
      </c>
      <c r="H182" s="26">
        <v>98400</v>
      </c>
    </row>
    <row r="183" spans="1:8">
      <c r="A183" s="24">
        <v>255019</v>
      </c>
      <c r="B183" s="25" t="s">
        <v>16</v>
      </c>
      <c r="C183" s="39" t="str">
        <f t="shared" si="4"/>
        <v>205</v>
      </c>
      <c r="D183" s="39" t="str">
        <f t="shared" si="5"/>
        <v>20509</v>
      </c>
      <c r="E183" s="39">
        <f>IF(ISNA(VLOOKUP(F183,'2020功能科目'!A:B,2,FALSE)),"",VLOOKUP(F183,'2020功能科目'!A:B,2,FALSE))</f>
        <v>2050903</v>
      </c>
      <c r="F183" s="25" t="s">
        <v>379</v>
      </c>
      <c r="G183" s="26">
        <v>112000</v>
      </c>
      <c r="H183" s="26">
        <v>112000</v>
      </c>
    </row>
    <row r="184" spans="1:8">
      <c r="A184" s="24">
        <v>255019</v>
      </c>
      <c r="B184" s="25" t="s">
        <v>16</v>
      </c>
      <c r="C184" s="39" t="str">
        <f t="shared" si="4"/>
        <v>208</v>
      </c>
      <c r="D184" s="39" t="str">
        <f t="shared" si="5"/>
        <v>20805</v>
      </c>
      <c r="E184" s="39">
        <f>IF(ISNA(VLOOKUP(F184,'2020功能科目'!A:B,2,FALSE)),"",VLOOKUP(F184,'2020功能科目'!A:B,2,FALSE))</f>
        <v>2080502</v>
      </c>
      <c r="F184" s="25" t="s">
        <v>381</v>
      </c>
      <c r="G184" s="26">
        <v>2032717</v>
      </c>
      <c r="H184" s="26">
        <v>1568514</v>
      </c>
    </row>
    <row r="185" spans="1:8">
      <c r="A185" s="24">
        <v>255019</v>
      </c>
      <c r="B185" s="25" t="s">
        <v>16</v>
      </c>
      <c r="C185" s="39" t="str">
        <f t="shared" si="4"/>
        <v>208</v>
      </c>
      <c r="D185" s="39" t="str">
        <f t="shared" si="5"/>
        <v>20805</v>
      </c>
      <c r="E185" s="39">
        <f>IF(ISNA(VLOOKUP(F185,'2020功能科目'!A:B,2,FALSE)),"",VLOOKUP(F185,'2020功能科目'!A:B,2,FALSE))</f>
        <v>2080505</v>
      </c>
      <c r="F185" s="25" t="s">
        <v>382</v>
      </c>
      <c r="G185" s="26">
        <v>3462416.85</v>
      </c>
      <c r="H185" s="26">
        <v>2819483.2</v>
      </c>
    </row>
    <row r="186" spans="1:8">
      <c r="A186" s="24">
        <v>255019</v>
      </c>
      <c r="B186" s="25" t="s">
        <v>16</v>
      </c>
      <c r="C186" s="39" t="str">
        <f t="shared" si="4"/>
        <v>208</v>
      </c>
      <c r="D186" s="39" t="str">
        <f t="shared" si="5"/>
        <v>20805</v>
      </c>
      <c r="E186" s="39">
        <f>IF(ISNA(VLOOKUP(F186,'2020功能科目'!A:B,2,FALSE)),"",VLOOKUP(F186,'2020功能科目'!A:B,2,FALSE))</f>
        <v>2080506</v>
      </c>
      <c r="F186" s="25" t="s">
        <v>383</v>
      </c>
      <c r="G186" s="26">
        <v>1731208.42</v>
      </c>
      <c r="H186" s="26">
        <v>1409741.6</v>
      </c>
    </row>
    <row r="187" spans="1:8">
      <c r="A187" s="24">
        <v>255019</v>
      </c>
      <c r="B187" s="25" t="s">
        <v>16</v>
      </c>
      <c r="C187" s="39" t="str">
        <f t="shared" si="4"/>
        <v>210</v>
      </c>
      <c r="D187" s="39" t="str">
        <f t="shared" si="5"/>
        <v>21011</v>
      </c>
      <c r="E187" s="39">
        <f>IF(ISNA(VLOOKUP(F187,'2020功能科目'!A:B,2,FALSE)),"",VLOOKUP(F187,'2020功能科目'!A:B,2,FALSE))</f>
        <v>2101102</v>
      </c>
      <c r="F187" s="25" t="s">
        <v>385</v>
      </c>
      <c r="G187" s="26">
        <v>2637588</v>
      </c>
      <c r="H187" s="26">
        <v>2290830.1</v>
      </c>
    </row>
    <row r="188" spans="1:8">
      <c r="A188" s="24">
        <v>255019</v>
      </c>
      <c r="B188" s="25" t="s">
        <v>16</v>
      </c>
      <c r="C188" s="39" t="str">
        <f t="shared" si="4"/>
        <v>221</v>
      </c>
      <c r="D188" s="39" t="str">
        <f t="shared" si="5"/>
        <v>22102</v>
      </c>
      <c r="E188" s="39">
        <f>IF(ISNA(VLOOKUP(F188,'2020功能科目'!A:B,2,FALSE)),"",VLOOKUP(F188,'2020功能科目'!A:B,2,FALSE))</f>
        <v>2210201</v>
      </c>
      <c r="F188" s="25" t="s">
        <v>387</v>
      </c>
      <c r="G188" s="26">
        <v>3960233</v>
      </c>
      <c r="H188" s="26">
        <v>2852612.4</v>
      </c>
    </row>
    <row r="189" spans="1:8">
      <c r="A189" s="24">
        <v>255019</v>
      </c>
      <c r="B189" s="25" t="s">
        <v>16</v>
      </c>
      <c r="C189" s="39" t="str">
        <f t="shared" si="4"/>
        <v>221</v>
      </c>
      <c r="D189" s="39" t="str">
        <f t="shared" si="5"/>
        <v>22102</v>
      </c>
      <c r="E189" s="39">
        <f>IF(ISNA(VLOOKUP(F189,'2020功能科目'!A:B,2,FALSE)),"",VLOOKUP(F189,'2020功能科目'!A:B,2,FALSE))</f>
        <v>2210202</v>
      </c>
      <c r="F189" s="25" t="s">
        <v>388</v>
      </c>
      <c r="G189" s="26">
        <v>274040</v>
      </c>
      <c r="H189" s="26">
        <v>270960</v>
      </c>
    </row>
    <row r="190" spans="1:8">
      <c r="A190" s="24">
        <v>255019</v>
      </c>
      <c r="B190" s="25" t="s">
        <v>16</v>
      </c>
      <c r="C190" s="39" t="str">
        <f t="shared" si="4"/>
        <v>221</v>
      </c>
      <c r="D190" s="39" t="str">
        <f t="shared" si="5"/>
        <v>22102</v>
      </c>
      <c r="E190" s="39">
        <f>IF(ISNA(VLOOKUP(F190,'2020功能科目'!A:B,2,FALSE)),"",VLOOKUP(F190,'2020功能科目'!A:B,2,FALSE))</f>
        <v>2210203</v>
      </c>
      <c r="F190" s="25" t="s">
        <v>389</v>
      </c>
      <c r="G190" s="26">
        <v>2984838</v>
      </c>
      <c r="H190" s="26">
        <v>2911992</v>
      </c>
    </row>
    <row r="191" spans="1:8">
      <c r="A191" s="24">
        <v>255020</v>
      </c>
      <c r="B191" s="25" t="s">
        <v>17</v>
      </c>
      <c r="C191" s="39" t="str">
        <f t="shared" si="4"/>
        <v>205</v>
      </c>
      <c r="D191" s="39" t="str">
        <f t="shared" si="5"/>
        <v>20502</v>
      </c>
      <c r="E191" s="39">
        <f>IF(ISNA(VLOOKUP(F191,'2020功能科目'!A:B,2,FALSE)),"",VLOOKUP(F191,'2020功能科目'!A:B,2,FALSE))</f>
        <v>2050204</v>
      </c>
      <c r="F191" s="25" t="s">
        <v>376</v>
      </c>
      <c r="G191" s="26">
        <v>43902668.210000001</v>
      </c>
      <c r="H191" s="26">
        <v>32736677.059999999</v>
      </c>
    </row>
    <row r="192" spans="1:8">
      <c r="A192" s="24">
        <v>255020</v>
      </c>
      <c r="B192" s="25" t="s">
        <v>17</v>
      </c>
      <c r="C192" s="39" t="str">
        <f t="shared" si="4"/>
        <v>205</v>
      </c>
      <c r="D192" s="39" t="str">
        <f t="shared" si="5"/>
        <v>20502</v>
      </c>
      <c r="E192" s="39">
        <f>IF(ISNA(VLOOKUP(F192,'2020功能科目'!A:B,2,FALSE)),"",VLOOKUP(F192,'2020功能科目'!A:B,2,FALSE))</f>
        <v>2050299</v>
      </c>
      <c r="F192" s="25" t="s">
        <v>377</v>
      </c>
      <c r="G192" s="26">
        <v>1643.07</v>
      </c>
      <c r="H192" s="26">
        <v>0</v>
      </c>
    </row>
    <row r="193" spans="1:8">
      <c r="A193" s="24">
        <v>255020</v>
      </c>
      <c r="B193" s="25" t="s">
        <v>17</v>
      </c>
      <c r="C193" s="39" t="str">
        <f t="shared" si="4"/>
        <v>205</v>
      </c>
      <c r="D193" s="39" t="str">
        <f t="shared" si="5"/>
        <v>20508</v>
      </c>
      <c r="E193" s="39">
        <f>IF(ISNA(VLOOKUP(F193,'2020功能科目'!A:B,2,FALSE)),"",VLOOKUP(F193,'2020功能科目'!A:B,2,FALSE))</f>
        <v>2050803</v>
      </c>
      <c r="F193" s="25" t="s">
        <v>378</v>
      </c>
      <c r="G193" s="26">
        <v>51200</v>
      </c>
      <c r="H193" s="26">
        <v>102400</v>
      </c>
    </row>
    <row r="194" spans="1:8">
      <c r="A194" s="24">
        <v>255020</v>
      </c>
      <c r="B194" s="25" t="s">
        <v>17</v>
      </c>
      <c r="C194" s="39" t="str">
        <f t="shared" si="4"/>
        <v>205</v>
      </c>
      <c r="D194" s="39" t="str">
        <f t="shared" si="5"/>
        <v>20509</v>
      </c>
      <c r="E194" s="39">
        <f>IF(ISNA(VLOOKUP(F194,'2020功能科目'!A:B,2,FALSE)),"",VLOOKUP(F194,'2020功能科目'!A:B,2,FALSE))</f>
        <v>2050903</v>
      </c>
      <c r="F194" s="25" t="s">
        <v>379</v>
      </c>
      <c r="G194" s="26">
        <v>774742.18</v>
      </c>
      <c r="H194" s="26">
        <v>1680000</v>
      </c>
    </row>
    <row r="195" spans="1:8">
      <c r="A195" s="24">
        <v>255020</v>
      </c>
      <c r="B195" s="25" t="s">
        <v>17</v>
      </c>
      <c r="C195" s="39" t="str">
        <f t="shared" ref="C195:C258" si="6">LEFT(D195,3)</f>
        <v>205</v>
      </c>
      <c r="D195" s="39" t="str">
        <f t="shared" ref="D195:D258" si="7">LEFT(E195,5)</f>
        <v>20509</v>
      </c>
      <c r="E195" s="39">
        <f>IF(ISNA(VLOOKUP(F195,'2020功能科目'!A:B,2,FALSE)),"",VLOOKUP(F195,'2020功能科目'!A:B,2,FALSE))</f>
        <v>2050904</v>
      </c>
      <c r="F195" s="25" t="s">
        <v>380</v>
      </c>
      <c r="G195" s="26">
        <v>1059160</v>
      </c>
      <c r="H195" s="26">
        <v>1057160</v>
      </c>
    </row>
    <row r="196" spans="1:8">
      <c r="A196" s="24">
        <v>255020</v>
      </c>
      <c r="B196" s="25" t="s">
        <v>17</v>
      </c>
      <c r="C196" s="39" t="str">
        <f t="shared" si="6"/>
        <v>208</v>
      </c>
      <c r="D196" s="39" t="str">
        <f t="shared" si="7"/>
        <v>20805</v>
      </c>
      <c r="E196" s="39">
        <f>IF(ISNA(VLOOKUP(F196,'2020功能科目'!A:B,2,FALSE)),"",VLOOKUP(F196,'2020功能科目'!A:B,2,FALSE))</f>
        <v>2080502</v>
      </c>
      <c r="F196" s="25" t="s">
        <v>381</v>
      </c>
      <c r="G196" s="26">
        <v>2433476.5</v>
      </c>
      <c r="H196" s="26">
        <v>1948238.5</v>
      </c>
    </row>
    <row r="197" spans="1:8">
      <c r="A197" s="24">
        <v>255020</v>
      </c>
      <c r="B197" s="25" t="s">
        <v>17</v>
      </c>
      <c r="C197" s="39" t="str">
        <f t="shared" si="6"/>
        <v>208</v>
      </c>
      <c r="D197" s="39" t="str">
        <f t="shared" si="7"/>
        <v>20805</v>
      </c>
      <c r="E197" s="39">
        <f>IF(ISNA(VLOOKUP(F197,'2020功能科目'!A:B,2,FALSE)),"",VLOOKUP(F197,'2020功能科目'!A:B,2,FALSE))</f>
        <v>2080505</v>
      </c>
      <c r="F197" s="25" t="s">
        <v>382</v>
      </c>
      <c r="G197" s="26">
        <v>3025024.48</v>
      </c>
      <c r="H197" s="26">
        <v>3207250.9</v>
      </c>
    </row>
    <row r="198" spans="1:8">
      <c r="A198" s="24">
        <v>255020</v>
      </c>
      <c r="B198" s="25" t="s">
        <v>17</v>
      </c>
      <c r="C198" s="39" t="str">
        <f t="shared" si="6"/>
        <v>208</v>
      </c>
      <c r="D198" s="39" t="str">
        <f t="shared" si="7"/>
        <v>20805</v>
      </c>
      <c r="E198" s="39">
        <f>IF(ISNA(VLOOKUP(F198,'2020功能科目'!A:B,2,FALSE)),"",VLOOKUP(F198,'2020功能科目'!A:B,2,FALSE))</f>
        <v>2080506</v>
      </c>
      <c r="F198" s="25" t="s">
        <v>383</v>
      </c>
      <c r="G198" s="26">
        <v>1528822.12</v>
      </c>
      <c r="H198" s="26">
        <v>1603625.45</v>
      </c>
    </row>
    <row r="199" spans="1:8">
      <c r="A199" s="24">
        <v>255020</v>
      </c>
      <c r="B199" s="25" t="s">
        <v>17</v>
      </c>
      <c r="C199" s="39" t="str">
        <f t="shared" si="6"/>
        <v>210</v>
      </c>
      <c r="D199" s="39" t="str">
        <f t="shared" si="7"/>
        <v>21011</v>
      </c>
      <c r="E199" s="39">
        <f>IF(ISNA(VLOOKUP(F199,'2020功能科目'!A:B,2,FALSE)),"",VLOOKUP(F199,'2020功能科目'!A:B,2,FALSE))</f>
        <v>2101102</v>
      </c>
      <c r="F199" s="25" t="s">
        <v>385</v>
      </c>
      <c r="G199" s="26">
        <v>3050279.74</v>
      </c>
      <c r="H199" s="26">
        <v>2605891.36</v>
      </c>
    </row>
    <row r="200" spans="1:8">
      <c r="A200" s="24">
        <v>255020</v>
      </c>
      <c r="B200" s="25" t="s">
        <v>17</v>
      </c>
      <c r="C200" s="39" t="str">
        <f t="shared" si="6"/>
        <v>210</v>
      </c>
      <c r="D200" s="39" t="str">
        <f t="shared" si="7"/>
        <v>21011</v>
      </c>
      <c r="E200" s="39">
        <f>IF(ISNA(VLOOKUP(F200,'2020功能科目'!A:B,2,FALSE)),"",VLOOKUP(F200,'2020功能科目'!A:B,2,FALSE))</f>
        <v>2101199</v>
      </c>
      <c r="F200" s="25" t="s">
        <v>386</v>
      </c>
      <c r="G200" s="26">
        <v>180000</v>
      </c>
      <c r="H200" s="26">
        <v>270000</v>
      </c>
    </row>
    <row r="201" spans="1:8">
      <c r="A201" s="24">
        <v>255020</v>
      </c>
      <c r="B201" s="25" t="s">
        <v>17</v>
      </c>
      <c r="C201" s="39" t="str">
        <f t="shared" si="6"/>
        <v>221</v>
      </c>
      <c r="D201" s="39" t="str">
        <f t="shared" si="7"/>
        <v>22102</v>
      </c>
      <c r="E201" s="39">
        <f>IF(ISNA(VLOOKUP(F201,'2020功能科目'!A:B,2,FALSE)),"",VLOOKUP(F201,'2020功能科目'!A:B,2,FALSE))</f>
        <v>2210201</v>
      </c>
      <c r="F201" s="25" t="s">
        <v>387</v>
      </c>
      <c r="G201" s="26">
        <v>3631688</v>
      </c>
      <c r="H201" s="26">
        <v>3173438.17</v>
      </c>
    </row>
    <row r="202" spans="1:8">
      <c r="A202" s="24">
        <v>255020</v>
      </c>
      <c r="B202" s="25" t="s">
        <v>17</v>
      </c>
      <c r="C202" s="39" t="str">
        <f t="shared" si="6"/>
        <v>221</v>
      </c>
      <c r="D202" s="39" t="str">
        <f t="shared" si="7"/>
        <v>22102</v>
      </c>
      <c r="E202" s="39">
        <f>IF(ISNA(VLOOKUP(F202,'2020功能科目'!A:B,2,FALSE)),"",VLOOKUP(F202,'2020功能科目'!A:B,2,FALSE))</f>
        <v>2210202</v>
      </c>
      <c r="F202" s="25" t="s">
        <v>388</v>
      </c>
      <c r="G202" s="26">
        <v>256000</v>
      </c>
      <c r="H202" s="26">
        <v>256560</v>
      </c>
    </row>
    <row r="203" spans="1:8">
      <c r="A203" s="24">
        <v>255020</v>
      </c>
      <c r="B203" s="25" t="s">
        <v>17</v>
      </c>
      <c r="C203" s="39" t="str">
        <f t="shared" si="6"/>
        <v>221</v>
      </c>
      <c r="D203" s="39" t="str">
        <f t="shared" si="7"/>
        <v>22102</v>
      </c>
      <c r="E203" s="39">
        <f>IF(ISNA(VLOOKUP(F203,'2020功能科目'!A:B,2,FALSE)),"",VLOOKUP(F203,'2020功能科目'!A:B,2,FALSE))</f>
        <v>2210203</v>
      </c>
      <c r="F203" s="25" t="s">
        <v>389</v>
      </c>
      <c r="G203" s="26">
        <v>3607043</v>
      </c>
      <c r="H203" s="26">
        <v>3640896</v>
      </c>
    </row>
    <row r="204" spans="1:8">
      <c r="A204" s="24">
        <v>255021</v>
      </c>
      <c r="B204" s="25" t="s">
        <v>18</v>
      </c>
      <c r="C204" s="39" t="str">
        <f t="shared" si="6"/>
        <v>205</v>
      </c>
      <c r="D204" s="39" t="str">
        <f t="shared" si="7"/>
        <v>20502</v>
      </c>
      <c r="E204" s="39">
        <f>IF(ISNA(VLOOKUP(F204,'2020功能科目'!A:B,2,FALSE)),"",VLOOKUP(F204,'2020功能科目'!A:B,2,FALSE))</f>
        <v>2050204</v>
      </c>
      <c r="F204" s="25" t="s">
        <v>376</v>
      </c>
      <c r="G204" s="26">
        <v>46166832.560000002</v>
      </c>
      <c r="H204" s="26">
        <v>38906044.890000001</v>
      </c>
    </row>
    <row r="205" spans="1:8">
      <c r="A205" s="24">
        <v>255021</v>
      </c>
      <c r="B205" s="25" t="s">
        <v>18</v>
      </c>
      <c r="C205" s="39" t="str">
        <f t="shared" si="6"/>
        <v>205</v>
      </c>
      <c r="D205" s="39" t="str">
        <f t="shared" si="7"/>
        <v>20502</v>
      </c>
      <c r="E205" s="39">
        <f>IF(ISNA(VLOOKUP(F205,'2020功能科目'!A:B,2,FALSE)),"",VLOOKUP(F205,'2020功能科目'!A:B,2,FALSE))</f>
        <v>2050299</v>
      </c>
      <c r="F205" s="25" t="s">
        <v>377</v>
      </c>
      <c r="G205" s="26">
        <v>150374.75</v>
      </c>
      <c r="H205" s="26">
        <v>0</v>
      </c>
    </row>
    <row r="206" spans="1:8">
      <c r="A206" s="24">
        <v>255021</v>
      </c>
      <c r="B206" s="25" t="s">
        <v>18</v>
      </c>
      <c r="C206" s="39" t="str">
        <f t="shared" si="6"/>
        <v>205</v>
      </c>
      <c r="D206" s="39" t="str">
        <f t="shared" si="7"/>
        <v>20508</v>
      </c>
      <c r="E206" s="39">
        <f>IF(ISNA(VLOOKUP(F206,'2020功能科目'!A:B,2,FALSE)),"",VLOOKUP(F206,'2020功能科目'!A:B,2,FALSE))</f>
        <v>2050803</v>
      </c>
      <c r="F206" s="25" t="s">
        <v>378</v>
      </c>
      <c r="G206" s="26">
        <v>33200</v>
      </c>
      <c r="H206" s="26">
        <v>126400</v>
      </c>
    </row>
    <row r="207" spans="1:8">
      <c r="A207" s="24">
        <v>255021</v>
      </c>
      <c r="B207" s="25" t="s">
        <v>18</v>
      </c>
      <c r="C207" s="39" t="str">
        <f t="shared" si="6"/>
        <v>205</v>
      </c>
      <c r="D207" s="39" t="str">
        <f t="shared" si="7"/>
        <v>20509</v>
      </c>
      <c r="E207" s="39">
        <f>IF(ISNA(VLOOKUP(F207,'2020功能科目'!A:B,2,FALSE)),"",VLOOKUP(F207,'2020功能科目'!A:B,2,FALSE))</f>
        <v>2050903</v>
      </c>
      <c r="F207" s="25" t="s">
        <v>379</v>
      </c>
      <c r="G207" s="26">
        <v>770000</v>
      </c>
      <c r="H207" s="26">
        <v>770000</v>
      </c>
    </row>
    <row r="208" spans="1:8">
      <c r="A208" s="24">
        <v>255021</v>
      </c>
      <c r="B208" s="25" t="s">
        <v>18</v>
      </c>
      <c r="C208" s="39" t="str">
        <f t="shared" si="6"/>
        <v>205</v>
      </c>
      <c r="D208" s="39" t="str">
        <f t="shared" si="7"/>
        <v>20509</v>
      </c>
      <c r="E208" s="39">
        <f>IF(ISNA(VLOOKUP(F208,'2020功能科目'!A:B,2,FALSE)),"",VLOOKUP(F208,'2020功能科目'!A:B,2,FALSE))</f>
        <v>2050904</v>
      </c>
      <c r="F208" s="25" t="s">
        <v>380</v>
      </c>
      <c r="G208" s="26">
        <v>1171792</v>
      </c>
      <c r="H208" s="26">
        <v>1171902</v>
      </c>
    </row>
    <row r="209" spans="1:8">
      <c r="A209" s="24">
        <v>255021</v>
      </c>
      <c r="B209" s="25" t="s">
        <v>18</v>
      </c>
      <c r="C209" s="39" t="str">
        <f t="shared" si="6"/>
        <v>208</v>
      </c>
      <c r="D209" s="39" t="str">
        <f t="shared" si="7"/>
        <v>20805</v>
      </c>
      <c r="E209" s="39">
        <f>IF(ISNA(VLOOKUP(F209,'2020功能科目'!A:B,2,FALSE)),"",VLOOKUP(F209,'2020功能科目'!A:B,2,FALSE))</f>
        <v>2080502</v>
      </c>
      <c r="F209" s="25" t="s">
        <v>381</v>
      </c>
      <c r="G209" s="26">
        <v>7050524.5</v>
      </c>
      <c r="H209" s="26">
        <v>5381791.4000000004</v>
      </c>
    </row>
    <row r="210" spans="1:8">
      <c r="A210" s="24">
        <v>255021</v>
      </c>
      <c r="B210" s="25" t="s">
        <v>18</v>
      </c>
      <c r="C210" s="39" t="str">
        <f t="shared" si="6"/>
        <v>208</v>
      </c>
      <c r="D210" s="39" t="str">
        <f t="shared" si="7"/>
        <v>20805</v>
      </c>
      <c r="E210" s="39">
        <f>IF(ISNA(VLOOKUP(F210,'2020功能科目'!A:B,2,FALSE)),"",VLOOKUP(F210,'2020功能科目'!A:B,2,FALSE))</f>
        <v>2080505</v>
      </c>
      <c r="F210" s="25" t="s">
        <v>382</v>
      </c>
      <c r="G210" s="26">
        <v>3140319.52</v>
      </c>
      <c r="H210" s="26">
        <v>4029016</v>
      </c>
    </row>
    <row r="211" spans="1:8">
      <c r="A211" s="24">
        <v>255021</v>
      </c>
      <c r="B211" s="25" t="s">
        <v>18</v>
      </c>
      <c r="C211" s="39" t="str">
        <f t="shared" si="6"/>
        <v>208</v>
      </c>
      <c r="D211" s="39" t="str">
        <f t="shared" si="7"/>
        <v>20805</v>
      </c>
      <c r="E211" s="39">
        <f>IF(ISNA(VLOOKUP(F211,'2020功能科目'!A:B,2,FALSE)),"",VLOOKUP(F211,'2020功能科目'!A:B,2,FALSE))</f>
        <v>2080506</v>
      </c>
      <c r="F211" s="25" t="s">
        <v>383</v>
      </c>
      <c r="G211" s="26">
        <v>1569562.88</v>
      </c>
      <c r="H211" s="26">
        <v>2014508</v>
      </c>
    </row>
    <row r="212" spans="1:8">
      <c r="A212" s="24">
        <v>255021</v>
      </c>
      <c r="B212" s="25" t="s">
        <v>18</v>
      </c>
      <c r="C212" s="39" t="str">
        <f t="shared" si="6"/>
        <v>210</v>
      </c>
      <c r="D212" s="39" t="str">
        <f t="shared" si="7"/>
        <v>21011</v>
      </c>
      <c r="E212" s="39">
        <f>IF(ISNA(VLOOKUP(F212,'2020功能科目'!A:B,2,FALSE)),"",VLOOKUP(F212,'2020功能科目'!A:B,2,FALSE))</f>
        <v>2101102</v>
      </c>
      <c r="F212" s="25" t="s">
        <v>385</v>
      </c>
      <c r="G212" s="26">
        <v>3568890.68</v>
      </c>
      <c r="H212" s="26">
        <v>3273575.5</v>
      </c>
    </row>
    <row r="213" spans="1:8">
      <c r="A213" s="24">
        <v>255021</v>
      </c>
      <c r="B213" s="25" t="s">
        <v>18</v>
      </c>
      <c r="C213" s="39" t="str">
        <f t="shared" si="6"/>
        <v>210</v>
      </c>
      <c r="D213" s="39" t="str">
        <f t="shared" si="7"/>
        <v>21011</v>
      </c>
      <c r="E213" s="39">
        <f>IF(ISNA(VLOOKUP(F213,'2020功能科目'!A:B,2,FALSE)),"",VLOOKUP(F213,'2020功能科目'!A:B,2,FALSE))</f>
        <v>2101199</v>
      </c>
      <c r="F213" s="25" t="s">
        <v>386</v>
      </c>
      <c r="G213" s="26">
        <v>270000</v>
      </c>
      <c r="H213" s="26">
        <v>450000</v>
      </c>
    </row>
    <row r="214" spans="1:8">
      <c r="A214" s="24">
        <v>255021</v>
      </c>
      <c r="B214" s="25" t="s">
        <v>18</v>
      </c>
      <c r="C214" s="39" t="str">
        <f t="shared" si="6"/>
        <v>221</v>
      </c>
      <c r="D214" s="39" t="str">
        <f t="shared" si="7"/>
        <v>22102</v>
      </c>
      <c r="E214" s="39">
        <f>IF(ISNA(VLOOKUP(F214,'2020功能科目'!A:B,2,FALSE)),"",VLOOKUP(F214,'2020功能科目'!A:B,2,FALSE))</f>
        <v>2210201</v>
      </c>
      <c r="F214" s="25" t="s">
        <v>387</v>
      </c>
      <c r="G214" s="26">
        <v>4286277</v>
      </c>
      <c r="H214" s="26">
        <v>3969762</v>
      </c>
    </row>
    <row r="215" spans="1:8">
      <c r="A215" s="24">
        <v>255021</v>
      </c>
      <c r="B215" s="25" t="s">
        <v>18</v>
      </c>
      <c r="C215" s="39" t="str">
        <f t="shared" si="6"/>
        <v>221</v>
      </c>
      <c r="D215" s="39" t="str">
        <f t="shared" si="7"/>
        <v>22102</v>
      </c>
      <c r="E215" s="39">
        <f>IF(ISNA(VLOOKUP(F215,'2020功能科目'!A:B,2,FALSE)),"",VLOOKUP(F215,'2020功能科目'!A:B,2,FALSE))</f>
        <v>2210202</v>
      </c>
      <c r="F215" s="25" t="s">
        <v>388</v>
      </c>
      <c r="G215" s="26">
        <v>540640</v>
      </c>
      <c r="H215" s="26">
        <v>545520</v>
      </c>
    </row>
    <row r="216" spans="1:8">
      <c r="A216" s="24">
        <v>255021</v>
      </c>
      <c r="B216" s="25" t="s">
        <v>18</v>
      </c>
      <c r="C216" s="39" t="str">
        <f t="shared" si="6"/>
        <v>221</v>
      </c>
      <c r="D216" s="39" t="str">
        <f t="shared" si="7"/>
        <v>22102</v>
      </c>
      <c r="E216" s="39">
        <f>IF(ISNA(VLOOKUP(F216,'2020功能科目'!A:B,2,FALSE)),"",VLOOKUP(F216,'2020功能科目'!A:B,2,FALSE))</f>
        <v>2210203</v>
      </c>
      <c r="F216" s="25" t="s">
        <v>389</v>
      </c>
      <c r="G216" s="26">
        <v>4290503</v>
      </c>
      <c r="H216" s="26">
        <v>4304412</v>
      </c>
    </row>
    <row r="217" spans="1:8">
      <c r="A217" s="24">
        <v>255022</v>
      </c>
      <c r="B217" s="25" t="s">
        <v>348</v>
      </c>
      <c r="C217" s="39" t="str">
        <f t="shared" si="6"/>
        <v>205</v>
      </c>
      <c r="D217" s="39" t="str">
        <f t="shared" si="7"/>
        <v>20502</v>
      </c>
      <c r="E217" s="39">
        <f>IF(ISNA(VLOOKUP(F217,'2020功能科目'!A:B,2,FALSE)),"",VLOOKUP(F217,'2020功能科目'!A:B,2,FALSE))</f>
        <v>2050203</v>
      </c>
      <c r="F217" s="25" t="s">
        <v>390</v>
      </c>
      <c r="G217" s="26">
        <v>26873070.100000001</v>
      </c>
      <c r="H217" s="26">
        <v>22704196.510000002</v>
      </c>
    </row>
    <row r="218" spans="1:8">
      <c r="A218" s="24">
        <v>255022</v>
      </c>
      <c r="B218" s="25" t="s">
        <v>348</v>
      </c>
      <c r="C218" s="39" t="str">
        <f t="shared" si="6"/>
        <v>205</v>
      </c>
      <c r="D218" s="39" t="str">
        <f t="shared" si="7"/>
        <v>20502</v>
      </c>
      <c r="E218" s="39">
        <f>IF(ISNA(VLOOKUP(F218,'2020功能科目'!A:B,2,FALSE)),"",VLOOKUP(F218,'2020功能科目'!A:B,2,FALSE))</f>
        <v>2050204</v>
      </c>
      <c r="F218" s="25" t="s">
        <v>376</v>
      </c>
      <c r="G218" s="26">
        <v>46564</v>
      </c>
      <c r="H218" s="26">
        <v>51629</v>
      </c>
    </row>
    <row r="219" spans="1:8">
      <c r="A219" s="24">
        <v>255022</v>
      </c>
      <c r="B219" s="25" t="s">
        <v>348</v>
      </c>
      <c r="C219" s="39" t="str">
        <f t="shared" si="6"/>
        <v>205</v>
      </c>
      <c r="D219" s="39" t="str">
        <f t="shared" si="7"/>
        <v>20502</v>
      </c>
      <c r="E219" s="39">
        <f>IF(ISNA(VLOOKUP(F219,'2020功能科目'!A:B,2,FALSE)),"",VLOOKUP(F219,'2020功能科目'!A:B,2,FALSE))</f>
        <v>2050299</v>
      </c>
      <c r="F219" s="25" t="s">
        <v>377</v>
      </c>
      <c r="G219" s="26">
        <v>279.2</v>
      </c>
      <c r="H219" s="26">
        <v>0</v>
      </c>
    </row>
    <row r="220" spans="1:8">
      <c r="A220" s="24">
        <v>255022</v>
      </c>
      <c r="B220" s="25" t="s">
        <v>348</v>
      </c>
      <c r="C220" s="39" t="str">
        <f t="shared" si="6"/>
        <v>205</v>
      </c>
      <c r="D220" s="39" t="str">
        <f t="shared" si="7"/>
        <v>20508</v>
      </c>
      <c r="E220" s="39">
        <f>IF(ISNA(VLOOKUP(F220,'2020功能科目'!A:B,2,FALSE)),"",VLOOKUP(F220,'2020功能科目'!A:B,2,FALSE))</f>
        <v>2050803</v>
      </c>
      <c r="F220" s="25" t="s">
        <v>378</v>
      </c>
      <c r="G220" s="26">
        <v>36800</v>
      </c>
      <c r="H220" s="26">
        <v>73600</v>
      </c>
    </row>
    <row r="221" spans="1:8">
      <c r="A221" s="24">
        <v>255022</v>
      </c>
      <c r="B221" s="25" t="s">
        <v>348</v>
      </c>
      <c r="C221" s="39" t="str">
        <f t="shared" si="6"/>
        <v>205</v>
      </c>
      <c r="D221" s="39" t="str">
        <f t="shared" si="7"/>
        <v>20509</v>
      </c>
      <c r="E221" s="39">
        <f>IF(ISNA(VLOOKUP(F221,'2020功能科目'!A:B,2,FALSE)),"",VLOOKUP(F221,'2020功能科目'!A:B,2,FALSE))</f>
        <v>2050903</v>
      </c>
      <c r="F221" s="25" t="s">
        <v>379</v>
      </c>
      <c r="G221" s="26">
        <v>138743.4</v>
      </c>
      <c r="H221" s="26">
        <v>140000</v>
      </c>
    </row>
    <row r="222" spans="1:8">
      <c r="A222" s="24">
        <v>255022</v>
      </c>
      <c r="B222" s="25" t="s">
        <v>348</v>
      </c>
      <c r="C222" s="39" t="str">
        <f t="shared" si="6"/>
        <v>205</v>
      </c>
      <c r="D222" s="39" t="str">
        <f t="shared" si="7"/>
        <v>20509</v>
      </c>
      <c r="E222" s="39">
        <f>IF(ISNA(VLOOKUP(F222,'2020功能科目'!A:B,2,FALSE)),"",VLOOKUP(F222,'2020功能科目'!A:B,2,FALSE))</f>
        <v>2050904</v>
      </c>
      <c r="F222" s="25" t="s">
        <v>380</v>
      </c>
      <c r="G222" s="26">
        <v>1246675.0900000001</v>
      </c>
      <c r="H222" s="26">
        <v>1261160</v>
      </c>
    </row>
    <row r="223" spans="1:8">
      <c r="A223" s="24">
        <v>255022</v>
      </c>
      <c r="B223" s="25" t="s">
        <v>348</v>
      </c>
      <c r="C223" s="39" t="str">
        <f t="shared" si="6"/>
        <v>208</v>
      </c>
      <c r="D223" s="39" t="str">
        <f t="shared" si="7"/>
        <v>20805</v>
      </c>
      <c r="E223" s="39">
        <f>IF(ISNA(VLOOKUP(F223,'2020功能科目'!A:B,2,FALSE)),"",VLOOKUP(F223,'2020功能科目'!A:B,2,FALSE))</f>
        <v>2080502</v>
      </c>
      <c r="F223" s="25" t="s">
        <v>381</v>
      </c>
      <c r="G223" s="26">
        <v>2701675.56</v>
      </c>
      <c r="H223" s="26">
        <v>2070473.15</v>
      </c>
    </row>
    <row r="224" spans="1:8">
      <c r="A224" s="24">
        <v>255022</v>
      </c>
      <c r="B224" s="25" t="s">
        <v>348</v>
      </c>
      <c r="C224" s="39" t="str">
        <f t="shared" si="6"/>
        <v>208</v>
      </c>
      <c r="D224" s="39" t="str">
        <f t="shared" si="7"/>
        <v>20805</v>
      </c>
      <c r="E224" s="39">
        <f>IF(ISNA(VLOOKUP(F224,'2020功能科目'!A:B,2,FALSE)),"",VLOOKUP(F224,'2020功能科目'!A:B,2,FALSE))</f>
        <v>2080505</v>
      </c>
      <c r="F224" s="25" t="s">
        <v>382</v>
      </c>
      <c r="G224" s="26">
        <v>1964071.04</v>
      </c>
      <c r="H224" s="26">
        <v>2098399.36</v>
      </c>
    </row>
    <row r="225" spans="1:8">
      <c r="A225" s="24">
        <v>255022</v>
      </c>
      <c r="B225" s="25" t="s">
        <v>348</v>
      </c>
      <c r="C225" s="39" t="str">
        <f t="shared" si="6"/>
        <v>208</v>
      </c>
      <c r="D225" s="39" t="str">
        <f t="shared" si="7"/>
        <v>20805</v>
      </c>
      <c r="E225" s="39">
        <f>IF(ISNA(VLOOKUP(F225,'2020功能科目'!A:B,2,FALSE)),"",VLOOKUP(F225,'2020功能科目'!A:B,2,FALSE))</f>
        <v>2080506</v>
      </c>
      <c r="F225" s="25" t="s">
        <v>383</v>
      </c>
      <c r="G225" s="26">
        <v>982035.52</v>
      </c>
      <c r="H225" s="26">
        <v>1049199.68</v>
      </c>
    </row>
    <row r="226" spans="1:8">
      <c r="A226" s="24">
        <v>255022</v>
      </c>
      <c r="B226" s="25" t="s">
        <v>348</v>
      </c>
      <c r="C226" s="39" t="str">
        <f t="shared" si="6"/>
        <v>210</v>
      </c>
      <c r="D226" s="39" t="str">
        <f t="shared" si="7"/>
        <v>21011</v>
      </c>
      <c r="E226" s="39">
        <f>IF(ISNA(VLOOKUP(F226,'2020功能科目'!A:B,2,FALSE)),"",VLOOKUP(F226,'2020功能科目'!A:B,2,FALSE))</f>
        <v>2101102</v>
      </c>
      <c r="F226" s="25" t="s">
        <v>385</v>
      </c>
      <c r="G226" s="26">
        <v>2132507.06</v>
      </c>
      <c r="H226" s="26">
        <v>1704949.48</v>
      </c>
    </row>
    <row r="227" spans="1:8">
      <c r="A227" s="24">
        <v>255022</v>
      </c>
      <c r="B227" s="25" t="s">
        <v>348</v>
      </c>
      <c r="C227" s="39" t="str">
        <f t="shared" si="6"/>
        <v>210</v>
      </c>
      <c r="D227" s="39" t="str">
        <f t="shared" si="7"/>
        <v>21011</v>
      </c>
      <c r="E227" s="39">
        <f>IF(ISNA(VLOOKUP(F227,'2020功能科目'!A:B,2,FALSE)),"",VLOOKUP(F227,'2020功能科目'!A:B,2,FALSE))</f>
        <v>2101199</v>
      </c>
      <c r="F227" s="25" t="s">
        <v>386</v>
      </c>
      <c r="G227" s="26">
        <v>180000</v>
      </c>
      <c r="H227" s="26">
        <v>360000</v>
      </c>
    </row>
    <row r="228" spans="1:8">
      <c r="A228" s="24">
        <v>255022</v>
      </c>
      <c r="B228" s="25" t="s">
        <v>348</v>
      </c>
      <c r="C228" s="39" t="str">
        <f t="shared" si="6"/>
        <v>221</v>
      </c>
      <c r="D228" s="39" t="str">
        <f t="shared" si="7"/>
        <v>22102</v>
      </c>
      <c r="E228" s="39">
        <f>IF(ISNA(VLOOKUP(F228,'2020功能科目'!A:B,2,FALSE)),"",VLOOKUP(F228,'2020功能科目'!A:B,2,FALSE))</f>
        <v>2210201</v>
      </c>
      <c r="F228" s="25" t="s">
        <v>387</v>
      </c>
      <c r="G228" s="26">
        <v>2537027</v>
      </c>
      <c r="H228" s="26">
        <v>2125799.52</v>
      </c>
    </row>
    <row r="229" spans="1:8">
      <c r="A229" s="24">
        <v>255022</v>
      </c>
      <c r="B229" s="25" t="s">
        <v>348</v>
      </c>
      <c r="C229" s="39" t="str">
        <f t="shared" si="6"/>
        <v>221</v>
      </c>
      <c r="D229" s="39" t="str">
        <f t="shared" si="7"/>
        <v>22102</v>
      </c>
      <c r="E229" s="39">
        <f>IF(ISNA(VLOOKUP(F229,'2020功能科目'!A:B,2,FALSE)),"",VLOOKUP(F229,'2020功能科目'!A:B,2,FALSE))</f>
        <v>2210202</v>
      </c>
      <c r="F229" s="25" t="s">
        <v>388</v>
      </c>
      <c r="G229" s="26">
        <v>215560</v>
      </c>
      <c r="H229" s="26">
        <v>217920</v>
      </c>
    </row>
    <row r="230" spans="1:8">
      <c r="A230" s="24">
        <v>255022</v>
      </c>
      <c r="B230" s="25" t="s">
        <v>348</v>
      </c>
      <c r="C230" s="39" t="str">
        <f t="shared" si="6"/>
        <v>221</v>
      </c>
      <c r="D230" s="39" t="str">
        <f t="shared" si="7"/>
        <v>22102</v>
      </c>
      <c r="E230" s="39">
        <f>IF(ISNA(VLOOKUP(F230,'2020功能科目'!A:B,2,FALSE)),"",VLOOKUP(F230,'2020功能科目'!A:B,2,FALSE))</f>
        <v>2210203</v>
      </c>
      <c r="F230" s="25" t="s">
        <v>389</v>
      </c>
      <c r="G230" s="26">
        <v>2383500</v>
      </c>
      <c r="H230" s="26">
        <v>2331084</v>
      </c>
    </row>
    <row r="231" spans="1:8">
      <c r="A231" s="24">
        <v>255025</v>
      </c>
      <c r="B231" s="25" t="s">
        <v>20</v>
      </c>
      <c r="C231" s="39" t="str">
        <f t="shared" si="6"/>
        <v>205</v>
      </c>
      <c r="D231" s="39" t="str">
        <f t="shared" si="7"/>
        <v>20502</v>
      </c>
      <c r="E231" s="39">
        <f>IF(ISNA(VLOOKUP(F231,'2020功能科目'!A:B,2,FALSE)),"",VLOOKUP(F231,'2020功能科目'!A:B,2,FALSE))</f>
        <v>2050204</v>
      </c>
      <c r="F231" s="25" t="s">
        <v>376</v>
      </c>
      <c r="G231" s="26">
        <v>36646298.460000001</v>
      </c>
      <c r="H231" s="26">
        <v>30995657.010000002</v>
      </c>
    </row>
    <row r="232" spans="1:8">
      <c r="A232" s="24">
        <v>255025</v>
      </c>
      <c r="B232" s="25" t="s">
        <v>20</v>
      </c>
      <c r="C232" s="39" t="str">
        <f t="shared" si="6"/>
        <v>205</v>
      </c>
      <c r="D232" s="39" t="str">
        <f t="shared" si="7"/>
        <v>20502</v>
      </c>
      <c r="E232" s="39">
        <f>IF(ISNA(VLOOKUP(F232,'2020功能科目'!A:B,2,FALSE)),"",VLOOKUP(F232,'2020功能科目'!A:B,2,FALSE))</f>
        <v>2050299</v>
      </c>
      <c r="F232" s="25" t="s">
        <v>377</v>
      </c>
      <c r="G232" s="26">
        <v>906.57</v>
      </c>
      <c r="H232" s="26">
        <v>0</v>
      </c>
    </row>
    <row r="233" spans="1:8">
      <c r="A233" s="24">
        <v>255025</v>
      </c>
      <c r="B233" s="25" t="s">
        <v>20</v>
      </c>
      <c r="C233" s="39" t="str">
        <f t="shared" si="6"/>
        <v>205</v>
      </c>
      <c r="D233" s="39" t="str">
        <f t="shared" si="7"/>
        <v>20508</v>
      </c>
      <c r="E233" s="39">
        <f>IF(ISNA(VLOOKUP(F233,'2020功能科目'!A:B,2,FALSE)),"",VLOOKUP(F233,'2020功能科目'!A:B,2,FALSE))</f>
        <v>2050803</v>
      </c>
      <c r="F233" s="25" t="s">
        <v>378</v>
      </c>
      <c r="G233" s="26">
        <v>46800</v>
      </c>
      <c r="H233" s="26">
        <v>93600</v>
      </c>
    </row>
    <row r="234" spans="1:8">
      <c r="A234" s="24">
        <v>255025</v>
      </c>
      <c r="B234" s="25" t="s">
        <v>20</v>
      </c>
      <c r="C234" s="39" t="str">
        <f t="shared" si="6"/>
        <v>205</v>
      </c>
      <c r="D234" s="39" t="str">
        <f t="shared" si="7"/>
        <v>20509</v>
      </c>
      <c r="E234" s="39">
        <f>IF(ISNA(VLOOKUP(F234,'2020功能科目'!A:B,2,FALSE)),"",VLOOKUP(F234,'2020功能科目'!A:B,2,FALSE))</f>
        <v>2050903</v>
      </c>
      <c r="F234" s="25" t="s">
        <v>379</v>
      </c>
      <c r="G234" s="26">
        <v>1731184.04</v>
      </c>
      <c r="H234" s="26">
        <v>1750000</v>
      </c>
    </row>
    <row r="235" spans="1:8">
      <c r="A235" s="24">
        <v>255025</v>
      </c>
      <c r="B235" s="25" t="s">
        <v>20</v>
      </c>
      <c r="C235" s="39" t="str">
        <f t="shared" si="6"/>
        <v>205</v>
      </c>
      <c r="D235" s="39" t="str">
        <f t="shared" si="7"/>
        <v>20509</v>
      </c>
      <c r="E235" s="39">
        <f>IF(ISNA(VLOOKUP(F235,'2020功能科目'!A:B,2,FALSE)),"",VLOOKUP(F235,'2020功能科目'!A:B,2,FALSE))</f>
        <v>2050904</v>
      </c>
      <c r="F235" s="25" t="s">
        <v>380</v>
      </c>
      <c r="G235" s="26">
        <v>1502869</v>
      </c>
      <c r="H235" s="26">
        <v>1503824</v>
      </c>
    </row>
    <row r="236" spans="1:8">
      <c r="A236" s="24">
        <v>255025</v>
      </c>
      <c r="B236" s="25" t="s">
        <v>20</v>
      </c>
      <c r="C236" s="39" t="str">
        <f t="shared" si="6"/>
        <v>208</v>
      </c>
      <c r="D236" s="39" t="str">
        <f t="shared" si="7"/>
        <v>20805</v>
      </c>
      <c r="E236" s="39">
        <f>IF(ISNA(VLOOKUP(F236,'2020功能科目'!A:B,2,FALSE)),"",VLOOKUP(F236,'2020功能科目'!A:B,2,FALSE))</f>
        <v>2080502</v>
      </c>
      <c r="F236" s="25" t="s">
        <v>381</v>
      </c>
      <c r="G236" s="26">
        <v>1725654.6</v>
      </c>
      <c r="H236" s="26">
        <v>1506419.4</v>
      </c>
    </row>
    <row r="237" spans="1:8">
      <c r="A237" s="24">
        <v>255025</v>
      </c>
      <c r="B237" s="25" t="s">
        <v>20</v>
      </c>
      <c r="C237" s="39" t="str">
        <f t="shared" si="6"/>
        <v>208</v>
      </c>
      <c r="D237" s="39" t="str">
        <f t="shared" si="7"/>
        <v>20805</v>
      </c>
      <c r="E237" s="39">
        <f>IF(ISNA(VLOOKUP(F237,'2020功能科目'!A:B,2,FALSE)),"",VLOOKUP(F237,'2020功能科目'!A:B,2,FALSE))</f>
        <v>2080505</v>
      </c>
      <c r="F237" s="25" t="s">
        <v>382</v>
      </c>
      <c r="G237" s="26">
        <v>3126033.6</v>
      </c>
      <c r="H237" s="26">
        <v>3076033.6</v>
      </c>
    </row>
    <row r="238" spans="1:8">
      <c r="A238" s="24">
        <v>255025</v>
      </c>
      <c r="B238" s="25" t="s">
        <v>20</v>
      </c>
      <c r="C238" s="39" t="str">
        <f t="shared" si="6"/>
        <v>208</v>
      </c>
      <c r="D238" s="39" t="str">
        <f t="shared" si="7"/>
        <v>20805</v>
      </c>
      <c r="E238" s="39">
        <f>IF(ISNA(VLOOKUP(F238,'2020功能科目'!A:B,2,FALSE)),"",VLOOKUP(F238,'2020功能科目'!A:B,2,FALSE))</f>
        <v>2080506</v>
      </c>
      <c r="F238" s="25" t="s">
        <v>383</v>
      </c>
      <c r="G238" s="26">
        <v>1563016.8</v>
      </c>
      <c r="H238" s="26">
        <v>1538016.8</v>
      </c>
    </row>
    <row r="239" spans="1:8">
      <c r="A239" s="24">
        <v>255025</v>
      </c>
      <c r="B239" s="25" t="s">
        <v>20</v>
      </c>
      <c r="C239" s="39" t="str">
        <f t="shared" si="6"/>
        <v>210</v>
      </c>
      <c r="D239" s="39" t="str">
        <f t="shared" si="7"/>
        <v>21011</v>
      </c>
      <c r="E239" s="39">
        <f>IF(ISNA(VLOOKUP(F239,'2020功能科目'!A:B,2,FALSE)),"",VLOOKUP(F239,'2020功能科目'!A:B,2,FALSE))</f>
        <v>2101102</v>
      </c>
      <c r="F239" s="25" t="s">
        <v>385</v>
      </c>
      <c r="G239" s="26">
        <v>2649277.2999999998</v>
      </c>
      <c r="H239" s="26">
        <v>2499277.2999999998</v>
      </c>
    </row>
    <row r="240" spans="1:8">
      <c r="A240" s="24">
        <v>255025</v>
      </c>
      <c r="B240" s="25" t="s">
        <v>20</v>
      </c>
      <c r="C240" s="39" t="str">
        <f t="shared" si="6"/>
        <v>210</v>
      </c>
      <c r="D240" s="39" t="str">
        <f t="shared" si="7"/>
        <v>21011</v>
      </c>
      <c r="E240" s="39">
        <f>IF(ISNA(VLOOKUP(F240,'2020功能科目'!A:B,2,FALSE)),"",VLOOKUP(F240,'2020功能科目'!A:B,2,FALSE))</f>
        <v>2101199</v>
      </c>
      <c r="F240" s="25" t="s">
        <v>386</v>
      </c>
      <c r="G240" s="26">
        <v>180000</v>
      </c>
      <c r="H240" s="26">
        <v>180000</v>
      </c>
    </row>
    <row r="241" spans="1:8">
      <c r="A241" s="24">
        <v>255025</v>
      </c>
      <c r="B241" s="25" t="s">
        <v>20</v>
      </c>
      <c r="C241" s="39" t="str">
        <f t="shared" si="6"/>
        <v>221</v>
      </c>
      <c r="D241" s="39" t="str">
        <f t="shared" si="7"/>
        <v>22102</v>
      </c>
      <c r="E241" s="39">
        <f>IF(ISNA(VLOOKUP(F241,'2020功能科目'!A:B,2,FALSE)),"",VLOOKUP(F241,'2020功能科目'!A:B,2,FALSE))</f>
        <v>2210201</v>
      </c>
      <c r="F241" s="25" t="s">
        <v>387</v>
      </c>
      <c r="G241" s="26">
        <v>2983803</v>
      </c>
      <c r="H241" s="26">
        <v>3009025.2</v>
      </c>
    </row>
    <row r="242" spans="1:8">
      <c r="A242" s="24">
        <v>255025</v>
      </c>
      <c r="B242" s="25" t="s">
        <v>20</v>
      </c>
      <c r="C242" s="39" t="str">
        <f t="shared" si="6"/>
        <v>221</v>
      </c>
      <c r="D242" s="39" t="str">
        <f t="shared" si="7"/>
        <v>22102</v>
      </c>
      <c r="E242" s="39">
        <f>IF(ISNA(VLOOKUP(F242,'2020功能科目'!A:B,2,FALSE)),"",VLOOKUP(F242,'2020功能科目'!A:B,2,FALSE))</f>
        <v>2210202</v>
      </c>
      <c r="F242" s="25" t="s">
        <v>388</v>
      </c>
      <c r="G242" s="26">
        <v>215880</v>
      </c>
      <c r="H242" s="26">
        <v>216120</v>
      </c>
    </row>
    <row r="243" spans="1:8">
      <c r="A243" s="24">
        <v>255025</v>
      </c>
      <c r="B243" s="25" t="s">
        <v>20</v>
      </c>
      <c r="C243" s="39" t="str">
        <f t="shared" si="6"/>
        <v>221</v>
      </c>
      <c r="D243" s="39" t="str">
        <f t="shared" si="7"/>
        <v>22102</v>
      </c>
      <c r="E243" s="39">
        <f>IF(ISNA(VLOOKUP(F243,'2020功能科目'!A:B,2,FALSE)),"",VLOOKUP(F243,'2020功能科目'!A:B,2,FALSE))</f>
        <v>2210203</v>
      </c>
      <c r="F243" s="25" t="s">
        <v>389</v>
      </c>
      <c r="G243" s="26">
        <v>3435147</v>
      </c>
      <c r="H243" s="26">
        <v>3156648</v>
      </c>
    </row>
    <row r="244" spans="1:8">
      <c r="A244" s="24">
        <v>255026</v>
      </c>
      <c r="B244" s="25" t="s">
        <v>21</v>
      </c>
      <c r="C244" s="39" t="str">
        <f t="shared" si="6"/>
        <v>205</v>
      </c>
      <c r="D244" s="39" t="str">
        <f t="shared" si="7"/>
        <v>20502</v>
      </c>
      <c r="E244" s="39">
        <f>IF(ISNA(VLOOKUP(F244,'2020功能科目'!A:B,2,FALSE)),"",VLOOKUP(F244,'2020功能科目'!A:B,2,FALSE))</f>
        <v>2050203</v>
      </c>
      <c r="F244" s="25" t="s">
        <v>390</v>
      </c>
      <c r="G244" s="26">
        <v>63505289.390000001</v>
      </c>
      <c r="H244" s="26">
        <v>52258547.189999998</v>
      </c>
    </row>
    <row r="245" spans="1:8">
      <c r="A245" s="24">
        <v>255026</v>
      </c>
      <c r="B245" s="25" t="s">
        <v>21</v>
      </c>
      <c r="C245" s="39" t="str">
        <f t="shared" si="6"/>
        <v>205</v>
      </c>
      <c r="D245" s="39" t="str">
        <f t="shared" si="7"/>
        <v>20502</v>
      </c>
      <c r="E245" s="39">
        <f>IF(ISNA(VLOOKUP(F245,'2020功能科目'!A:B,2,FALSE)),"",VLOOKUP(F245,'2020功能科目'!A:B,2,FALSE))</f>
        <v>2050299</v>
      </c>
      <c r="F245" s="25" t="s">
        <v>377</v>
      </c>
      <c r="G245" s="26">
        <v>1598.65</v>
      </c>
      <c r="H245" s="26">
        <v>0</v>
      </c>
    </row>
    <row r="246" spans="1:8">
      <c r="A246" s="24">
        <v>255026</v>
      </c>
      <c r="B246" s="25" t="s">
        <v>21</v>
      </c>
      <c r="C246" s="39" t="str">
        <f t="shared" si="6"/>
        <v>205</v>
      </c>
      <c r="D246" s="39" t="str">
        <f t="shared" si="7"/>
        <v>20508</v>
      </c>
      <c r="E246" s="39">
        <f>IF(ISNA(VLOOKUP(F246,'2020功能科目'!A:B,2,FALSE)),"",VLOOKUP(F246,'2020功能科目'!A:B,2,FALSE))</f>
        <v>2050803</v>
      </c>
      <c r="F246" s="25" t="s">
        <v>378</v>
      </c>
      <c r="G246" s="26">
        <v>62000</v>
      </c>
      <c r="H246" s="26">
        <v>157600</v>
      </c>
    </row>
    <row r="247" spans="1:8">
      <c r="A247" s="24">
        <v>255026</v>
      </c>
      <c r="B247" s="25" t="s">
        <v>21</v>
      </c>
      <c r="C247" s="39" t="str">
        <f t="shared" si="6"/>
        <v>205</v>
      </c>
      <c r="D247" s="39" t="str">
        <f t="shared" si="7"/>
        <v>20509</v>
      </c>
      <c r="E247" s="39">
        <f>IF(ISNA(VLOOKUP(F247,'2020功能科目'!A:B,2,FALSE)),"",VLOOKUP(F247,'2020功能科目'!A:B,2,FALSE))</f>
        <v>2050903</v>
      </c>
      <c r="F247" s="25" t="s">
        <v>379</v>
      </c>
      <c r="G247" s="26">
        <v>111811.27</v>
      </c>
      <c r="H247" s="26">
        <v>112000</v>
      </c>
    </row>
    <row r="248" spans="1:8">
      <c r="A248" s="24">
        <v>255026</v>
      </c>
      <c r="B248" s="25" t="s">
        <v>21</v>
      </c>
      <c r="C248" s="39" t="str">
        <f t="shared" si="6"/>
        <v>205</v>
      </c>
      <c r="D248" s="39" t="str">
        <f t="shared" si="7"/>
        <v>20509</v>
      </c>
      <c r="E248" s="39">
        <f>IF(ISNA(VLOOKUP(F248,'2020功能科目'!A:B,2,FALSE)),"",VLOOKUP(F248,'2020功能科目'!A:B,2,FALSE))</f>
        <v>2050904</v>
      </c>
      <c r="F248" s="25" t="s">
        <v>380</v>
      </c>
      <c r="G248" s="26">
        <v>1673132</v>
      </c>
      <c r="H248" s="26">
        <v>1701080</v>
      </c>
    </row>
    <row r="249" spans="1:8">
      <c r="A249" s="24">
        <v>255026</v>
      </c>
      <c r="B249" s="25" t="s">
        <v>21</v>
      </c>
      <c r="C249" s="39" t="str">
        <f t="shared" si="6"/>
        <v>208</v>
      </c>
      <c r="D249" s="39" t="str">
        <f t="shared" si="7"/>
        <v>20805</v>
      </c>
      <c r="E249" s="39">
        <f>IF(ISNA(VLOOKUP(F249,'2020功能科目'!A:B,2,FALSE)),"",VLOOKUP(F249,'2020功能科目'!A:B,2,FALSE))</f>
        <v>2080502</v>
      </c>
      <c r="F249" s="25" t="s">
        <v>381</v>
      </c>
      <c r="G249" s="26">
        <v>4972984.6500000004</v>
      </c>
      <c r="H249" s="26">
        <v>3343484.95</v>
      </c>
    </row>
    <row r="250" spans="1:8">
      <c r="A250" s="24">
        <v>255026</v>
      </c>
      <c r="B250" s="25" t="s">
        <v>21</v>
      </c>
      <c r="C250" s="39" t="str">
        <f t="shared" si="6"/>
        <v>208</v>
      </c>
      <c r="D250" s="39" t="str">
        <f t="shared" si="7"/>
        <v>20805</v>
      </c>
      <c r="E250" s="39">
        <f>IF(ISNA(VLOOKUP(F250,'2020功能科目'!A:B,2,FALSE)),"",VLOOKUP(F250,'2020功能科目'!A:B,2,FALSE))</f>
        <v>2080505</v>
      </c>
      <c r="F250" s="25" t="s">
        <v>382</v>
      </c>
      <c r="G250" s="26">
        <v>4828944.4800000004</v>
      </c>
      <c r="H250" s="26">
        <v>5149790.41</v>
      </c>
    </row>
    <row r="251" spans="1:8">
      <c r="A251" s="24">
        <v>255026</v>
      </c>
      <c r="B251" s="25" t="s">
        <v>21</v>
      </c>
      <c r="C251" s="39" t="str">
        <f t="shared" si="6"/>
        <v>208</v>
      </c>
      <c r="D251" s="39" t="str">
        <f t="shared" si="7"/>
        <v>20805</v>
      </c>
      <c r="E251" s="39">
        <f>IF(ISNA(VLOOKUP(F251,'2020功能科目'!A:B,2,FALSE)),"",VLOOKUP(F251,'2020功能科目'!A:B,2,FALSE))</f>
        <v>2080506</v>
      </c>
      <c r="F251" s="25" t="s">
        <v>383</v>
      </c>
      <c r="G251" s="26">
        <v>2414472.2400000002</v>
      </c>
      <c r="H251" s="26">
        <v>2574895.21</v>
      </c>
    </row>
    <row r="252" spans="1:8">
      <c r="A252" s="24">
        <v>255026</v>
      </c>
      <c r="B252" s="25" t="s">
        <v>21</v>
      </c>
      <c r="C252" s="39" t="str">
        <f t="shared" si="6"/>
        <v>210</v>
      </c>
      <c r="D252" s="39" t="str">
        <f t="shared" si="7"/>
        <v>21011</v>
      </c>
      <c r="E252" s="39">
        <f>IF(ISNA(VLOOKUP(F252,'2020功能科目'!A:B,2,FALSE)),"",VLOOKUP(F252,'2020功能科目'!A:B,2,FALSE))</f>
        <v>2101102</v>
      </c>
      <c r="F252" s="25" t="s">
        <v>385</v>
      </c>
      <c r="G252" s="26">
        <v>4899709.5999999996</v>
      </c>
      <c r="H252" s="26">
        <v>4184204.71</v>
      </c>
    </row>
    <row r="253" spans="1:8">
      <c r="A253" s="24">
        <v>255026</v>
      </c>
      <c r="B253" s="25" t="s">
        <v>21</v>
      </c>
      <c r="C253" s="39" t="str">
        <f t="shared" si="6"/>
        <v>210</v>
      </c>
      <c r="D253" s="39" t="str">
        <f t="shared" si="7"/>
        <v>21011</v>
      </c>
      <c r="E253" s="39">
        <f>IF(ISNA(VLOOKUP(F253,'2020功能科目'!A:B,2,FALSE)),"",VLOOKUP(F253,'2020功能科目'!A:B,2,FALSE))</f>
        <v>2101199</v>
      </c>
      <c r="F253" s="25" t="s">
        <v>386</v>
      </c>
      <c r="G253" s="26">
        <v>450000</v>
      </c>
      <c r="H253" s="26">
        <v>450000</v>
      </c>
    </row>
    <row r="254" spans="1:8">
      <c r="A254" s="24">
        <v>255026</v>
      </c>
      <c r="B254" s="25" t="s">
        <v>21</v>
      </c>
      <c r="C254" s="39" t="str">
        <f t="shared" si="6"/>
        <v>221</v>
      </c>
      <c r="D254" s="39" t="str">
        <f t="shared" si="7"/>
        <v>22102</v>
      </c>
      <c r="E254" s="39">
        <f>IF(ISNA(VLOOKUP(F254,'2020功能科目'!A:B,2,FALSE)),"",VLOOKUP(F254,'2020功能科目'!A:B,2,FALSE))</f>
        <v>2210201</v>
      </c>
      <c r="F254" s="25" t="s">
        <v>387</v>
      </c>
      <c r="G254" s="26">
        <v>5230770</v>
      </c>
      <c r="H254" s="26">
        <v>5044342.8099999996</v>
      </c>
    </row>
    <row r="255" spans="1:8">
      <c r="A255" s="24">
        <v>255026</v>
      </c>
      <c r="B255" s="25" t="s">
        <v>21</v>
      </c>
      <c r="C255" s="39" t="str">
        <f t="shared" si="6"/>
        <v>221</v>
      </c>
      <c r="D255" s="39" t="str">
        <f t="shared" si="7"/>
        <v>22102</v>
      </c>
      <c r="E255" s="39">
        <f>IF(ISNA(VLOOKUP(F255,'2020功能科目'!A:B,2,FALSE)),"",VLOOKUP(F255,'2020功能科目'!A:B,2,FALSE))</f>
        <v>2210202</v>
      </c>
      <c r="F255" s="25" t="s">
        <v>388</v>
      </c>
      <c r="G255" s="26">
        <v>419620</v>
      </c>
      <c r="H255" s="26">
        <v>415920</v>
      </c>
    </row>
    <row r="256" spans="1:8">
      <c r="A256" s="24">
        <v>255026</v>
      </c>
      <c r="B256" s="25" t="s">
        <v>21</v>
      </c>
      <c r="C256" s="39" t="str">
        <f t="shared" si="6"/>
        <v>221</v>
      </c>
      <c r="D256" s="39" t="str">
        <f t="shared" si="7"/>
        <v>22102</v>
      </c>
      <c r="E256" s="39">
        <f>IF(ISNA(VLOOKUP(F256,'2020功能科目'!A:B,2,FALSE)),"",VLOOKUP(F256,'2020功能科目'!A:B,2,FALSE))</f>
        <v>2210203</v>
      </c>
      <c r="F256" s="25" t="s">
        <v>389</v>
      </c>
      <c r="G256" s="26">
        <v>5290039</v>
      </c>
      <c r="H256" s="26">
        <v>5308428</v>
      </c>
    </row>
    <row r="257" spans="1:8">
      <c r="A257" s="24">
        <v>255027</v>
      </c>
      <c r="B257" s="25" t="s">
        <v>22</v>
      </c>
      <c r="C257" s="39" t="str">
        <f t="shared" si="6"/>
        <v>205</v>
      </c>
      <c r="D257" s="39" t="str">
        <f t="shared" si="7"/>
        <v>20502</v>
      </c>
      <c r="E257" s="39">
        <f>IF(ISNA(VLOOKUP(F257,'2020功能科目'!A:B,2,FALSE)),"",VLOOKUP(F257,'2020功能科目'!A:B,2,FALSE))</f>
        <v>2050203</v>
      </c>
      <c r="F257" s="25" t="s">
        <v>390</v>
      </c>
      <c r="G257" s="26">
        <v>82828732.140000001</v>
      </c>
      <c r="H257" s="26">
        <v>69059340.689999998</v>
      </c>
    </row>
    <row r="258" spans="1:8">
      <c r="A258" s="24">
        <v>255027</v>
      </c>
      <c r="B258" s="25" t="s">
        <v>22</v>
      </c>
      <c r="C258" s="39" t="str">
        <f t="shared" si="6"/>
        <v>205</v>
      </c>
      <c r="D258" s="39" t="str">
        <f t="shared" si="7"/>
        <v>20502</v>
      </c>
      <c r="E258" s="39">
        <f>IF(ISNA(VLOOKUP(F258,'2020功能科目'!A:B,2,FALSE)),"",VLOOKUP(F258,'2020功能科目'!A:B,2,FALSE))</f>
        <v>2050299</v>
      </c>
      <c r="F258" s="25" t="s">
        <v>377</v>
      </c>
      <c r="G258" s="26">
        <v>223880.7</v>
      </c>
      <c r="H258" s="26">
        <v>240240.41</v>
      </c>
    </row>
    <row r="259" spans="1:8">
      <c r="A259" s="24">
        <v>255027</v>
      </c>
      <c r="B259" s="25" t="s">
        <v>22</v>
      </c>
      <c r="C259" s="39" t="str">
        <f t="shared" ref="C259:C322" si="8">LEFT(D259,3)</f>
        <v>205</v>
      </c>
      <c r="D259" s="39" t="str">
        <f t="shared" ref="D259:D322" si="9">LEFT(E259,5)</f>
        <v>20508</v>
      </c>
      <c r="E259" s="39">
        <f>IF(ISNA(VLOOKUP(F259,'2020功能科目'!A:B,2,FALSE)),"",VLOOKUP(F259,'2020功能科目'!A:B,2,FALSE))</f>
        <v>2050803</v>
      </c>
      <c r="F259" s="25" t="s">
        <v>378</v>
      </c>
      <c r="G259" s="26">
        <v>100699</v>
      </c>
      <c r="H259" s="26">
        <v>206400</v>
      </c>
    </row>
    <row r="260" spans="1:8">
      <c r="A260" s="24">
        <v>255027</v>
      </c>
      <c r="B260" s="25" t="s">
        <v>22</v>
      </c>
      <c r="C260" s="39" t="str">
        <f t="shared" si="8"/>
        <v>205</v>
      </c>
      <c r="D260" s="39" t="str">
        <f t="shared" si="9"/>
        <v>20509</v>
      </c>
      <c r="E260" s="39">
        <f>IF(ISNA(VLOOKUP(F260,'2020功能科目'!A:B,2,FALSE)),"",VLOOKUP(F260,'2020功能科目'!A:B,2,FALSE))</f>
        <v>2050903</v>
      </c>
      <c r="F260" s="25" t="s">
        <v>379</v>
      </c>
      <c r="G260" s="26">
        <v>671984.81</v>
      </c>
      <c r="H260" s="26">
        <v>672000</v>
      </c>
    </row>
    <row r="261" spans="1:8">
      <c r="A261" s="24">
        <v>255027</v>
      </c>
      <c r="B261" s="25" t="s">
        <v>22</v>
      </c>
      <c r="C261" s="39" t="str">
        <f t="shared" si="8"/>
        <v>205</v>
      </c>
      <c r="D261" s="39" t="str">
        <f t="shared" si="9"/>
        <v>20509</v>
      </c>
      <c r="E261" s="39">
        <f>IF(ISNA(VLOOKUP(F261,'2020功能科目'!A:B,2,FALSE)),"",VLOOKUP(F261,'2020功能科目'!A:B,2,FALSE))</f>
        <v>2050904</v>
      </c>
      <c r="F261" s="25" t="s">
        <v>380</v>
      </c>
      <c r="G261" s="26">
        <v>2183054.58</v>
      </c>
      <c r="H261" s="26">
        <v>2186220</v>
      </c>
    </row>
    <row r="262" spans="1:8">
      <c r="A262" s="24">
        <v>255027</v>
      </c>
      <c r="B262" s="25" t="s">
        <v>22</v>
      </c>
      <c r="C262" s="39" t="str">
        <f t="shared" si="8"/>
        <v>208</v>
      </c>
      <c r="D262" s="39" t="str">
        <f t="shared" si="9"/>
        <v>20805</v>
      </c>
      <c r="E262" s="39">
        <f>IF(ISNA(VLOOKUP(F262,'2020功能科目'!A:B,2,FALSE)),"",VLOOKUP(F262,'2020功能科目'!A:B,2,FALSE))</f>
        <v>2080502</v>
      </c>
      <c r="F262" s="25" t="s">
        <v>381</v>
      </c>
      <c r="G262" s="26">
        <v>6750180.9199999999</v>
      </c>
      <c r="H262" s="26">
        <v>5371769.2999999998</v>
      </c>
    </row>
    <row r="263" spans="1:8">
      <c r="A263" s="24">
        <v>255027</v>
      </c>
      <c r="B263" s="25" t="s">
        <v>22</v>
      </c>
      <c r="C263" s="39" t="str">
        <f t="shared" si="8"/>
        <v>208</v>
      </c>
      <c r="D263" s="39" t="str">
        <f t="shared" si="9"/>
        <v>20805</v>
      </c>
      <c r="E263" s="39">
        <f>IF(ISNA(VLOOKUP(F263,'2020功能科目'!A:B,2,FALSE)),"",VLOOKUP(F263,'2020功能科目'!A:B,2,FALSE))</f>
        <v>2080505</v>
      </c>
      <c r="F263" s="25" t="s">
        <v>382</v>
      </c>
      <c r="G263" s="26">
        <v>6218602.6399999997</v>
      </c>
      <c r="H263" s="26">
        <v>6702349.1200000001</v>
      </c>
    </row>
    <row r="264" spans="1:8">
      <c r="A264" s="24">
        <v>255027</v>
      </c>
      <c r="B264" s="25" t="s">
        <v>22</v>
      </c>
      <c r="C264" s="39" t="str">
        <f t="shared" si="8"/>
        <v>208</v>
      </c>
      <c r="D264" s="39" t="str">
        <f t="shared" si="9"/>
        <v>20805</v>
      </c>
      <c r="E264" s="39">
        <f>IF(ISNA(VLOOKUP(F264,'2020功能科目'!A:B,2,FALSE)),"",VLOOKUP(F264,'2020功能科目'!A:B,2,FALSE))</f>
        <v>2080506</v>
      </c>
      <c r="F264" s="25" t="s">
        <v>383</v>
      </c>
      <c r="G264" s="26">
        <v>3109301.32</v>
      </c>
      <c r="H264" s="26">
        <v>3351174.56</v>
      </c>
    </row>
    <row r="265" spans="1:8">
      <c r="A265" s="24">
        <v>255027</v>
      </c>
      <c r="B265" s="25" t="s">
        <v>22</v>
      </c>
      <c r="C265" s="39" t="str">
        <f t="shared" si="8"/>
        <v>210</v>
      </c>
      <c r="D265" s="39" t="str">
        <f t="shared" si="9"/>
        <v>21011</v>
      </c>
      <c r="E265" s="39">
        <f>IF(ISNA(VLOOKUP(F265,'2020功能科目'!A:B,2,FALSE)),"",VLOOKUP(F265,'2020功能科目'!A:B,2,FALSE))</f>
        <v>2101102</v>
      </c>
      <c r="F265" s="25" t="s">
        <v>385</v>
      </c>
      <c r="G265" s="26">
        <v>6403311.8499999996</v>
      </c>
      <c r="H265" s="26">
        <v>5445658.6600000001</v>
      </c>
    </row>
    <row r="266" spans="1:8">
      <c r="A266" s="24">
        <v>255027</v>
      </c>
      <c r="B266" s="25" t="s">
        <v>22</v>
      </c>
      <c r="C266" s="39" t="str">
        <f t="shared" si="8"/>
        <v>210</v>
      </c>
      <c r="D266" s="39" t="str">
        <f t="shared" si="9"/>
        <v>21011</v>
      </c>
      <c r="E266" s="39">
        <f>IF(ISNA(VLOOKUP(F266,'2020功能科目'!A:B,2,FALSE)),"",VLOOKUP(F266,'2020功能科目'!A:B,2,FALSE))</f>
        <v>2101199</v>
      </c>
      <c r="F266" s="25" t="s">
        <v>386</v>
      </c>
      <c r="G266" s="26">
        <v>540000</v>
      </c>
      <c r="H266" s="26">
        <v>630000</v>
      </c>
    </row>
    <row r="267" spans="1:8">
      <c r="A267" s="24">
        <v>255027</v>
      </c>
      <c r="B267" s="25" t="s">
        <v>22</v>
      </c>
      <c r="C267" s="39" t="str">
        <f t="shared" si="8"/>
        <v>221</v>
      </c>
      <c r="D267" s="39" t="str">
        <f t="shared" si="9"/>
        <v>22102</v>
      </c>
      <c r="E267" s="39">
        <f>IF(ISNA(VLOOKUP(F267,'2020功能科目'!A:B,2,FALSE)),"",VLOOKUP(F267,'2020功能科目'!A:B,2,FALSE))</f>
        <v>2210201</v>
      </c>
      <c r="F267" s="25" t="s">
        <v>387</v>
      </c>
      <c r="G267" s="26">
        <v>7730727</v>
      </c>
      <c r="H267" s="26">
        <v>6574761.8399999999</v>
      </c>
    </row>
    <row r="268" spans="1:8">
      <c r="A268" s="24">
        <v>255027</v>
      </c>
      <c r="B268" s="25" t="s">
        <v>22</v>
      </c>
      <c r="C268" s="39" t="str">
        <f t="shared" si="8"/>
        <v>221</v>
      </c>
      <c r="D268" s="39" t="str">
        <f t="shared" si="9"/>
        <v>22102</v>
      </c>
      <c r="E268" s="39">
        <f>IF(ISNA(VLOOKUP(F268,'2020功能科目'!A:B,2,FALSE)),"",VLOOKUP(F268,'2020功能科目'!A:B,2,FALSE))</f>
        <v>2210202</v>
      </c>
      <c r="F268" s="25" t="s">
        <v>388</v>
      </c>
      <c r="G268" s="26">
        <v>628990</v>
      </c>
      <c r="H268" s="26">
        <v>633600</v>
      </c>
    </row>
    <row r="269" spans="1:8">
      <c r="A269" s="24">
        <v>255027</v>
      </c>
      <c r="B269" s="25" t="s">
        <v>22</v>
      </c>
      <c r="C269" s="39" t="str">
        <f t="shared" si="8"/>
        <v>221</v>
      </c>
      <c r="D269" s="39" t="str">
        <f t="shared" si="9"/>
        <v>22102</v>
      </c>
      <c r="E269" s="39">
        <f>IF(ISNA(VLOOKUP(F269,'2020功能科目'!A:B,2,FALSE)),"",VLOOKUP(F269,'2020功能科目'!A:B,2,FALSE))</f>
        <v>2210203</v>
      </c>
      <c r="F269" s="25" t="s">
        <v>389</v>
      </c>
      <c r="G269" s="26">
        <v>7558922</v>
      </c>
      <c r="H269" s="26">
        <v>7484604</v>
      </c>
    </row>
    <row r="270" spans="1:8">
      <c r="A270" s="24">
        <v>255028</v>
      </c>
      <c r="B270" s="25" t="s">
        <v>23</v>
      </c>
      <c r="C270" s="39" t="str">
        <f t="shared" si="8"/>
        <v>205</v>
      </c>
      <c r="D270" s="39" t="str">
        <f t="shared" si="9"/>
        <v>20502</v>
      </c>
      <c r="E270" s="39">
        <f>IF(ISNA(VLOOKUP(F270,'2020功能科目'!A:B,2,FALSE)),"",VLOOKUP(F270,'2020功能科目'!A:B,2,FALSE))</f>
        <v>2050203</v>
      </c>
      <c r="F270" s="25" t="s">
        <v>390</v>
      </c>
      <c r="G270" s="26">
        <v>26104529.170000002</v>
      </c>
      <c r="H270" s="26">
        <v>14296806.25</v>
      </c>
    </row>
    <row r="271" spans="1:8">
      <c r="A271" s="24">
        <v>255028</v>
      </c>
      <c r="B271" s="25" t="s">
        <v>23</v>
      </c>
      <c r="C271" s="39" t="str">
        <f t="shared" si="8"/>
        <v>205</v>
      </c>
      <c r="D271" s="39" t="str">
        <f t="shared" si="9"/>
        <v>20502</v>
      </c>
      <c r="E271" s="39">
        <f>IF(ISNA(VLOOKUP(F271,'2020功能科目'!A:B,2,FALSE)),"",VLOOKUP(F271,'2020功能科目'!A:B,2,FALSE))</f>
        <v>2050204</v>
      </c>
      <c r="F271" s="25" t="s">
        <v>376</v>
      </c>
      <c r="G271" s="26">
        <v>27222.3</v>
      </c>
      <c r="H271" s="26">
        <v>250000</v>
      </c>
    </row>
    <row r="272" spans="1:8">
      <c r="A272" s="24">
        <v>255028</v>
      </c>
      <c r="B272" s="25" t="s">
        <v>23</v>
      </c>
      <c r="C272" s="39" t="str">
        <f t="shared" si="8"/>
        <v>205</v>
      </c>
      <c r="D272" s="39" t="str">
        <f t="shared" si="9"/>
        <v>20502</v>
      </c>
      <c r="E272" s="39">
        <f>IF(ISNA(VLOOKUP(F272,'2020功能科目'!A:B,2,FALSE)),"",VLOOKUP(F272,'2020功能科目'!A:B,2,FALSE))</f>
        <v>2050299</v>
      </c>
      <c r="F272" s="25" t="s">
        <v>377</v>
      </c>
      <c r="G272" s="26">
        <v>489851.15</v>
      </c>
      <c r="H272" s="26">
        <v>489800</v>
      </c>
    </row>
    <row r="273" spans="1:8">
      <c r="A273" s="24">
        <v>255028</v>
      </c>
      <c r="B273" s="25" t="s">
        <v>23</v>
      </c>
      <c r="C273" s="39" t="str">
        <f t="shared" si="8"/>
        <v>205</v>
      </c>
      <c r="D273" s="39" t="str">
        <f t="shared" si="9"/>
        <v>20508</v>
      </c>
      <c r="E273" s="39">
        <f>IF(ISNA(VLOOKUP(F273,'2020功能科目'!A:B,2,FALSE)),"",VLOOKUP(F273,'2020功能科目'!A:B,2,FALSE))</f>
        <v>2050803</v>
      </c>
      <c r="F273" s="25" t="s">
        <v>378</v>
      </c>
      <c r="G273" s="26">
        <v>4000</v>
      </c>
      <c r="H273" s="26">
        <v>8000</v>
      </c>
    </row>
    <row r="274" spans="1:8">
      <c r="A274" s="24">
        <v>255028</v>
      </c>
      <c r="B274" s="25" t="s">
        <v>23</v>
      </c>
      <c r="C274" s="39" t="str">
        <f t="shared" si="8"/>
        <v>205</v>
      </c>
      <c r="D274" s="39" t="str">
        <f t="shared" si="9"/>
        <v>20509</v>
      </c>
      <c r="E274" s="39">
        <f>IF(ISNA(VLOOKUP(F274,'2020功能科目'!A:B,2,FALSE)),"",VLOOKUP(F274,'2020功能科目'!A:B,2,FALSE))</f>
        <v>2050904</v>
      </c>
      <c r="F274" s="25" t="s">
        <v>380</v>
      </c>
      <c r="G274" s="26">
        <v>495000</v>
      </c>
      <c r="H274" s="26">
        <v>495000</v>
      </c>
    </row>
    <row r="275" spans="1:8">
      <c r="A275" s="24">
        <v>255028</v>
      </c>
      <c r="B275" s="25" t="s">
        <v>23</v>
      </c>
      <c r="C275" s="39" t="str">
        <f t="shared" si="8"/>
        <v>208</v>
      </c>
      <c r="D275" s="39" t="str">
        <f t="shared" si="9"/>
        <v>20805</v>
      </c>
      <c r="E275" s="39">
        <f>IF(ISNA(VLOOKUP(F275,'2020功能科目'!A:B,2,FALSE)),"",VLOOKUP(F275,'2020功能科目'!A:B,2,FALSE))</f>
        <v>2080502</v>
      </c>
      <c r="F275" s="25" t="s">
        <v>381</v>
      </c>
      <c r="G275" s="26">
        <v>992318.3</v>
      </c>
      <c r="H275" s="26">
        <v>957047.5</v>
      </c>
    </row>
    <row r="276" spans="1:8">
      <c r="A276" s="24">
        <v>255028</v>
      </c>
      <c r="B276" s="25" t="s">
        <v>23</v>
      </c>
      <c r="C276" s="39" t="str">
        <f t="shared" si="8"/>
        <v>208</v>
      </c>
      <c r="D276" s="39" t="str">
        <f t="shared" si="9"/>
        <v>20805</v>
      </c>
      <c r="E276" s="39">
        <f>IF(ISNA(VLOOKUP(F276,'2020功能科目'!A:B,2,FALSE)),"",VLOOKUP(F276,'2020功能科目'!A:B,2,FALSE))</f>
        <v>2080505</v>
      </c>
      <c r="F276" s="25" t="s">
        <v>382</v>
      </c>
      <c r="G276" s="26">
        <v>266609.56</v>
      </c>
      <c r="H276" s="26">
        <v>266609.56</v>
      </c>
    </row>
    <row r="277" spans="1:8">
      <c r="A277" s="24">
        <v>255028</v>
      </c>
      <c r="B277" s="25" t="s">
        <v>23</v>
      </c>
      <c r="C277" s="39" t="str">
        <f t="shared" si="8"/>
        <v>208</v>
      </c>
      <c r="D277" s="39" t="str">
        <f t="shared" si="9"/>
        <v>20805</v>
      </c>
      <c r="E277" s="39">
        <f>IF(ISNA(VLOOKUP(F277,'2020功能科目'!A:B,2,FALSE)),"",VLOOKUP(F277,'2020功能科目'!A:B,2,FALSE))</f>
        <v>2080506</v>
      </c>
      <c r="F277" s="25" t="s">
        <v>383</v>
      </c>
      <c r="G277" s="26">
        <v>133304.78</v>
      </c>
      <c r="H277" s="26">
        <v>133304.78</v>
      </c>
    </row>
    <row r="278" spans="1:8">
      <c r="A278" s="24">
        <v>255028</v>
      </c>
      <c r="B278" s="25" t="s">
        <v>23</v>
      </c>
      <c r="C278" s="39" t="str">
        <f t="shared" si="8"/>
        <v>210</v>
      </c>
      <c r="D278" s="39" t="str">
        <f t="shared" si="9"/>
        <v>21011</v>
      </c>
      <c r="E278" s="39">
        <f>IF(ISNA(VLOOKUP(F278,'2020功能科目'!A:B,2,FALSE)),"",VLOOKUP(F278,'2020功能科目'!A:B,2,FALSE))</f>
        <v>2101102</v>
      </c>
      <c r="F278" s="25" t="s">
        <v>385</v>
      </c>
      <c r="G278" s="26">
        <v>216620.27</v>
      </c>
      <c r="H278" s="26">
        <v>216620.27</v>
      </c>
    </row>
    <row r="279" spans="1:8">
      <c r="A279" s="24">
        <v>255028</v>
      </c>
      <c r="B279" s="25" t="s">
        <v>23</v>
      </c>
      <c r="C279" s="39" t="str">
        <f t="shared" si="8"/>
        <v>210</v>
      </c>
      <c r="D279" s="39" t="str">
        <f t="shared" si="9"/>
        <v>21011</v>
      </c>
      <c r="E279" s="39">
        <f>IF(ISNA(VLOOKUP(F279,'2020功能科目'!A:B,2,FALSE)),"",VLOOKUP(F279,'2020功能科目'!A:B,2,FALSE))</f>
        <v>2101199</v>
      </c>
      <c r="F279" s="25" t="s">
        <v>386</v>
      </c>
      <c r="G279" s="26">
        <v>90000</v>
      </c>
      <c r="H279" s="26">
        <v>180000</v>
      </c>
    </row>
    <row r="280" spans="1:8">
      <c r="A280" s="24">
        <v>255028</v>
      </c>
      <c r="B280" s="25" t="s">
        <v>23</v>
      </c>
      <c r="C280" s="39" t="str">
        <f t="shared" si="8"/>
        <v>221</v>
      </c>
      <c r="D280" s="39" t="str">
        <f t="shared" si="9"/>
        <v>22102</v>
      </c>
      <c r="E280" s="39">
        <f>IF(ISNA(VLOOKUP(F280,'2020功能科目'!A:B,2,FALSE)),"",VLOOKUP(F280,'2020功能科目'!A:B,2,FALSE))</f>
        <v>2210201</v>
      </c>
      <c r="F280" s="25" t="s">
        <v>387</v>
      </c>
      <c r="G280" s="26">
        <v>259957.17</v>
      </c>
      <c r="H280" s="26">
        <v>259957.17</v>
      </c>
    </row>
    <row r="281" spans="1:8">
      <c r="A281" s="24">
        <v>255028</v>
      </c>
      <c r="B281" s="25" t="s">
        <v>23</v>
      </c>
      <c r="C281" s="39" t="str">
        <f t="shared" si="8"/>
        <v>221</v>
      </c>
      <c r="D281" s="39" t="str">
        <f t="shared" si="9"/>
        <v>22102</v>
      </c>
      <c r="E281" s="39">
        <f>IF(ISNA(VLOOKUP(F281,'2020功能科目'!A:B,2,FALSE)),"",VLOOKUP(F281,'2020功能科目'!A:B,2,FALSE))</f>
        <v>2210202</v>
      </c>
      <c r="F281" s="25" t="s">
        <v>388</v>
      </c>
      <c r="G281" s="26">
        <v>68640</v>
      </c>
      <c r="H281" s="26">
        <v>68640</v>
      </c>
    </row>
    <row r="282" spans="1:8">
      <c r="A282" s="24">
        <v>255028</v>
      </c>
      <c r="B282" s="25" t="s">
        <v>23</v>
      </c>
      <c r="C282" s="39" t="str">
        <f t="shared" si="8"/>
        <v>221</v>
      </c>
      <c r="D282" s="39" t="str">
        <f t="shared" si="9"/>
        <v>22102</v>
      </c>
      <c r="E282" s="39">
        <f>IF(ISNA(VLOOKUP(F282,'2020功能科目'!A:B,2,FALSE)),"",VLOOKUP(F282,'2020功能科目'!A:B,2,FALSE))</f>
        <v>2210203</v>
      </c>
      <c r="F282" s="25" t="s">
        <v>389</v>
      </c>
      <c r="G282" s="26">
        <v>252264</v>
      </c>
      <c r="H282" s="26">
        <v>252264</v>
      </c>
    </row>
    <row r="283" spans="1:8">
      <c r="A283" s="24">
        <v>255029</v>
      </c>
      <c r="B283" s="25" t="s">
        <v>24</v>
      </c>
      <c r="C283" s="39" t="str">
        <f t="shared" si="8"/>
        <v>205</v>
      </c>
      <c r="D283" s="39" t="str">
        <f t="shared" si="9"/>
        <v>20502</v>
      </c>
      <c r="E283" s="39">
        <f>IF(ISNA(VLOOKUP(F283,'2020功能科目'!A:B,2,FALSE)),"",VLOOKUP(F283,'2020功能科目'!A:B,2,FALSE))</f>
        <v>2050203</v>
      </c>
      <c r="F283" s="25" t="s">
        <v>390</v>
      </c>
      <c r="G283" s="26">
        <v>51394094.640000001</v>
      </c>
      <c r="H283" s="26">
        <v>42681303.57</v>
      </c>
    </row>
    <row r="284" spans="1:8">
      <c r="A284" s="24">
        <v>255029</v>
      </c>
      <c r="B284" s="25" t="s">
        <v>24</v>
      </c>
      <c r="C284" s="39" t="str">
        <f t="shared" si="8"/>
        <v>205</v>
      </c>
      <c r="D284" s="39" t="str">
        <f t="shared" si="9"/>
        <v>20502</v>
      </c>
      <c r="E284" s="39">
        <f>IF(ISNA(VLOOKUP(F284,'2020功能科目'!A:B,2,FALSE)),"",VLOOKUP(F284,'2020功能科目'!A:B,2,FALSE))</f>
        <v>2050299</v>
      </c>
      <c r="F284" s="25" t="s">
        <v>377</v>
      </c>
      <c r="G284" s="26">
        <v>149502.91</v>
      </c>
      <c r="H284" s="26">
        <v>573649</v>
      </c>
    </row>
    <row r="285" spans="1:8">
      <c r="A285" s="24">
        <v>255029</v>
      </c>
      <c r="B285" s="25" t="s">
        <v>24</v>
      </c>
      <c r="C285" s="39" t="str">
        <f t="shared" si="8"/>
        <v>205</v>
      </c>
      <c r="D285" s="39" t="str">
        <f t="shared" si="9"/>
        <v>20508</v>
      </c>
      <c r="E285" s="39">
        <f>IF(ISNA(VLOOKUP(F285,'2020功能科目'!A:B,2,FALSE)),"",VLOOKUP(F285,'2020功能科目'!A:B,2,FALSE))</f>
        <v>2050803</v>
      </c>
      <c r="F285" s="25" t="s">
        <v>378</v>
      </c>
      <c r="G285" s="26">
        <v>0</v>
      </c>
      <c r="H285" s="26">
        <v>65600</v>
      </c>
    </row>
    <row r="286" spans="1:8">
      <c r="A286" s="24">
        <v>255029</v>
      </c>
      <c r="B286" s="25" t="s">
        <v>24</v>
      </c>
      <c r="C286" s="39" t="str">
        <f t="shared" si="8"/>
        <v>205</v>
      </c>
      <c r="D286" s="39" t="str">
        <f t="shared" si="9"/>
        <v>20509</v>
      </c>
      <c r="E286" s="39">
        <f>IF(ISNA(VLOOKUP(F286,'2020功能科目'!A:B,2,FALSE)),"",VLOOKUP(F286,'2020功能科目'!A:B,2,FALSE))</f>
        <v>2050903</v>
      </c>
      <c r="F286" s="25" t="s">
        <v>379</v>
      </c>
      <c r="G286" s="26">
        <v>659362.49</v>
      </c>
      <c r="H286" s="26">
        <v>735000</v>
      </c>
    </row>
    <row r="287" spans="1:8">
      <c r="A287" s="24">
        <v>255029</v>
      </c>
      <c r="B287" s="25" t="s">
        <v>24</v>
      </c>
      <c r="C287" s="39" t="str">
        <f t="shared" si="8"/>
        <v>205</v>
      </c>
      <c r="D287" s="39" t="str">
        <f t="shared" si="9"/>
        <v>20509</v>
      </c>
      <c r="E287" s="39">
        <f>IF(ISNA(VLOOKUP(F287,'2020功能科目'!A:B,2,FALSE)),"",VLOOKUP(F287,'2020功能科目'!A:B,2,FALSE))</f>
        <v>2050904</v>
      </c>
      <c r="F287" s="25" t="s">
        <v>380</v>
      </c>
      <c r="G287" s="26">
        <v>3062271.97</v>
      </c>
      <c r="H287" s="26">
        <v>3086950</v>
      </c>
    </row>
    <row r="288" spans="1:8">
      <c r="A288" s="24">
        <v>255029</v>
      </c>
      <c r="B288" s="25" t="s">
        <v>24</v>
      </c>
      <c r="C288" s="39" t="str">
        <f t="shared" si="8"/>
        <v>208</v>
      </c>
      <c r="D288" s="39" t="str">
        <f t="shared" si="9"/>
        <v>20805</v>
      </c>
      <c r="E288" s="39">
        <f>IF(ISNA(VLOOKUP(F288,'2020功能科目'!A:B,2,FALSE)),"",VLOOKUP(F288,'2020功能科目'!A:B,2,FALSE))</f>
        <v>2080502</v>
      </c>
      <c r="F288" s="25" t="s">
        <v>381</v>
      </c>
      <c r="G288" s="26">
        <v>2368731.3199999998</v>
      </c>
      <c r="H288" s="26">
        <v>1930508.2</v>
      </c>
    </row>
    <row r="289" spans="1:8">
      <c r="A289" s="24">
        <v>255029</v>
      </c>
      <c r="B289" s="25" t="s">
        <v>24</v>
      </c>
      <c r="C289" s="39" t="str">
        <f t="shared" si="8"/>
        <v>208</v>
      </c>
      <c r="D289" s="39" t="str">
        <f t="shared" si="9"/>
        <v>20805</v>
      </c>
      <c r="E289" s="39">
        <f>IF(ISNA(VLOOKUP(F289,'2020功能科目'!A:B,2,FALSE)),"",VLOOKUP(F289,'2020功能科目'!A:B,2,FALSE))</f>
        <v>2080505</v>
      </c>
      <c r="F289" s="25" t="s">
        <v>382</v>
      </c>
      <c r="G289" s="26">
        <v>2680772.64</v>
      </c>
      <c r="H289" s="26">
        <v>2138842.2400000002</v>
      </c>
    </row>
    <row r="290" spans="1:8">
      <c r="A290" s="24">
        <v>255029</v>
      </c>
      <c r="B290" s="25" t="s">
        <v>24</v>
      </c>
      <c r="C290" s="39" t="str">
        <f t="shared" si="8"/>
        <v>208</v>
      </c>
      <c r="D290" s="39" t="str">
        <f t="shared" si="9"/>
        <v>20805</v>
      </c>
      <c r="E290" s="39">
        <f>IF(ISNA(VLOOKUP(F290,'2020功能科目'!A:B,2,FALSE)),"",VLOOKUP(F290,'2020功能科目'!A:B,2,FALSE))</f>
        <v>2080506</v>
      </c>
      <c r="F290" s="25" t="s">
        <v>383</v>
      </c>
      <c r="G290" s="26">
        <v>1340386.32</v>
      </c>
      <c r="H290" s="26">
        <v>1069421.1200000001</v>
      </c>
    </row>
    <row r="291" spans="1:8">
      <c r="A291" s="24">
        <v>255029</v>
      </c>
      <c r="B291" s="25" t="s">
        <v>24</v>
      </c>
      <c r="C291" s="39" t="str">
        <f t="shared" si="8"/>
        <v>210</v>
      </c>
      <c r="D291" s="39" t="str">
        <f t="shared" si="9"/>
        <v>21011</v>
      </c>
      <c r="E291" s="39">
        <f>IF(ISNA(VLOOKUP(F291,'2020功能科目'!A:B,2,FALSE)),"",VLOOKUP(F291,'2020功能科目'!A:B,2,FALSE))</f>
        <v>2101102</v>
      </c>
      <c r="F291" s="25" t="s">
        <v>385</v>
      </c>
      <c r="G291" s="26">
        <v>2512654.0499999998</v>
      </c>
      <c r="H291" s="26">
        <v>1737809.32</v>
      </c>
    </row>
    <row r="292" spans="1:8">
      <c r="A292" s="24">
        <v>255029</v>
      </c>
      <c r="B292" s="25" t="s">
        <v>24</v>
      </c>
      <c r="C292" s="39" t="str">
        <f t="shared" si="8"/>
        <v>210</v>
      </c>
      <c r="D292" s="39" t="str">
        <f t="shared" si="9"/>
        <v>21011</v>
      </c>
      <c r="E292" s="39">
        <f>IF(ISNA(VLOOKUP(F292,'2020功能科目'!A:B,2,FALSE)),"",VLOOKUP(F292,'2020功能科目'!A:B,2,FALSE))</f>
        <v>2101199</v>
      </c>
      <c r="F292" s="25" t="s">
        <v>386</v>
      </c>
      <c r="G292" s="26">
        <v>180000</v>
      </c>
      <c r="H292" s="26">
        <v>180000</v>
      </c>
    </row>
    <row r="293" spans="1:8">
      <c r="A293" s="24">
        <v>255029</v>
      </c>
      <c r="B293" s="25" t="s">
        <v>24</v>
      </c>
      <c r="C293" s="39" t="str">
        <f t="shared" si="8"/>
        <v>221</v>
      </c>
      <c r="D293" s="39" t="str">
        <f t="shared" si="9"/>
        <v>22102</v>
      </c>
      <c r="E293" s="39">
        <f>IF(ISNA(VLOOKUP(F293,'2020功能科目'!A:B,2,FALSE)),"",VLOOKUP(F293,'2020功能科目'!A:B,2,FALSE))</f>
        <v>2210201</v>
      </c>
      <c r="F293" s="25" t="s">
        <v>387</v>
      </c>
      <c r="G293" s="26">
        <v>2881238</v>
      </c>
      <c r="H293" s="26">
        <v>2096131.68</v>
      </c>
    </row>
    <row r="294" spans="1:8">
      <c r="A294" s="24">
        <v>255029</v>
      </c>
      <c r="B294" s="25" t="s">
        <v>24</v>
      </c>
      <c r="C294" s="39" t="str">
        <f t="shared" si="8"/>
        <v>221</v>
      </c>
      <c r="D294" s="39" t="str">
        <f t="shared" si="9"/>
        <v>22102</v>
      </c>
      <c r="E294" s="39">
        <f>IF(ISNA(VLOOKUP(F294,'2020功能科目'!A:B,2,FALSE)),"",VLOOKUP(F294,'2020功能科目'!A:B,2,FALSE))</f>
        <v>2210202</v>
      </c>
      <c r="F294" s="25" t="s">
        <v>388</v>
      </c>
      <c r="G294" s="26">
        <v>216690</v>
      </c>
      <c r="H294" s="26">
        <v>217560</v>
      </c>
    </row>
    <row r="295" spans="1:8">
      <c r="A295" s="24">
        <v>255029</v>
      </c>
      <c r="B295" s="25" t="s">
        <v>24</v>
      </c>
      <c r="C295" s="39" t="str">
        <f t="shared" si="8"/>
        <v>221</v>
      </c>
      <c r="D295" s="39" t="str">
        <f t="shared" si="9"/>
        <v>22102</v>
      </c>
      <c r="E295" s="39">
        <f>IF(ISNA(VLOOKUP(F295,'2020功能科目'!A:B,2,FALSE)),"",VLOOKUP(F295,'2020功能科目'!A:B,2,FALSE))</f>
        <v>2210203</v>
      </c>
      <c r="F295" s="25" t="s">
        <v>389</v>
      </c>
      <c r="G295" s="26">
        <v>1998038.4</v>
      </c>
      <c r="H295" s="26">
        <v>1865868</v>
      </c>
    </row>
    <row r="296" spans="1:8">
      <c r="A296" s="24">
        <v>255030</v>
      </c>
      <c r="B296" s="25" t="s">
        <v>25</v>
      </c>
      <c r="C296" s="39" t="str">
        <f t="shared" si="8"/>
        <v>205</v>
      </c>
      <c r="D296" s="39" t="str">
        <f t="shared" si="9"/>
        <v>20503</v>
      </c>
      <c r="E296" s="39">
        <f>IF(ISNA(VLOOKUP(F296,'2020功能科目'!A:B,2,FALSE)),"",VLOOKUP(F296,'2020功能科目'!A:B,2,FALSE))</f>
        <v>2050302</v>
      </c>
      <c r="F296" s="25" t="s">
        <v>391</v>
      </c>
      <c r="G296" s="26">
        <v>47445540.659999996</v>
      </c>
      <c r="H296" s="26">
        <v>45632885.719999999</v>
      </c>
    </row>
    <row r="297" spans="1:8">
      <c r="A297" s="24">
        <v>255030</v>
      </c>
      <c r="B297" s="25" t="s">
        <v>25</v>
      </c>
      <c r="C297" s="39" t="str">
        <f t="shared" si="8"/>
        <v>205</v>
      </c>
      <c r="D297" s="39" t="str">
        <f t="shared" si="9"/>
        <v>20503</v>
      </c>
      <c r="E297" s="39">
        <f>IF(ISNA(VLOOKUP(F297,'2020功能科目'!A:B,2,FALSE)),"",VLOOKUP(F297,'2020功能科目'!A:B,2,FALSE))</f>
        <v>2050399</v>
      </c>
      <c r="F297" s="25" t="s">
        <v>392</v>
      </c>
      <c r="G297" s="26">
        <v>386663.56</v>
      </c>
      <c r="H297" s="26">
        <v>598639.80000000005</v>
      </c>
    </row>
    <row r="298" spans="1:8">
      <c r="A298" s="24">
        <v>255030</v>
      </c>
      <c r="B298" s="25" t="s">
        <v>25</v>
      </c>
      <c r="C298" s="39" t="str">
        <f t="shared" si="8"/>
        <v>205</v>
      </c>
      <c r="D298" s="39" t="str">
        <f t="shared" si="9"/>
        <v>20508</v>
      </c>
      <c r="E298" s="39">
        <f>IF(ISNA(VLOOKUP(F298,'2020功能科目'!A:B,2,FALSE)),"",VLOOKUP(F298,'2020功能科目'!A:B,2,FALSE))</f>
        <v>2050803</v>
      </c>
      <c r="F298" s="25" t="s">
        <v>378</v>
      </c>
      <c r="G298" s="26">
        <v>0</v>
      </c>
      <c r="H298" s="26">
        <v>112000</v>
      </c>
    </row>
    <row r="299" spans="1:8">
      <c r="A299" s="24">
        <v>255030</v>
      </c>
      <c r="B299" s="25" t="s">
        <v>25</v>
      </c>
      <c r="C299" s="39" t="str">
        <f t="shared" si="8"/>
        <v>205</v>
      </c>
      <c r="D299" s="39" t="str">
        <f t="shared" si="9"/>
        <v>20509</v>
      </c>
      <c r="E299" s="39">
        <f>IF(ISNA(VLOOKUP(F299,'2020功能科目'!A:B,2,FALSE)),"",VLOOKUP(F299,'2020功能科目'!A:B,2,FALSE))</f>
        <v>2050905</v>
      </c>
      <c r="F299" s="25" t="s">
        <v>393</v>
      </c>
      <c r="G299" s="26">
        <v>1953706.2</v>
      </c>
      <c r="H299" s="26">
        <v>1953748</v>
      </c>
    </row>
    <row r="300" spans="1:8">
      <c r="A300" s="24">
        <v>255030</v>
      </c>
      <c r="B300" s="25" t="s">
        <v>25</v>
      </c>
      <c r="C300" s="39" t="str">
        <f t="shared" si="8"/>
        <v>208</v>
      </c>
      <c r="D300" s="39" t="str">
        <f t="shared" si="9"/>
        <v>20805</v>
      </c>
      <c r="E300" s="39">
        <f>IF(ISNA(VLOOKUP(F300,'2020功能科目'!A:B,2,FALSE)),"",VLOOKUP(F300,'2020功能科目'!A:B,2,FALSE))</f>
        <v>2080502</v>
      </c>
      <c r="F300" s="25" t="s">
        <v>381</v>
      </c>
      <c r="G300" s="26">
        <v>10512249.15</v>
      </c>
      <c r="H300" s="26">
        <v>8543099.1500000004</v>
      </c>
    </row>
    <row r="301" spans="1:8">
      <c r="A301" s="24">
        <v>255030</v>
      </c>
      <c r="B301" s="25" t="s">
        <v>25</v>
      </c>
      <c r="C301" s="39" t="str">
        <f t="shared" si="8"/>
        <v>208</v>
      </c>
      <c r="D301" s="39" t="str">
        <f t="shared" si="9"/>
        <v>20805</v>
      </c>
      <c r="E301" s="39">
        <f>IF(ISNA(VLOOKUP(F301,'2020功能科目'!A:B,2,FALSE)),"",VLOOKUP(F301,'2020功能科目'!A:B,2,FALSE))</f>
        <v>2080505</v>
      </c>
      <c r="F301" s="25" t="s">
        <v>382</v>
      </c>
      <c r="G301" s="26">
        <v>2899599.52</v>
      </c>
      <c r="H301" s="26">
        <v>3588756.48</v>
      </c>
    </row>
    <row r="302" spans="1:8">
      <c r="A302" s="24">
        <v>255030</v>
      </c>
      <c r="B302" s="25" t="s">
        <v>25</v>
      </c>
      <c r="C302" s="39" t="str">
        <f t="shared" si="8"/>
        <v>208</v>
      </c>
      <c r="D302" s="39" t="str">
        <f t="shared" si="9"/>
        <v>20805</v>
      </c>
      <c r="E302" s="39">
        <f>IF(ISNA(VLOOKUP(F302,'2020功能科目'!A:B,2,FALSE)),"",VLOOKUP(F302,'2020功能科目'!A:B,2,FALSE))</f>
        <v>2080506</v>
      </c>
      <c r="F302" s="25" t="s">
        <v>383</v>
      </c>
      <c r="G302" s="26">
        <v>1449799.76</v>
      </c>
      <c r="H302" s="26">
        <v>1794378.24</v>
      </c>
    </row>
    <row r="303" spans="1:8">
      <c r="A303" s="24">
        <v>255030</v>
      </c>
      <c r="B303" s="25" t="s">
        <v>25</v>
      </c>
      <c r="C303" s="39" t="str">
        <f t="shared" si="8"/>
        <v>208</v>
      </c>
      <c r="D303" s="39" t="str">
        <f t="shared" si="9"/>
        <v>20808</v>
      </c>
      <c r="E303" s="39">
        <f>IF(ISNA(VLOOKUP(F303,'2020功能科目'!A:B,2,FALSE)),"",VLOOKUP(F303,'2020功能科目'!A:B,2,FALSE))</f>
        <v>2080801</v>
      </c>
      <c r="F303" s="25" t="s">
        <v>384</v>
      </c>
      <c r="G303" s="26">
        <v>305878</v>
      </c>
      <c r="H303" s="26">
        <v>0</v>
      </c>
    </row>
    <row r="304" spans="1:8">
      <c r="A304" s="24">
        <v>255030</v>
      </c>
      <c r="B304" s="25" t="s">
        <v>25</v>
      </c>
      <c r="C304" s="39" t="str">
        <f t="shared" si="8"/>
        <v>210</v>
      </c>
      <c r="D304" s="39" t="str">
        <f t="shared" si="9"/>
        <v>21011</v>
      </c>
      <c r="E304" s="39">
        <f>IF(ISNA(VLOOKUP(F304,'2020功能科目'!A:B,2,FALSE)),"",VLOOKUP(F304,'2020功能科目'!A:B,2,FALSE))</f>
        <v>2101102</v>
      </c>
      <c r="F304" s="25" t="s">
        <v>385</v>
      </c>
      <c r="G304" s="26">
        <v>3235561.64</v>
      </c>
      <c r="H304" s="26">
        <v>2915864.64</v>
      </c>
    </row>
    <row r="305" spans="1:8">
      <c r="A305" s="24">
        <v>255030</v>
      </c>
      <c r="B305" s="25" t="s">
        <v>25</v>
      </c>
      <c r="C305" s="39" t="str">
        <f t="shared" si="8"/>
        <v>210</v>
      </c>
      <c r="D305" s="39" t="str">
        <f t="shared" si="9"/>
        <v>21011</v>
      </c>
      <c r="E305" s="39">
        <f>IF(ISNA(VLOOKUP(F305,'2020功能科目'!A:B,2,FALSE)),"",VLOOKUP(F305,'2020功能科目'!A:B,2,FALSE))</f>
        <v>2101199</v>
      </c>
      <c r="F305" s="25" t="s">
        <v>386</v>
      </c>
      <c r="G305" s="26">
        <v>900000</v>
      </c>
      <c r="H305" s="26">
        <v>1260000</v>
      </c>
    </row>
    <row r="306" spans="1:8">
      <c r="A306" s="24">
        <v>255030</v>
      </c>
      <c r="B306" s="25" t="s">
        <v>25</v>
      </c>
      <c r="C306" s="39" t="str">
        <f t="shared" si="8"/>
        <v>221</v>
      </c>
      <c r="D306" s="39" t="str">
        <f t="shared" si="9"/>
        <v>22102</v>
      </c>
      <c r="E306" s="39">
        <f>IF(ISNA(VLOOKUP(F306,'2020功能科目'!A:B,2,FALSE)),"",VLOOKUP(F306,'2020功能科目'!A:B,2,FALSE))</f>
        <v>2210201</v>
      </c>
      <c r="F306" s="25" t="s">
        <v>387</v>
      </c>
      <c r="G306" s="26">
        <v>3978507</v>
      </c>
      <c r="H306" s="26">
        <v>3531567.36</v>
      </c>
    </row>
    <row r="307" spans="1:8">
      <c r="A307" s="24">
        <v>255030</v>
      </c>
      <c r="B307" s="25" t="s">
        <v>25</v>
      </c>
      <c r="C307" s="39" t="str">
        <f t="shared" si="8"/>
        <v>221</v>
      </c>
      <c r="D307" s="39" t="str">
        <f t="shared" si="9"/>
        <v>22102</v>
      </c>
      <c r="E307" s="39">
        <f>IF(ISNA(VLOOKUP(F307,'2020功能科目'!A:B,2,FALSE)),"",VLOOKUP(F307,'2020功能科目'!A:B,2,FALSE))</f>
        <v>2210202</v>
      </c>
      <c r="F307" s="25" t="s">
        <v>388</v>
      </c>
      <c r="G307" s="26">
        <v>658460</v>
      </c>
      <c r="H307" s="26">
        <v>672000</v>
      </c>
    </row>
    <row r="308" spans="1:8">
      <c r="A308" s="24">
        <v>255030</v>
      </c>
      <c r="B308" s="25" t="s">
        <v>25</v>
      </c>
      <c r="C308" s="39" t="str">
        <f t="shared" si="8"/>
        <v>221</v>
      </c>
      <c r="D308" s="39" t="str">
        <f t="shared" si="9"/>
        <v>22102</v>
      </c>
      <c r="E308" s="39">
        <f>IF(ISNA(VLOOKUP(F308,'2020功能科目'!A:B,2,FALSE)),"",VLOOKUP(F308,'2020功能科目'!A:B,2,FALSE))</f>
        <v>2210203</v>
      </c>
      <c r="F308" s="25" t="s">
        <v>389</v>
      </c>
      <c r="G308" s="26">
        <v>3164452</v>
      </c>
      <c r="H308" s="26">
        <v>3164460</v>
      </c>
    </row>
    <row r="309" spans="1:8">
      <c r="A309" s="24">
        <v>255031</v>
      </c>
      <c r="B309" s="25" t="s">
        <v>26</v>
      </c>
      <c r="C309" s="39" t="str">
        <f t="shared" si="8"/>
        <v>205</v>
      </c>
      <c r="D309" s="39" t="str">
        <f t="shared" si="9"/>
        <v>20502</v>
      </c>
      <c r="E309" s="39">
        <f>IF(ISNA(VLOOKUP(F309,'2020功能科目'!A:B,2,FALSE)),"",VLOOKUP(F309,'2020功能科目'!A:B,2,FALSE))</f>
        <v>2050299</v>
      </c>
      <c r="F309" s="25" t="s">
        <v>377</v>
      </c>
      <c r="G309" s="26">
        <v>42996.15</v>
      </c>
      <c r="H309" s="26">
        <v>0</v>
      </c>
    </row>
    <row r="310" spans="1:8">
      <c r="A310" s="24">
        <v>255031</v>
      </c>
      <c r="B310" s="25" t="s">
        <v>26</v>
      </c>
      <c r="C310" s="39" t="str">
        <f t="shared" si="8"/>
        <v>205</v>
      </c>
      <c r="D310" s="39" t="str">
        <f t="shared" si="9"/>
        <v>20503</v>
      </c>
      <c r="E310" s="39">
        <f>IF(ISNA(VLOOKUP(F310,'2020功能科目'!A:B,2,FALSE)),"",VLOOKUP(F310,'2020功能科目'!A:B,2,FALSE))</f>
        <v>2050302</v>
      </c>
      <c r="F310" s="25" t="s">
        <v>391</v>
      </c>
      <c r="G310" s="26">
        <v>90760968.450000003</v>
      </c>
      <c r="H310" s="26">
        <v>78526184.859999999</v>
      </c>
    </row>
    <row r="311" spans="1:8">
      <c r="A311" s="24">
        <v>255031</v>
      </c>
      <c r="B311" s="25" t="s">
        <v>26</v>
      </c>
      <c r="C311" s="39" t="str">
        <f t="shared" si="8"/>
        <v>205</v>
      </c>
      <c r="D311" s="39" t="str">
        <f t="shared" si="9"/>
        <v>20508</v>
      </c>
      <c r="E311" s="39">
        <f>IF(ISNA(VLOOKUP(F311,'2020功能科目'!A:B,2,FALSE)),"",VLOOKUP(F311,'2020功能科目'!A:B,2,FALSE))</f>
        <v>2050803</v>
      </c>
      <c r="F311" s="25" t="s">
        <v>378</v>
      </c>
      <c r="G311" s="26">
        <v>130800</v>
      </c>
      <c r="H311" s="26">
        <v>261600</v>
      </c>
    </row>
    <row r="312" spans="1:8">
      <c r="A312" s="24">
        <v>255031</v>
      </c>
      <c r="B312" s="25" t="s">
        <v>26</v>
      </c>
      <c r="C312" s="39" t="str">
        <f t="shared" si="8"/>
        <v>205</v>
      </c>
      <c r="D312" s="39" t="str">
        <f t="shared" si="9"/>
        <v>20509</v>
      </c>
      <c r="E312" s="39">
        <f>IF(ISNA(VLOOKUP(F312,'2020功能科目'!A:B,2,FALSE)),"",VLOOKUP(F312,'2020功能科目'!A:B,2,FALSE))</f>
        <v>2050904</v>
      </c>
      <c r="F312" s="25" t="s">
        <v>380</v>
      </c>
      <c r="G312" s="26">
        <v>0</v>
      </c>
      <c r="H312" s="26">
        <v>210000</v>
      </c>
    </row>
    <row r="313" spans="1:8">
      <c r="A313" s="24">
        <v>255031</v>
      </c>
      <c r="B313" s="25" t="s">
        <v>26</v>
      </c>
      <c r="C313" s="39" t="str">
        <f t="shared" si="8"/>
        <v>205</v>
      </c>
      <c r="D313" s="39" t="str">
        <f t="shared" si="9"/>
        <v>20509</v>
      </c>
      <c r="E313" s="39">
        <f>IF(ISNA(VLOOKUP(F313,'2020功能科目'!A:B,2,FALSE)),"",VLOOKUP(F313,'2020功能科目'!A:B,2,FALSE))</f>
        <v>2050905</v>
      </c>
      <c r="F313" s="25" t="s">
        <v>393</v>
      </c>
      <c r="G313" s="26">
        <v>2193891.23</v>
      </c>
      <c r="H313" s="26">
        <v>2195696.91</v>
      </c>
    </row>
    <row r="314" spans="1:8">
      <c r="A314" s="24">
        <v>255031</v>
      </c>
      <c r="B314" s="25" t="s">
        <v>26</v>
      </c>
      <c r="C314" s="39" t="str">
        <f t="shared" si="8"/>
        <v>208</v>
      </c>
      <c r="D314" s="39" t="str">
        <f t="shared" si="9"/>
        <v>20805</v>
      </c>
      <c r="E314" s="39">
        <f>IF(ISNA(VLOOKUP(F314,'2020功能科目'!A:B,2,FALSE)),"",VLOOKUP(F314,'2020功能科目'!A:B,2,FALSE))</f>
        <v>2080502</v>
      </c>
      <c r="F314" s="25" t="s">
        <v>381</v>
      </c>
      <c r="G314" s="26">
        <v>12965084.300000001</v>
      </c>
      <c r="H314" s="26">
        <v>9677550.0999999996</v>
      </c>
    </row>
    <row r="315" spans="1:8">
      <c r="A315" s="24">
        <v>255031</v>
      </c>
      <c r="B315" s="25" t="s">
        <v>26</v>
      </c>
      <c r="C315" s="39" t="str">
        <f t="shared" si="8"/>
        <v>208</v>
      </c>
      <c r="D315" s="39" t="str">
        <f t="shared" si="9"/>
        <v>20805</v>
      </c>
      <c r="E315" s="39">
        <f>IF(ISNA(VLOOKUP(F315,'2020功能科目'!A:B,2,FALSE)),"",VLOOKUP(F315,'2020功能科目'!A:B,2,FALSE))</f>
        <v>2080505</v>
      </c>
      <c r="F315" s="25" t="s">
        <v>382</v>
      </c>
      <c r="G315" s="26">
        <v>8792253.9199999999</v>
      </c>
      <c r="H315" s="26">
        <v>8381869.7599999998</v>
      </c>
    </row>
    <row r="316" spans="1:8">
      <c r="A316" s="24">
        <v>255031</v>
      </c>
      <c r="B316" s="25" t="s">
        <v>26</v>
      </c>
      <c r="C316" s="39" t="str">
        <f t="shared" si="8"/>
        <v>208</v>
      </c>
      <c r="D316" s="39" t="str">
        <f t="shared" si="9"/>
        <v>20805</v>
      </c>
      <c r="E316" s="39">
        <f>IF(ISNA(VLOOKUP(F316,'2020功能科目'!A:B,2,FALSE)),"",VLOOKUP(F316,'2020功能科目'!A:B,2,FALSE))</f>
        <v>2080506</v>
      </c>
      <c r="F316" s="25" t="s">
        <v>383</v>
      </c>
      <c r="G316" s="26">
        <v>4396126.96</v>
      </c>
      <c r="H316" s="26">
        <v>4190934.88</v>
      </c>
    </row>
    <row r="317" spans="1:8">
      <c r="A317" s="24">
        <v>255031</v>
      </c>
      <c r="B317" s="25" t="s">
        <v>26</v>
      </c>
      <c r="C317" s="39" t="str">
        <f t="shared" si="8"/>
        <v>210</v>
      </c>
      <c r="D317" s="39" t="str">
        <f t="shared" si="9"/>
        <v>21011</v>
      </c>
      <c r="E317" s="39">
        <f>IF(ISNA(VLOOKUP(F317,'2020功能科目'!A:B,2,FALSE)),"",VLOOKUP(F317,'2020功能科目'!A:B,2,FALSE))</f>
        <v>2101102</v>
      </c>
      <c r="F317" s="25" t="s">
        <v>385</v>
      </c>
      <c r="G317" s="26">
        <v>7313744.8200000003</v>
      </c>
      <c r="H317" s="26">
        <v>6810269.1799999997</v>
      </c>
    </row>
    <row r="318" spans="1:8">
      <c r="A318" s="24">
        <v>255031</v>
      </c>
      <c r="B318" s="25" t="s">
        <v>26</v>
      </c>
      <c r="C318" s="39" t="str">
        <f t="shared" si="8"/>
        <v>210</v>
      </c>
      <c r="D318" s="39" t="str">
        <f t="shared" si="9"/>
        <v>21011</v>
      </c>
      <c r="E318" s="39">
        <f>IF(ISNA(VLOOKUP(F318,'2020功能科目'!A:B,2,FALSE)),"",VLOOKUP(F318,'2020功能科目'!A:B,2,FALSE))</f>
        <v>2101199</v>
      </c>
      <c r="F318" s="25" t="s">
        <v>386</v>
      </c>
      <c r="G318" s="26">
        <v>990000</v>
      </c>
      <c r="H318" s="26">
        <v>990000</v>
      </c>
    </row>
    <row r="319" spans="1:8">
      <c r="A319" s="24">
        <v>255031</v>
      </c>
      <c r="B319" s="25" t="s">
        <v>26</v>
      </c>
      <c r="C319" s="39" t="str">
        <f t="shared" si="8"/>
        <v>221</v>
      </c>
      <c r="D319" s="39" t="str">
        <f t="shared" si="9"/>
        <v>22102</v>
      </c>
      <c r="E319" s="39">
        <f>IF(ISNA(VLOOKUP(F319,'2020功能科目'!A:B,2,FALSE)),"",VLOOKUP(F319,'2020功能科目'!A:B,2,FALSE))</f>
        <v>2210201</v>
      </c>
      <c r="F319" s="25" t="s">
        <v>387</v>
      </c>
      <c r="G319" s="26">
        <v>8276712</v>
      </c>
      <c r="H319" s="26">
        <v>8248402.3200000003</v>
      </c>
    </row>
    <row r="320" spans="1:8">
      <c r="A320" s="24">
        <v>255031</v>
      </c>
      <c r="B320" s="25" t="s">
        <v>26</v>
      </c>
      <c r="C320" s="39" t="str">
        <f t="shared" si="8"/>
        <v>221</v>
      </c>
      <c r="D320" s="39" t="str">
        <f t="shared" si="9"/>
        <v>22102</v>
      </c>
      <c r="E320" s="39">
        <f>IF(ISNA(VLOOKUP(F320,'2020功能科目'!A:B,2,FALSE)),"",VLOOKUP(F320,'2020功能科目'!A:B,2,FALSE))</f>
        <v>2210202</v>
      </c>
      <c r="F320" s="25" t="s">
        <v>388</v>
      </c>
      <c r="G320" s="26">
        <v>1023650</v>
      </c>
      <c r="H320" s="26">
        <v>1036800</v>
      </c>
    </row>
    <row r="321" spans="1:8">
      <c r="A321" s="24">
        <v>255031</v>
      </c>
      <c r="B321" s="25" t="s">
        <v>26</v>
      </c>
      <c r="C321" s="39" t="str">
        <f t="shared" si="8"/>
        <v>221</v>
      </c>
      <c r="D321" s="39" t="str">
        <f t="shared" si="9"/>
        <v>22102</v>
      </c>
      <c r="E321" s="39">
        <f>IF(ISNA(VLOOKUP(F321,'2020功能科目'!A:B,2,FALSE)),"",VLOOKUP(F321,'2020功能科目'!A:B,2,FALSE))</f>
        <v>2210203</v>
      </c>
      <c r="F321" s="25" t="s">
        <v>389</v>
      </c>
      <c r="G321" s="26">
        <v>7334880</v>
      </c>
      <c r="H321" s="26">
        <v>7373940</v>
      </c>
    </row>
    <row r="322" spans="1:8">
      <c r="A322" s="24">
        <v>255033</v>
      </c>
      <c r="B322" s="25" t="s">
        <v>27</v>
      </c>
      <c r="C322" s="39" t="str">
        <f t="shared" si="8"/>
        <v>205</v>
      </c>
      <c r="D322" s="39" t="str">
        <f t="shared" si="9"/>
        <v>20502</v>
      </c>
      <c r="E322" s="39">
        <f>IF(ISNA(VLOOKUP(F322,'2020功能科目'!A:B,2,FALSE)),"",VLOOKUP(F322,'2020功能科目'!A:B,2,FALSE))</f>
        <v>2050202</v>
      </c>
      <c r="F322" s="25" t="s">
        <v>375</v>
      </c>
      <c r="G322" s="26">
        <v>4925947.5</v>
      </c>
      <c r="H322" s="26">
        <v>0</v>
      </c>
    </row>
    <row r="323" spans="1:8">
      <c r="A323" s="24">
        <v>255033</v>
      </c>
      <c r="B323" s="25" t="s">
        <v>27</v>
      </c>
      <c r="C323" s="39" t="str">
        <f t="shared" ref="C323:C386" si="10">LEFT(D323,3)</f>
        <v>205</v>
      </c>
      <c r="D323" s="39" t="str">
        <f t="shared" ref="D323:D386" si="11">LEFT(E323,5)</f>
        <v>20502</v>
      </c>
      <c r="E323" s="39">
        <f>IF(ISNA(VLOOKUP(F323,'2020功能科目'!A:B,2,FALSE)),"",VLOOKUP(F323,'2020功能科目'!A:B,2,FALSE))</f>
        <v>2050204</v>
      </c>
      <c r="F323" s="25" t="s">
        <v>376</v>
      </c>
      <c r="G323" s="26">
        <v>92275307.390000001</v>
      </c>
      <c r="H323" s="26">
        <v>71637564.760000005</v>
      </c>
    </row>
    <row r="324" spans="1:8">
      <c r="A324" s="24">
        <v>255033</v>
      </c>
      <c r="B324" s="25" t="s">
        <v>27</v>
      </c>
      <c r="C324" s="39" t="str">
        <f t="shared" si="10"/>
        <v>205</v>
      </c>
      <c r="D324" s="39" t="str">
        <f t="shared" si="11"/>
        <v>20502</v>
      </c>
      <c r="E324" s="39">
        <f>IF(ISNA(VLOOKUP(F324,'2020功能科目'!A:B,2,FALSE)),"",VLOOKUP(F324,'2020功能科目'!A:B,2,FALSE))</f>
        <v>2050299</v>
      </c>
      <c r="F324" s="25" t="s">
        <v>377</v>
      </c>
      <c r="G324" s="26">
        <v>83654.66</v>
      </c>
      <c r="H324" s="26">
        <v>0</v>
      </c>
    </row>
    <row r="325" spans="1:8">
      <c r="A325" s="24">
        <v>255033</v>
      </c>
      <c r="B325" s="25" t="s">
        <v>27</v>
      </c>
      <c r="C325" s="39" t="str">
        <f t="shared" si="10"/>
        <v>205</v>
      </c>
      <c r="D325" s="39" t="str">
        <f t="shared" si="11"/>
        <v>20508</v>
      </c>
      <c r="E325" s="39">
        <f>IF(ISNA(VLOOKUP(F325,'2020功能科目'!A:B,2,FALSE)),"",VLOOKUP(F325,'2020功能科目'!A:B,2,FALSE))</f>
        <v>2050803</v>
      </c>
      <c r="F325" s="25" t="s">
        <v>378</v>
      </c>
      <c r="G325" s="26">
        <v>110400</v>
      </c>
      <c r="H325" s="26">
        <v>220800</v>
      </c>
    </row>
    <row r="326" spans="1:8">
      <c r="A326" s="24">
        <v>255033</v>
      </c>
      <c r="B326" s="25" t="s">
        <v>27</v>
      </c>
      <c r="C326" s="39" t="str">
        <f t="shared" si="10"/>
        <v>205</v>
      </c>
      <c r="D326" s="39" t="str">
        <f t="shared" si="11"/>
        <v>20509</v>
      </c>
      <c r="E326" s="39">
        <f>IF(ISNA(VLOOKUP(F326,'2020功能科目'!A:B,2,FALSE)),"",VLOOKUP(F326,'2020功能科目'!A:B,2,FALSE))</f>
        <v>2050904</v>
      </c>
      <c r="F326" s="25" t="s">
        <v>380</v>
      </c>
      <c r="G326" s="26">
        <v>693161.28</v>
      </c>
      <c r="H326" s="26">
        <v>694953.28</v>
      </c>
    </row>
    <row r="327" spans="1:8">
      <c r="A327" s="24">
        <v>255033</v>
      </c>
      <c r="B327" s="25" t="s">
        <v>27</v>
      </c>
      <c r="C327" s="39" t="str">
        <f t="shared" si="10"/>
        <v>208</v>
      </c>
      <c r="D327" s="39" t="str">
        <f t="shared" si="11"/>
        <v>20805</v>
      </c>
      <c r="E327" s="39">
        <f>IF(ISNA(VLOOKUP(F327,'2020功能科目'!A:B,2,FALSE)),"",VLOOKUP(F327,'2020功能科目'!A:B,2,FALSE))</f>
        <v>2080502</v>
      </c>
      <c r="F327" s="25" t="s">
        <v>381</v>
      </c>
      <c r="G327" s="26">
        <v>12208816.439999999</v>
      </c>
      <c r="H327" s="26">
        <v>9536556.1999999993</v>
      </c>
    </row>
    <row r="328" spans="1:8">
      <c r="A328" s="24">
        <v>255033</v>
      </c>
      <c r="B328" s="25" t="s">
        <v>27</v>
      </c>
      <c r="C328" s="39" t="str">
        <f t="shared" si="10"/>
        <v>208</v>
      </c>
      <c r="D328" s="39" t="str">
        <f t="shared" si="11"/>
        <v>20805</v>
      </c>
      <c r="E328" s="39">
        <f>IF(ISNA(VLOOKUP(F328,'2020功能科目'!A:B,2,FALSE)),"",VLOOKUP(F328,'2020功能科目'!A:B,2,FALSE))</f>
        <v>2080505</v>
      </c>
      <c r="F328" s="25" t="s">
        <v>382</v>
      </c>
      <c r="G328" s="26">
        <v>6508585.5800000001</v>
      </c>
      <c r="H328" s="26">
        <v>7207823.6799999997</v>
      </c>
    </row>
    <row r="329" spans="1:8">
      <c r="A329" s="24">
        <v>255033</v>
      </c>
      <c r="B329" s="25" t="s">
        <v>27</v>
      </c>
      <c r="C329" s="39" t="str">
        <f t="shared" si="10"/>
        <v>208</v>
      </c>
      <c r="D329" s="39" t="str">
        <f t="shared" si="11"/>
        <v>20805</v>
      </c>
      <c r="E329" s="39">
        <f>IF(ISNA(VLOOKUP(F329,'2020功能科目'!A:B,2,FALSE)),"",VLOOKUP(F329,'2020功能科目'!A:B,2,FALSE))</f>
        <v>2080506</v>
      </c>
      <c r="F329" s="25" t="s">
        <v>383</v>
      </c>
      <c r="G329" s="26">
        <v>3226418.93</v>
      </c>
      <c r="H329" s="26">
        <v>3603911.84</v>
      </c>
    </row>
    <row r="330" spans="1:8">
      <c r="A330" s="24">
        <v>255033</v>
      </c>
      <c r="B330" s="25" t="s">
        <v>27</v>
      </c>
      <c r="C330" s="39" t="str">
        <f t="shared" si="10"/>
        <v>208</v>
      </c>
      <c r="D330" s="39" t="str">
        <f t="shared" si="11"/>
        <v>20808</v>
      </c>
      <c r="E330" s="39">
        <f>IF(ISNA(VLOOKUP(F330,'2020功能科目'!A:B,2,FALSE)),"",VLOOKUP(F330,'2020功能科目'!A:B,2,FALSE))</f>
        <v>2080801</v>
      </c>
      <c r="F330" s="25" t="s">
        <v>384</v>
      </c>
      <c r="G330" s="26">
        <v>220062</v>
      </c>
      <c r="H330" s="26">
        <v>0</v>
      </c>
    </row>
    <row r="331" spans="1:8">
      <c r="A331" s="24">
        <v>255033</v>
      </c>
      <c r="B331" s="25" t="s">
        <v>27</v>
      </c>
      <c r="C331" s="39" t="str">
        <f t="shared" si="10"/>
        <v>210</v>
      </c>
      <c r="D331" s="39" t="str">
        <f t="shared" si="11"/>
        <v>21011</v>
      </c>
      <c r="E331" s="39">
        <f>IF(ISNA(VLOOKUP(F331,'2020功能科目'!A:B,2,FALSE)),"",VLOOKUP(F331,'2020功能科目'!A:B,2,FALSE))</f>
        <v>2101102</v>
      </c>
      <c r="F331" s="25" t="s">
        <v>385</v>
      </c>
      <c r="G331" s="26">
        <v>7117357.2800000003</v>
      </c>
      <c r="H331" s="26">
        <v>5856356.7400000002</v>
      </c>
    </row>
    <row r="332" spans="1:8">
      <c r="A332" s="24">
        <v>255033</v>
      </c>
      <c r="B332" s="25" t="s">
        <v>27</v>
      </c>
      <c r="C332" s="39" t="str">
        <f t="shared" si="10"/>
        <v>210</v>
      </c>
      <c r="D332" s="39" t="str">
        <f t="shared" si="11"/>
        <v>21011</v>
      </c>
      <c r="E332" s="39">
        <f>IF(ISNA(VLOOKUP(F332,'2020功能科目'!A:B,2,FALSE)),"",VLOOKUP(F332,'2020功能科目'!A:B,2,FALSE))</f>
        <v>2101199</v>
      </c>
      <c r="F332" s="25" t="s">
        <v>386</v>
      </c>
      <c r="G332" s="26">
        <v>1192500</v>
      </c>
      <c r="H332" s="26">
        <v>1350000</v>
      </c>
    </row>
    <row r="333" spans="1:8">
      <c r="A333" s="24">
        <v>255033</v>
      </c>
      <c r="B333" s="25" t="s">
        <v>27</v>
      </c>
      <c r="C333" s="39" t="str">
        <f t="shared" si="10"/>
        <v>221</v>
      </c>
      <c r="D333" s="39" t="str">
        <f t="shared" si="11"/>
        <v>22102</v>
      </c>
      <c r="E333" s="39">
        <f>IF(ISNA(VLOOKUP(F333,'2020功能科目'!A:B,2,FALSE)),"",VLOOKUP(F333,'2020功能科目'!A:B,2,FALSE))</f>
        <v>2210201</v>
      </c>
      <c r="F333" s="25" t="s">
        <v>387</v>
      </c>
      <c r="G333" s="26">
        <v>8333364</v>
      </c>
      <c r="H333" s="26">
        <v>7061867.7599999998</v>
      </c>
    </row>
    <row r="334" spans="1:8">
      <c r="A334" s="24">
        <v>255033</v>
      </c>
      <c r="B334" s="25" t="s">
        <v>27</v>
      </c>
      <c r="C334" s="39" t="str">
        <f t="shared" si="10"/>
        <v>221</v>
      </c>
      <c r="D334" s="39" t="str">
        <f t="shared" si="11"/>
        <v>22102</v>
      </c>
      <c r="E334" s="39">
        <f>IF(ISNA(VLOOKUP(F334,'2020功能科目'!A:B,2,FALSE)),"",VLOOKUP(F334,'2020功能科目'!A:B,2,FALSE))</f>
        <v>2210202</v>
      </c>
      <c r="F334" s="25" t="s">
        <v>388</v>
      </c>
      <c r="G334" s="26">
        <v>872920</v>
      </c>
      <c r="H334" s="26">
        <v>875400</v>
      </c>
    </row>
    <row r="335" spans="1:8">
      <c r="A335" s="24">
        <v>255033</v>
      </c>
      <c r="B335" s="25" t="s">
        <v>27</v>
      </c>
      <c r="C335" s="39" t="str">
        <f t="shared" si="10"/>
        <v>221</v>
      </c>
      <c r="D335" s="39" t="str">
        <f t="shared" si="11"/>
        <v>22102</v>
      </c>
      <c r="E335" s="39">
        <f>IF(ISNA(VLOOKUP(F335,'2020功能科目'!A:B,2,FALSE)),"",VLOOKUP(F335,'2020功能科目'!A:B,2,FALSE))</f>
        <v>2210203</v>
      </c>
      <c r="F335" s="25" t="s">
        <v>389</v>
      </c>
      <c r="G335" s="26">
        <v>6600212</v>
      </c>
      <c r="H335" s="26">
        <v>6541032</v>
      </c>
    </row>
    <row r="336" spans="1:8">
      <c r="A336" s="24">
        <v>255034</v>
      </c>
      <c r="B336" s="25" t="s">
        <v>28</v>
      </c>
      <c r="C336" s="39" t="str">
        <f t="shared" si="10"/>
        <v>205</v>
      </c>
      <c r="D336" s="39" t="str">
        <f t="shared" si="11"/>
        <v>20502</v>
      </c>
      <c r="E336" s="39">
        <f>IF(ISNA(VLOOKUP(F336,'2020功能科目'!A:B,2,FALSE)),"",VLOOKUP(F336,'2020功能科目'!A:B,2,FALSE))</f>
        <v>2050202</v>
      </c>
      <c r="F336" s="25" t="s">
        <v>375</v>
      </c>
      <c r="G336" s="26">
        <v>33800402.859999999</v>
      </c>
      <c r="H336" s="26">
        <v>28760513.780000001</v>
      </c>
    </row>
    <row r="337" spans="1:8">
      <c r="A337" s="24">
        <v>255034</v>
      </c>
      <c r="B337" s="25" t="s">
        <v>28</v>
      </c>
      <c r="C337" s="39" t="str">
        <f t="shared" si="10"/>
        <v>205</v>
      </c>
      <c r="D337" s="39" t="str">
        <f t="shared" si="11"/>
        <v>20502</v>
      </c>
      <c r="E337" s="39">
        <f>IF(ISNA(VLOOKUP(F337,'2020功能科目'!A:B,2,FALSE)),"",VLOOKUP(F337,'2020功能科目'!A:B,2,FALSE))</f>
        <v>2050299</v>
      </c>
      <c r="F337" s="25" t="s">
        <v>377</v>
      </c>
      <c r="G337" s="26">
        <v>303643.84000000003</v>
      </c>
      <c r="H337" s="26">
        <v>446349.01</v>
      </c>
    </row>
    <row r="338" spans="1:8">
      <c r="A338" s="24">
        <v>255034</v>
      </c>
      <c r="B338" s="25" t="s">
        <v>28</v>
      </c>
      <c r="C338" s="39" t="str">
        <f t="shared" si="10"/>
        <v>205</v>
      </c>
      <c r="D338" s="39" t="str">
        <f t="shared" si="11"/>
        <v>20508</v>
      </c>
      <c r="E338" s="39">
        <f>IF(ISNA(VLOOKUP(F338,'2020功能科目'!A:B,2,FALSE)),"",VLOOKUP(F338,'2020功能科目'!A:B,2,FALSE))</f>
        <v>2050803</v>
      </c>
      <c r="F338" s="25" t="s">
        <v>378</v>
      </c>
      <c r="G338" s="26">
        <v>0</v>
      </c>
      <c r="H338" s="26">
        <v>84000</v>
      </c>
    </row>
    <row r="339" spans="1:8">
      <c r="A339" s="24">
        <v>255034</v>
      </c>
      <c r="B339" s="25" t="s">
        <v>28</v>
      </c>
      <c r="C339" s="39" t="str">
        <f t="shared" si="10"/>
        <v>205</v>
      </c>
      <c r="D339" s="39" t="str">
        <f t="shared" si="11"/>
        <v>20509</v>
      </c>
      <c r="E339" s="39">
        <f>IF(ISNA(VLOOKUP(F339,'2020功能科目'!A:B,2,FALSE)),"",VLOOKUP(F339,'2020功能科目'!A:B,2,FALSE))</f>
        <v>2050904</v>
      </c>
      <c r="F339" s="25" t="s">
        <v>380</v>
      </c>
      <c r="G339" s="26">
        <v>753464</v>
      </c>
      <c r="H339" s="26">
        <v>769500</v>
      </c>
    </row>
    <row r="340" spans="1:8">
      <c r="A340" s="24">
        <v>255034</v>
      </c>
      <c r="B340" s="25" t="s">
        <v>28</v>
      </c>
      <c r="C340" s="39" t="str">
        <f t="shared" si="10"/>
        <v>208</v>
      </c>
      <c r="D340" s="39" t="str">
        <f t="shared" si="11"/>
        <v>20805</v>
      </c>
      <c r="E340" s="39">
        <f>IF(ISNA(VLOOKUP(F340,'2020功能科目'!A:B,2,FALSE)),"",VLOOKUP(F340,'2020功能科目'!A:B,2,FALSE))</f>
        <v>2080502</v>
      </c>
      <c r="F340" s="25" t="s">
        <v>381</v>
      </c>
      <c r="G340" s="26">
        <v>1296142</v>
      </c>
      <c r="H340" s="26">
        <v>1316699</v>
      </c>
    </row>
    <row r="341" spans="1:8">
      <c r="A341" s="24">
        <v>255034</v>
      </c>
      <c r="B341" s="25" t="s">
        <v>28</v>
      </c>
      <c r="C341" s="39" t="str">
        <f t="shared" si="10"/>
        <v>208</v>
      </c>
      <c r="D341" s="39" t="str">
        <f t="shared" si="11"/>
        <v>20805</v>
      </c>
      <c r="E341" s="39">
        <f>IF(ISNA(VLOOKUP(F341,'2020功能科目'!A:B,2,FALSE)),"",VLOOKUP(F341,'2020功能科目'!A:B,2,FALSE))</f>
        <v>2080505</v>
      </c>
      <c r="F341" s="25" t="s">
        <v>382</v>
      </c>
      <c r="G341" s="26">
        <v>2214064.7999999998</v>
      </c>
      <c r="H341" s="26">
        <v>2371115.2000000002</v>
      </c>
    </row>
    <row r="342" spans="1:8">
      <c r="A342" s="24">
        <v>255034</v>
      </c>
      <c r="B342" s="25" t="s">
        <v>28</v>
      </c>
      <c r="C342" s="39" t="str">
        <f t="shared" si="10"/>
        <v>208</v>
      </c>
      <c r="D342" s="39" t="str">
        <f t="shared" si="11"/>
        <v>20805</v>
      </c>
      <c r="E342" s="39">
        <f>IF(ISNA(VLOOKUP(F342,'2020功能科目'!A:B,2,FALSE)),"",VLOOKUP(F342,'2020功能科目'!A:B,2,FALSE))</f>
        <v>2080506</v>
      </c>
      <c r="F342" s="25" t="s">
        <v>383</v>
      </c>
      <c r="G342" s="26">
        <v>1107032.3999999999</v>
      </c>
      <c r="H342" s="26">
        <v>1185557.6000000001</v>
      </c>
    </row>
    <row r="343" spans="1:8">
      <c r="A343" s="24">
        <v>255034</v>
      </c>
      <c r="B343" s="25" t="s">
        <v>28</v>
      </c>
      <c r="C343" s="39" t="str">
        <f t="shared" si="10"/>
        <v>210</v>
      </c>
      <c r="D343" s="39" t="str">
        <f t="shared" si="11"/>
        <v>21011</v>
      </c>
      <c r="E343" s="39">
        <f>IF(ISNA(VLOOKUP(F343,'2020功能科目'!A:B,2,FALSE)),"",VLOOKUP(F343,'2020功能科目'!A:B,2,FALSE))</f>
        <v>2101102</v>
      </c>
      <c r="F343" s="25" t="s">
        <v>385</v>
      </c>
      <c r="G343" s="26">
        <v>2299181.5499999998</v>
      </c>
      <c r="H343" s="26">
        <v>1926531.1</v>
      </c>
    </row>
    <row r="344" spans="1:8">
      <c r="A344" s="24">
        <v>255034</v>
      </c>
      <c r="B344" s="25" t="s">
        <v>28</v>
      </c>
      <c r="C344" s="39" t="str">
        <f t="shared" si="10"/>
        <v>210</v>
      </c>
      <c r="D344" s="39" t="str">
        <f t="shared" si="11"/>
        <v>21011</v>
      </c>
      <c r="E344" s="39">
        <f>IF(ISNA(VLOOKUP(F344,'2020功能科目'!A:B,2,FALSE)),"",VLOOKUP(F344,'2020功能科目'!A:B,2,FALSE))</f>
        <v>2101199</v>
      </c>
      <c r="F344" s="25" t="s">
        <v>386</v>
      </c>
      <c r="G344" s="26">
        <v>90000</v>
      </c>
      <c r="H344" s="26">
        <v>90000</v>
      </c>
    </row>
    <row r="345" spans="1:8">
      <c r="A345" s="24">
        <v>255034</v>
      </c>
      <c r="B345" s="25" t="s">
        <v>28</v>
      </c>
      <c r="C345" s="39" t="str">
        <f t="shared" si="10"/>
        <v>221</v>
      </c>
      <c r="D345" s="39" t="str">
        <f t="shared" si="11"/>
        <v>22102</v>
      </c>
      <c r="E345" s="39">
        <f>IF(ISNA(VLOOKUP(F345,'2020功能科目'!A:B,2,FALSE)),"",VLOOKUP(F345,'2020功能科目'!A:B,2,FALSE))</f>
        <v>2210201</v>
      </c>
      <c r="F345" s="25" t="s">
        <v>387</v>
      </c>
      <c r="G345" s="26">
        <v>2525361</v>
      </c>
      <c r="H345" s="26">
        <v>2408336.4</v>
      </c>
    </row>
    <row r="346" spans="1:8">
      <c r="A346" s="24">
        <v>255034</v>
      </c>
      <c r="B346" s="25" t="s">
        <v>28</v>
      </c>
      <c r="C346" s="39" t="str">
        <f t="shared" si="10"/>
        <v>221</v>
      </c>
      <c r="D346" s="39" t="str">
        <f t="shared" si="11"/>
        <v>22102</v>
      </c>
      <c r="E346" s="39">
        <f>IF(ISNA(VLOOKUP(F346,'2020功能科目'!A:B,2,FALSE)),"",VLOOKUP(F346,'2020功能科目'!A:B,2,FALSE))</f>
        <v>2210202</v>
      </c>
      <c r="F346" s="25" t="s">
        <v>388</v>
      </c>
      <c r="G346" s="26">
        <v>194080</v>
      </c>
      <c r="H346" s="26">
        <v>194880</v>
      </c>
    </row>
    <row r="347" spans="1:8">
      <c r="A347" s="24">
        <v>255034</v>
      </c>
      <c r="B347" s="25" t="s">
        <v>28</v>
      </c>
      <c r="C347" s="39" t="str">
        <f t="shared" si="10"/>
        <v>221</v>
      </c>
      <c r="D347" s="39" t="str">
        <f t="shared" si="11"/>
        <v>22102</v>
      </c>
      <c r="E347" s="39">
        <f>IF(ISNA(VLOOKUP(F347,'2020功能科目'!A:B,2,FALSE)),"",VLOOKUP(F347,'2020功能科目'!A:B,2,FALSE))</f>
        <v>2210203</v>
      </c>
      <c r="F347" s="25" t="s">
        <v>389</v>
      </c>
      <c r="G347" s="26">
        <v>2732125.96</v>
      </c>
      <c r="H347" s="26">
        <v>2647788.96</v>
      </c>
    </row>
    <row r="348" spans="1:8">
      <c r="A348" s="24">
        <v>255035</v>
      </c>
      <c r="B348" s="25" t="s">
        <v>29</v>
      </c>
      <c r="C348" s="39" t="str">
        <f t="shared" si="10"/>
        <v>205</v>
      </c>
      <c r="D348" s="39" t="str">
        <f t="shared" si="11"/>
        <v>20502</v>
      </c>
      <c r="E348" s="39">
        <f>IF(ISNA(VLOOKUP(F348,'2020功能科目'!A:B,2,FALSE)),"",VLOOKUP(F348,'2020功能科目'!A:B,2,FALSE))</f>
        <v>2050202</v>
      </c>
      <c r="F348" s="25" t="s">
        <v>375</v>
      </c>
      <c r="G348" s="26">
        <v>19685558.579999998</v>
      </c>
      <c r="H348" s="26">
        <v>15083770.640000001</v>
      </c>
    </row>
    <row r="349" spans="1:8">
      <c r="A349" s="24">
        <v>255035</v>
      </c>
      <c r="B349" s="25" t="s">
        <v>29</v>
      </c>
      <c r="C349" s="39" t="str">
        <f t="shared" si="10"/>
        <v>205</v>
      </c>
      <c r="D349" s="39" t="str">
        <f t="shared" si="11"/>
        <v>20502</v>
      </c>
      <c r="E349" s="39">
        <f>IF(ISNA(VLOOKUP(F349,'2020功能科目'!A:B,2,FALSE)),"",VLOOKUP(F349,'2020功能科目'!A:B,2,FALSE))</f>
        <v>2050299</v>
      </c>
      <c r="F349" s="25" t="s">
        <v>377</v>
      </c>
      <c r="G349" s="26">
        <v>22228.75</v>
      </c>
      <c r="H349" s="26">
        <v>0</v>
      </c>
    </row>
    <row r="350" spans="1:8">
      <c r="A350" s="24">
        <v>255035</v>
      </c>
      <c r="B350" s="25" t="s">
        <v>29</v>
      </c>
      <c r="C350" s="39" t="str">
        <f t="shared" si="10"/>
        <v>205</v>
      </c>
      <c r="D350" s="39" t="str">
        <f t="shared" si="11"/>
        <v>20508</v>
      </c>
      <c r="E350" s="39">
        <f>IF(ISNA(VLOOKUP(F350,'2020功能科目'!A:B,2,FALSE)),"",VLOOKUP(F350,'2020功能科目'!A:B,2,FALSE))</f>
        <v>2050803</v>
      </c>
      <c r="F350" s="25" t="s">
        <v>378</v>
      </c>
      <c r="G350" s="26">
        <v>0</v>
      </c>
      <c r="H350" s="26">
        <v>51200</v>
      </c>
    </row>
    <row r="351" spans="1:8">
      <c r="A351" s="24">
        <v>255035</v>
      </c>
      <c r="B351" s="25" t="s">
        <v>29</v>
      </c>
      <c r="C351" s="39" t="str">
        <f t="shared" si="10"/>
        <v>205</v>
      </c>
      <c r="D351" s="39" t="str">
        <f t="shared" si="11"/>
        <v>20509</v>
      </c>
      <c r="E351" s="39">
        <f>IF(ISNA(VLOOKUP(F351,'2020功能科目'!A:B,2,FALSE)),"",VLOOKUP(F351,'2020功能科目'!A:B,2,FALSE))</f>
        <v>2050904</v>
      </c>
      <c r="F351" s="25" t="s">
        <v>380</v>
      </c>
      <c r="G351" s="26">
        <v>1049310</v>
      </c>
      <c r="H351" s="26">
        <v>1049310</v>
      </c>
    </row>
    <row r="352" spans="1:8">
      <c r="A352" s="24">
        <v>255035</v>
      </c>
      <c r="B352" s="25" t="s">
        <v>29</v>
      </c>
      <c r="C352" s="39" t="str">
        <f t="shared" si="10"/>
        <v>208</v>
      </c>
      <c r="D352" s="39" t="str">
        <f t="shared" si="11"/>
        <v>20805</v>
      </c>
      <c r="E352" s="39">
        <f>IF(ISNA(VLOOKUP(F352,'2020功能科目'!A:B,2,FALSE)),"",VLOOKUP(F352,'2020功能科目'!A:B,2,FALSE))</f>
        <v>2080502</v>
      </c>
      <c r="F352" s="25" t="s">
        <v>381</v>
      </c>
      <c r="G352" s="26">
        <v>775226</v>
      </c>
      <c r="H352" s="26">
        <v>626444</v>
      </c>
    </row>
    <row r="353" spans="1:8">
      <c r="A353" s="24">
        <v>255035</v>
      </c>
      <c r="B353" s="25" t="s">
        <v>29</v>
      </c>
      <c r="C353" s="39" t="str">
        <f t="shared" si="10"/>
        <v>208</v>
      </c>
      <c r="D353" s="39" t="str">
        <f t="shared" si="11"/>
        <v>20805</v>
      </c>
      <c r="E353" s="39">
        <f>IF(ISNA(VLOOKUP(F353,'2020功能科目'!A:B,2,FALSE)),"",VLOOKUP(F353,'2020功能科目'!A:B,2,FALSE))</f>
        <v>2080505</v>
      </c>
      <c r="F353" s="25" t="s">
        <v>382</v>
      </c>
      <c r="G353" s="26">
        <v>1268530.08</v>
      </c>
      <c r="H353" s="26">
        <v>1371133.12</v>
      </c>
    </row>
    <row r="354" spans="1:8">
      <c r="A354" s="24">
        <v>255035</v>
      </c>
      <c r="B354" s="25" t="s">
        <v>29</v>
      </c>
      <c r="C354" s="39" t="str">
        <f t="shared" si="10"/>
        <v>208</v>
      </c>
      <c r="D354" s="39" t="str">
        <f t="shared" si="11"/>
        <v>20805</v>
      </c>
      <c r="E354" s="39">
        <f>IF(ISNA(VLOOKUP(F354,'2020功能科目'!A:B,2,FALSE)),"",VLOOKUP(F354,'2020功能科目'!A:B,2,FALSE))</f>
        <v>2080506</v>
      </c>
      <c r="F354" s="25" t="s">
        <v>383</v>
      </c>
      <c r="G354" s="26">
        <v>634265.04</v>
      </c>
      <c r="H354" s="26">
        <v>685566.56</v>
      </c>
    </row>
    <row r="355" spans="1:8">
      <c r="A355" s="24">
        <v>255035</v>
      </c>
      <c r="B355" s="25" t="s">
        <v>29</v>
      </c>
      <c r="C355" s="39" t="str">
        <f t="shared" si="10"/>
        <v>210</v>
      </c>
      <c r="D355" s="39" t="str">
        <f t="shared" si="11"/>
        <v>21011</v>
      </c>
      <c r="E355" s="39">
        <f>IF(ISNA(VLOOKUP(F355,'2020功能科目'!A:B,2,FALSE)),"",VLOOKUP(F355,'2020功能科目'!A:B,2,FALSE))</f>
        <v>2101102</v>
      </c>
      <c r="F355" s="25" t="s">
        <v>385</v>
      </c>
      <c r="G355" s="26">
        <v>1447447.16</v>
      </c>
      <c r="H355" s="26">
        <v>1114045.6599999999</v>
      </c>
    </row>
    <row r="356" spans="1:8">
      <c r="A356" s="24">
        <v>255035</v>
      </c>
      <c r="B356" s="25" t="s">
        <v>29</v>
      </c>
      <c r="C356" s="39" t="str">
        <f t="shared" si="10"/>
        <v>221</v>
      </c>
      <c r="D356" s="39" t="str">
        <f t="shared" si="11"/>
        <v>22102</v>
      </c>
      <c r="E356" s="39">
        <f>IF(ISNA(VLOOKUP(F356,'2020功能科目'!A:B,2,FALSE)),"",VLOOKUP(F356,'2020功能科目'!A:B,2,FALSE))</f>
        <v>2210201</v>
      </c>
      <c r="F356" s="25" t="s">
        <v>387</v>
      </c>
      <c r="G356" s="26">
        <v>1496361</v>
      </c>
      <c r="H356" s="26">
        <v>1412349.84</v>
      </c>
    </row>
    <row r="357" spans="1:8">
      <c r="A357" s="24">
        <v>255035</v>
      </c>
      <c r="B357" s="25" t="s">
        <v>29</v>
      </c>
      <c r="C357" s="39" t="str">
        <f t="shared" si="10"/>
        <v>221</v>
      </c>
      <c r="D357" s="39" t="str">
        <f t="shared" si="11"/>
        <v>22102</v>
      </c>
      <c r="E357" s="39">
        <f>IF(ISNA(VLOOKUP(F357,'2020功能科目'!A:B,2,FALSE)),"",VLOOKUP(F357,'2020功能科目'!A:B,2,FALSE))</f>
        <v>2210202</v>
      </c>
      <c r="F357" s="25" t="s">
        <v>388</v>
      </c>
      <c r="G357" s="26">
        <v>113300</v>
      </c>
      <c r="H357" s="26">
        <v>114000</v>
      </c>
    </row>
    <row r="358" spans="1:8">
      <c r="A358" s="24">
        <v>255035</v>
      </c>
      <c r="B358" s="25" t="s">
        <v>29</v>
      </c>
      <c r="C358" s="39" t="str">
        <f t="shared" si="10"/>
        <v>221</v>
      </c>
      <c r="D358" s="39" t="str">
        <f t="shared" si="11"/>
        <v>22102</v>
      </c>
      <c r="E358" s="39">
        <f>IF(ISNA(VLOOKUP(F358,'2020功能科目'!A:B,2,FALSE)),"",VLOOKUP(F358,'2020功能科目'!A:B,2,FALSE))</f>
        <v>2210203</v>
      </c>
      <c r="F358" s="25" t="s">
        <v>389</v>
      </c>
      <c r="G358" s="26">
        <v>1812941.2</v>
      </c>
      <c r="H358" s="26">
        <v>1534963.2</v>
      </c>
    </row>
    <row r="359" spans="1:8">
      <c r="A359" s="24">
        <v>255036</v>
      </c>
      <c r="B359" s="25" t="s">
        <v>30</v>
      </c>
      <c r="C359" s="39" t="str">
        <f t="shared" si="10"/>
        <v>205</v>
      </c>
      <c r="D359" s="39" t="str">
        <f t="shared" si="11"/>
        <v>20502</v>
      </c>
      <c r="E359" s="39">
        <f>IF(ISNA(VLOOKUP(F359,'2020功能科目'!A:B,2,FALSE)),"",VLOOKUP(F359,'2020功能科目'!A:B,2,FALSE))</f>
        <v>2050202</v>
      </c>
      <c r="F359" s="25" t="s">
        <v>375</v>
      </c>
      <c r="G359" s="26">
        <v>11914389.16</v>
      </c>
      <c r="H359" s="26">
        <v>9794015.1799999997</v>
      </c>
    </row>
    <row r="360" spans="1:8">
      <c r="A360" s="24">
        <v>255036</v>
      </c>
      <c r="B360" s="25" t="s">
        <v>30</v>
      </c>
      <c r="C360" s="39" t="str">
        <f t="shared" si="10"/>
        <v>205</v>
      </c>
      <c r="D360" s="39" t="str">
        <f t="shared" si="11"/>
        <v>20502</v>
      </c>
      <c r="E360" s="39">
        <f>IF(ISNA(VLOOKUP(F360,'2020功能科目'!A:B,2,FALSE)),"",VLOOKUP(F360,'2020功能科目'!A:B,2,FALSE))</f>
        <v>2050299</v>
      </c>
      <c r="F360" s="25" t="s">
        <v>377</v>
      </c>
      <c r="G360" s="26">
        <v>29172.080000000002</v>
      </c>
      <c r="H360" s="26">
        <v>0</v>
      </c>
    </row>
    <row r="361" spans="1:8">
      <c r="A361" s="24">
        <v>255036</v>
      </c>
      <c r="B361" s="25" t="s">
        <v>30</v>
      </c>
      <c r="C361" s="39" t="str">
        <f t="shared" si="10"/>
        <v>205</v>
      </c>
      <c r="D361" s="39" t="str">
        <f t="shared" si="11"/>
        <v>20508</v>
      </c>
      <c r="E361" s="39">
        <f>IF(ISNA(VLOOKUP(F361,'2020功能科目'!A:B,2,FALSE)),"",VLOOKUP(F361,'2020功能科目'!A:B,2,FALSE))</f>
        <v>2050803</v>
      </c>
      <c r="F361" s="25" t="s">
        <v>378</v>
      </c>
      <c r="G361" s="26">
        <v>0</v>
      </c>
      <c r="H361" s="26">
        <v>28000</v>
      </c>
    </row>
    <row r="362" spans="1:8">
      <c r="A362" s="24">
        <v>255036</v>
      </c>
      <c r="B362" s="25" t="s">
        <v>30</v>
      </c>
      <c r="C362" s="39" t="str">
        <f t="shared" si="10"/>
        <v>205</v>
      </c>
      <c r="D362" s="39" t="str">
        <f t="shared" si="11"/>
        <v>20509</v>
      </c>
      <c r="E362" s="39">
        <f>IF(ISNA(VLOOKUP(F362,'2020功能科目'!A:B,2,FALSE)),"",VLOOKUP(F362,'2020功能科目'!A:B,2,FALSE))</f>
        <v>2050904</v>
      </c>
      <c r="F362" s="25" t="s">
        <v>380</v>
      </c>
      <c r="G362" s="26">
        <v>210000</v>
      </c>
      <c r="H362" s="26">
        <v>210000</v>
      </c>
    </row>
    <row r="363" spans="1:8">
      <c r="A363" s="24">
        <v>255036</v>
      </c>
      <c r="B363" s="25" t="s">
        <v>30</v>
      </c>
      <c r="C363" s="39" t="str">
        <f t="shared" si="10"/>
        <v>208</v>
      </c>
      <c r="D363" s="39" t="str">
        <f t="shared" si="11"/>
        <v>20805</v>
      </c>
      <c r="E363" s="39">
        <f>IF(ISNA(VLOOKUP(F363,'2020功能科目'!A:B,2,FALSE)),"",VLOOKUP(F363,'2020功能科目'!A:B,2,FALSE))</f>
        <v>2080502</v>
      </c>
      <c r="F363" s="25" t="s">
        <v>381</v>
      </c>
      <c r="G363" s="26">
        <v>681733</v>
      </c>
      <c r="H363" s="26">
        <v>414810</v>
      </c>
    </row>
    <row r="364" spans="1:8">
      <c r="A364" s="24">
        <v>255036</v>
      </c>
      <c r="B364" s="25" t="s">
        <v>30</v>
      </c>
      <c r="C364" s="39" t="str">
        <f t="shared" si="10"/>
        <v>208</v>
      </c>
      <c r="D364" s="39" t="str">
        <f t="shared" si="11"/>
        <v>20805</v>
      </c>
      <c r="E364" s="39">
        <f>IF(ISNA(VLOOKUP(F364,'2020功能科目'!A:B,2,FALSE)),"",VLOOKUP(F364,'2020功能科目'!A:B,2,FALSE))</f>
        <v>2080505</v>
      </c>
      <c r="F364" s="25" t="s">
        <v>382</v>
      </c>
      <c r="G364" s="26">
        <v>868918.08</v>
      </c>
      <c r="H364" s="26">
        <v>875192.96</v>
      </c>
    </row>
    <row r="365" spans="1:8">
      <c r="A365" s="24">
        <v>255036</v>
      </c>
      <c r="B365" s="25" t="s">
        <v>30</v>
      </c>
      <c r="C365" s="39" t="str">
        <f t="shared" si="10"/>
        <v>208</v>
      </c>
      <c r="D365" s="39" t="str">
        <f t="shared" si="11"/>
        <v>20805</v>
      </c>
      <c r="E365" s="39">
        <f>IF(ISNA(VLOOKUP(F365,'2020功能科目'!A:B,2,FALSE)),"",VLOOKUP(F365,'2020功能科目'!A:B,2,FALSE))</f>
        <v>2080506</v>
      </c>
      <c r="F365" s="25" t="s">
        <v>383</v>
      </c>
      <c r="G365" s="26">
        <v>434459.04</v>
      </c>
      <c r="H365" s="26">
        <v>437596.48</v>
      </c>
    </row>
    <row r="366" spans="1:8">
      <c r="A366" s="24">
        <v>255036</v>
      </c>
      <c r="B366" s="25" t="s">
        <v>30</v>
      </c>
      <c r="C366" s="39" t="str">
        <f t="shared" si="10"/>
        <v>210</v>
      </c>
      <c r="D366" s="39" t="str">
        <f t="shared" si="11"/>
        <v>21011</v>
      </c>
      <c r="E366" s="39">
        <f>IF(ISNA(VLOOKUP(F366,'2020功能科目'!A:B,2,FALSE)),"",VLOOKUP(F366,'2020功能科目'!A:B,2,FALSE))</f>
        <v>2101102</v>
      </c>
      <c r="F366" s="25" t="s">
        <v>385</v>
      </c>
      <c r="G366" s="26">
        <v>867755.26</v>
      </c>
      <c r="H366" s="26">
        <v>711094.28</v>
      </c>
    </row>
    <row r="367" spans="1:8">
      <c r="A367" s="24">
        <v>255036</v>
      </c>
      <c r="B367" s="25" t="s">
        <v>30</v>
      </c>
      <c r="C367" s="39" t="str">
        <f t="shared" si="10"/>
        <v>221</v>
      </c>
      <c r="D367" s="39" t="str">
        <f t="shared" si="11"/>
        <v>22102</v>
      </c>
      <c r="E367" s="39">
        <f>IF(ISNA(VLOOKUP(F367,'2020功能科目'!A:B,2,FALSE)),"",VLOOKUP(F367,'2020功能科目'!A:B,2,FALSE))</f>
        <v>2210201</v>
      </c>
      <c r="F367" s="25" t="s">
        <v>387</v>
      </c>
      <c r="G367" s="26">
        <v>1051046</v>
      </c>
      <c r="H367" s="26">
        <v>866394.72</v>
      </c>
    </row>
    <row r="368" spans="1:8">
      <c r="A368" s="24">
        <v>255036</v>
      </c>
      <c r="B368" s="25" t="s">
        <v>30</v>
      </c>
      <c r="C368" s="39" t="str">
        <f t="shared" si="10"/>
        <v>221</v>
      </c>
      <c r="D368" s="39" t="str">
        <f t="shared" si="11"/>
        <v>22102</v>
      </c>
      <c r="E368" s="39">
        <f>IF(ISNA(VLOOKUP(F368,'2020功能科目'!A:B,2,FALSE)),"",VLOOKUP(F368,'2020功能科目'!A:B,2,FALSE))</f>
        <v>2210202</v>
      </c>
      <c r="F368" s="25" t="s">
        <v>388</v>
      </c>
      <c r="G368" s="26">
        <v>66780</v>
      </c>
      <c r="H368" s="26">
        <v>70800</v>
      </c>
    </row>
    <row r="369" spans="1:8">
      <c r="A369" s="24">
        <v>255036</v>
      </c>
      <c r="B369" s="25" t="s">
        <v>30</v>
      </c>
      <c r="C369" s="39" t="str">
        <f t="shared" si="10"/>
        <v>221</v>
      </c>
      <c r="D369" s="39" t="str">
        <f t="shared" si="11"/>
        <v>22102</v>
      </c>
      <c r="E369" s="39">
        <f>IF(ISNA(VLOOKUP(F369,'2020功能科目'!A:B,2,FALSE)),"",VLOOKUP(F369,'2020功能科目'!A:B,2,FALSE))</f>
        <v>2210203</v>
      </c>
      <c r="F369" s="25" t="s">
        <v>389</v>
      </c>
      <c r="G369" s="26">
        <v>785708</v>
      </c>
      <c r="H369" s="26">
        <v>772674</v>
      </c>
    </row>
    <row r="370" spans="1:8">
      <c r="A370" s="24">
        <v>255038</v>
      </c>
      <c r="B370" s="25" t="s">
        <v>31</v>
      </c>
      <c r="C370" s="39" t="str">
        <f t="shared" si="10"/>
        <v>205</v>
      </c>
      <c r="D370" s="39" t="str">
        <f t="shared" si="11"/>
        <v>20502</v>
      </c>
      <c r="E370" s="39">
        <f>IF(ISNA(VLOOKUP(F370,'2020功能科目'!A:B,2,FALSE)),"",VLOOKUP(F370,'2020功能科目'!A:B,2,FALSE))</f>
        <v>2050202</v>
      </c>
      <c r="F370" s="25" t="s">
        <v>375</v>
      </c>
      <c r="G370" s="26">
        <v>21412402.109999999</v>
      </c>
      <c r="H370" s="26">
        <v>16537293.77</v>
      </c>
    </row>
    <row r="371" spans="1:8">
      <c r="A371" s="24">
        <v>255038</v>
      </c>
      <c r="B371" s="25" t="s">
        <v>31</v>
      </c>
      <c r="C371" s="39" t="str">
        <f t="shared" si="10"/>
        <v>205</v>
      </c>
      <c r="D371" s="39" t="str">
        <f t="shared" si="11"/>
        <v>20502</v>
      </c>
      <c r="E371" s="39">
        <f>IF(ISNA(VLOOKUP(F371,'2020功能科目'!A:B,2,FALSE)),"",VLOOKUP(F371,'2020功能科目'!A:B,2,FALSE))</f>
        <v>2050299</v>
      </c>
      <c r="F371" s="25" t="s">
        <v>377</v>
      </c>
      <c r="G371" s="26">
        <v>183461.34</v>
      </c>
      <c r="H371" s="26">
        <v>185087.75</v>
      </c>
    </row>
    <row r="372" spans="1:8">
      <c r="A372" s="24">
        <v>255038</v>
      </c>
      <c r="B372" s="25" t="s">
        <v>31</v>
      </c>
      <c r="C372" s="39" t="str">
        <f t="shared" si="10"/>
        <v>205</v>
      </c>
      <c r="D372" s="39" t="str">
        <f t="shared" si="11"/>
        <v>20508</v>
      </c>
      <c r="E372" s="39">
        <f>IF(ISNA(VLOOKUP(F372,'2020功能科目'!A:B,2,FALSE)),"",VLOOKUP(F372,'2020功能科目'!A:B,2,FALSE))</f>
        <v>2050803</v>
      </c>
      <c r="F372" s="25" t="s">
        <v>378</v>
      </c>
      <c r="G372" s="26">
        <v>0</v>
      </c>
      <c r="H372" s="26">
        <v>51200</v>
      </c>
    </row>
    <row r="373" spans="1:8">
      <c r="A373" s="24">
        <v>255038</v>
      </c>
      <c r="B373" s="25" t="s">
        <v>31</v>
      </c>
      <c r="C373" s="39" t="str">
        <f t="shared" si="10"/>
        <v>205</v>
      </c>
      <c r="D373" s="39" t="str">
        <f t="shared" si="11"/>
        <v>20509</v>
      </c>
      <c r="E373" s="39">
        <f>IF(ISNA(VLOOKUP(F373,'2020功能科目'!A:B,2,FALSE)),"",VLOOKUP(F373,'2020功能科目'!A:B,2,FALSE))</f>
        <v>2050904</v>
      </c>
      <c r="F373" s="25" t="s">
        <v>380</v>
      </c>
      <c r="G373" s="26">
        <v>221400</v>
      </c>
      <c r="H373" s="26">
        <v>221400</v>
      </c>
    </row>
    <row r="374" spans="1:8">
      <c r="A374" s="24">
        <v>255038</v>
      </c>
      <c r="B374" s="25" t="s">
        <v>31</v>
      </c>
      <c r="C374" s="39" t="str">
        <f t="shared" si="10"/>
        <v>208</v>
      </c>
      <c r="D374" s="39" t="str">
        <f t="shared" si="11"/>
        <v>20805</v>
      </c>
      <c r="E374" s="39">
        <f>IF(ISNA(VLOOKUP(F374,'2020功能科目'!A:B,2,FALSE)),"",VLOOKUP(F374,'2020功能科目'!A:B,2,FALSE))</f>
        <v>2080502</v>
      </c>
      <c r="F374" s="25" t="s">
        <v>381</v>
      </c>
      <c r="G374" s="26">
        <v>1780185.33</v>
      </c>
      <c r="H374" s="26">
        <v>1044816</v>
      </c>
    </row>
    <row r="375" spans="1:8">
      <c r="A375" s="24">
        <v>255038</v>
      </c>
      <c r="B375" s="25" t="s">
        <v>31</v>
      </c>
      <c r="C375" s="39" t="str">
        <f t="shared" si="10"/>
        <v>208</v>
      </c>
      <c r="D375" s="39" t="str">
        <f t="shared" si="11"/>
        <v>20805</v>
      </c>
      <c r="E375" s="39">
        <f>IF(ISNA(VLOOKUP(F375,'2020功能科目'!A:B,2,FALSE)),"",VLOOKUP(F375,'2020功能科目'!A:B,2,FALSE))</f>
        <v>2080505</v>
      </c>
      <c r="F375" s="25" t="s">
        <v>382</v>
      </c>
      <c r="G375" s="26">
        <v>1369513.12</v>
      </c>
      <c r="H375" s="26">
        <v>1389441.76</v>
      </c>
    </row>
    <row r="376" spans="1:8">
      <c r="A376" s="24">
        <v>255038</v>
      </c>
      <c r="B376" s="25" t="s">
        <v>31</v>
      </c>
      <c r="C376" s="39" t="str">
        <f t="shared" si="10"/>
        <v>208</v>
      </c>
      <c r="D376" s="39" t="str">
        <f t="shared" si="11"/>
        <v>20805</v>
      </c>
      <c r="E376" s="39">
        <f>IF(ISNA(VLOOKUP(F376,'2020功能科目'!A:B,2,FALSE)),"",VLOOKUP(F376,'2020功能科目'!A:B,2,FALSE))</f>
        <v>2080506</v>
      </c>
      <c r="F376" s="25" t="s">
        <v>383</v>
      </c>
      <c r="G376" s="26">
        <v>684755.96</v>
      </c>
      <c r="H376" s="26">
        <v>694720.88</v>
      </c>
    </row>
    <row r="377" spans="1:8">
      <c r="A377" s="24">
        <v>255038</v>
      </c>
      <c r="B377" s="25" t="s">
        <v>31</v>
      </c>
      <c r="C377" s="39" t="str">
        <f t="shared" si="10"/>
        <v>210</v>
      </c>
      <c r="D377" s="39" t="str">
        <f t="shared" si="11"/>
        <v>21011</v>
      </c>
      <c r="E377" s="39">
        <f>IF(ISNA(VLOOKUP(F377,'2020功能科目'!A:B,2,FALSE)),"",VLOOKUP(F377,'2020功能科目'!A:B,2,FALSE))</f>
        <v>2101102</v>
      </c>
      <c r="F377" s="25" t="s">
        <v>385</v>
      </c>
      <c r="G377" s="26">
        <v>1508031.74</v>
      </c>
      <c r="H377" s="26">
        <v>1128921.43</v>
      </c>
    </row>
    <row r="378" spans="1:8">
      <c r="A378" s="24">
        <v>255038</v>
      </c>
      <c r="B378" s="25" t="s">
        <v>31</v>
      </c>
      <c r="C378" s="39" t="str">
        <f t="shared" si="10"/>
        <v>221</v>
      </c>
      <c r="D378" s="39" t="str">
        <f t="shared" si="11"/>
        <v>22102</v>
      </c>
      <c r="E378" s="39">
        <f>IF(ISNA(VLOOKUP(F378,'2020功能科目'!A:B,2,FALSE)),"",VLOOKUP(F378,'2020功能科目'!A:B,2,FALSE))</f>
        <v>2210201</v>
      </c>
      <c r="F378" s="25" t="s">
        <v>387</v>
      </c>
      <c r="G378" s="26">
        <v>1570862</v>
      </c>
      <c r="H378" s="26">
        <v>1426081.32</v>
      </c>
    </row>
    <row r="379" spans="1:8">
      <c r="A379" s="24">
        <v>255038</v>
      </c>
      <c r="B379" s="25" t="s">
        <v>31</v>
      </c>
      <c r="C379" s="39" t="str">
        <f t="shared" si="10"/>
        <v>221</v>
      </c>
      <c r="D379" s="39" t="str">
        <f t="shared" si="11"/>
        <v>22102</v>
      </c>
      <c r="E379" s="39">
        <f>IF(ISNA(VLOOKUP(F379,'2020功能科目'!A:B,2,FALSE)),"",VLOOKUP(F379,'2020功能科目'!A:B,2,FALSE))</f>
        <v>2210202</v>
      </c>
      <c r="F379" s="25" t="s">
        <v>388</v>
      </c>
      <c r="G379" s="26">
        <v>150700</v>
      </c>
      <c r="H379" s="26">
        <v>153120</v>
      </c>
    </row>
    <row r="380" spans="1:8">
      <c r="A380" s="24">
        <v>255038</v>
      </c>
      <c r="B380" s="25" t="s">
        <v>31</v>
      </c>
      <c r="C380" s="39" t="str">
        <f t="shared" si="10"/>
        <v>221</v>
      </c>
      <c r="D380" s="39" t="str">
        <f t="shared" si="11"/>
        <v>22102</v>
      </c>
      <c r="E380" s="39">
        <f>IF(ISNA(VLOOKUP(F380,'2020功能科目'!A:B,2,FALSE)),"",VLOOKUP(F380,'2020功能科目'!A:B,2,FALSE))</f>
        <v>2210203</v>
      </c>
      <c r="F380" s="25" t="s">
        <v>389</v>
      </c>
      <c r="G380" s="26">
        <v>1581312</v>
      </c>
      <c r="H380" s="26">
        <v>1573560</v>
      </c>
    </row>
    <row r="381" spans="1:8">
      <c r="A381" s="24">
        <v>255039</v>
      </c>
      <c r="B381" s="25" t="s">
        <v>32</v>
      </c>
      <c r="C381" s="39" t="str">
        <f t="shared" si="10"/>
        <v>205</v>
      </c>
      <c r="D381" s="39" t="str">
        <f t="shared" si="11"/>
        <v>20502</v>
      </c>
      <c r="E381" s="39">
        <f>IF(ISNA(VLOOKUP(F381,'2020功能科目'!A:B,2,FALSE)),"",VLOOKUP(F381,'2020功能科目'!A:B,2,FALSE))</f>
        <v>2050202</v>
      </c>
      <c r="F381" s="25" t="s">
        <v>375</v>
      </c>
      <c r="G381" s="26">
        <v>16586032.439999999</v>
      </c>
      <c r="H381" s="26">
        <v>12833057.779999999</v>
      </c>
    </row>
    <row r="382" spans="1:8">
      <c r="A382" s="24">
        <v>255039</v>
      </c>
      <c r="B382" s="25" t="s">
        <v>32</v>
      </c>
      <c r="C382" s="39" t="str">
        <f t="shared" si="10"/>
        <v>205</v>
      </c>
      <c r="D382" s="39" t="str">
        <f t="shared" si="11"/>
        <v>20502</v>
      </c>
      <c r="E382" s="39">
        <f>IF(ISNA(VLOOKUP(F382,'2020功能科目'!A:B,2,FALSE)),"",VLOOKUP(F382,'2020功能科目'!A:B,2,FALSE))</f>
        <v>2050299</v>
      </c>
      <c r="F382" s="25" t="s">
        <v>377</v>
      </c>
      <c r="G382" s="26">
        <v>132512.37</v>
      </c>
      <c r="H382" s="26">
        <v>72612.37</v>
      </c>
    </row>
    <row r="383" spans="1:8">
      <c r="A383" s="24">
        <v>255039</v>
      </c>
      <c r="B383" s="25" t="s">
        <v>32</v>
      </c>
      <c r="C383" s="39" t="str">
        <f t="shared" si="10"/>
        <v>205</v>
      </c>
      <c r="D383" s="39" t="str">
        <f t="shared" si="11"/>
        <v>20508</v>
      </c>
      <c r="E383" s="39">
        <f>IF(ISNA(VLOOKUP(F383,'2020功能科目'!A:B,2,FALSE)),"",VLOOKUP(F383,'2020功能科目'!A:B,2,FALSE))</f>
        <v>2050803</v>
      </c>
      <c r="F383" s="25" t="s">
        <v>378</v>
      </c>
      <c r="G383" s="26">
        <v>0</v>
      </c>
      <c r="H383" s="26">
        <v>38400</v>
      </c>
    </row>
    <row r="384" spans="1:8">
      <c r="A384" s="24">
        <v>255039</v>
      </c>
      <c r="B384" s="25" t="s">
        <v>32</v>
      </c>
      <c r="C384" s="39" t="str">
        <f t="shared" si="10"/>
        <v>205</v>
      </c>
      <c r="D384" s="39" t="str">
        <f t="shared" si="11"/>
        <v>20509</v>
      </c>
      <c r="E384" s="39">
        <f>IF(ISNA(VLOOKUP(F384,'2020功能科目'!A:B,2,FALSE)),"",VLOOKUP(F384,'2020功能科目'!A:B,2,FALSE))</f>
        <v>2050903</v>
      </c>
      <c r="F384" s="25" t="s">
        <v>379</v>
      </c>
      <c r="G384" s="26">
        <v>209968.94</v>
      </c>
      <c r="H384" s="26">
        <v>210000</v>
      </c>
    </row>
    <row r="385" spans="1:8">
      <c r="A385" s="24">
        <v>255039</v>
      </c>
      <c r="B385" s="25" t="s">
        <v>32</v>
      </c>
      <c r="C385" s="39" t="str">
        <f t="shared" si="10"/>
        <v>205</v>
      </c>
      <c r="D385" s="39" t="str">
        <f t="shared" si="11"/>
        <v>20509</v>
      </c>
      <c r="E385" s="39">
        <f>IF(ISNA(VLOOKUP(F385,'2020功能科目'!A:B,2,FALSE)),"",VLOOKUP(F385,'2020功能科目'!A:B,2,FALSE))</f>
        <v>2050904</v>
      </c>
      <c r="F385" s="25" t="s">
        <v>380</v>
      </c>
      <c r="G385" s="26">
        <v>935300</v>
      </c>
      <c r="H385" s="26">
        <v>935300</v>
      </c>
    </row>
    <row r="386" spans="1:8">
      <c r="A386" s="24">
        <v>255039</v>
      </c>
      <c r="B386" s="25" t="s">
        <v>32</v>
      </c>
      <c r="C386" s="39" t="str">
        <f t="shared" si="10"/>
        <v>208</v>
      </c>
      <c r="D386" s="39" t="str">
        <f t="shared" si="11"/>
        <v>20805</v>
      </c>
      <c r="E386" s="39">
        <f>IF(ISNA(VLOOKUP(F386,'2020功能科目'!A:B,2,FALSE)),"",VLOOKUP(F386,'2020功能科目'!A:B,2,FALSE))</f>
        <v>2080502</v>
      </c>
      <c r="F386" s="25" t="s">
        <v>381</v>
      </c>
      <c r="G386" s="26">
        <v>1204990</v>
      </c>
      <c r="H386" s="26">
        <v>682226</v>
      </c>
    </row>
    <row r="387" spans="1:8">
      <c r="A387" s="24">
        <v>255039</v>
      </c>
      <c r="B387" s="25" t="s">
        <v>32</v>
      </c>
      <c r="C387" s="39" t="str">
        <f t="shared" ref="C387:C450" si="12">LEFT(D387,3)</f>
        <v>208</v>
      </c>
      <c r="D387" s="39" t="str">
        <f t="shared" ref="D387:D450" si="13">LEFT(E387,5)</f>
        <v>20805</v>
      </c>
      <c r="E387" s="39">
        <f>IF(ISNA(VLOOKUP(F387,'2020功能科目'!A:B,2,FALSE)),"",VLOOKUP(F387,'2020功能科目'!A:B,2,FALSE))</f>
        <v>2080505</v>
      </c>
      <c r="F387" s="25" t="s">
        <v>382</v>
      </c>
      <c r="G387" s="26">
        <v>969132.8</v>
      </c>
      <c r="H387" s="26">
        <v>945021.54</v>
      </c>
    </row>
    <row r="388" spans="1:8">
      <c r="A388" s="24">
        <v>255039</v>
      </c>
      <c r="B388" s="25" t="s">
        <v>32</v>
      </c>
      <c r="C388" s="39" t="str">
        <f t="shared" si="12"/>
        <v>208</v>
      </c>
      <c r="D388" s="39" t="str">
        <f t="shared" si="13"/>
        <v>20805</v>
      </c>
      <c r="E388" s="39">
        <f>IF(ISNA(VLOOKUP(F388,'2020功能科目'!A:B,2,FALSE)),"",VLOOKUP(F388,'2020功能科目'!A:B,2,FALSE))</f>
        <v>2080506</v>
      </c>
      <c r="F388" s="25" t="s">
        <v>383</v>
      </c>
      <c r="G388" s="26">
        <v>484566.4</v>
      </c>
      <c r="H388" s="26">
        <v>472510.77</v>
      </c>
    </row>
    <row r="389" spans="1:8">
      <c r="A389" s="24">
        <v>255039</v>
      </c>
      <c r="B389" s="25" t="s">
        <v>32</v>
      </c>
      <c r="C389" s="39" t="str">
        <f t="shared" si="12"/>
        <v>210</v>
      </c>
      <c r="D389" s="39" t="str">
        <f t="shared" si="13"/>
        <v>21011</v>
      </c>
      <c r="E389" s="39">
        <f>IF(ISNA(VLOOKUP(F389,'2020功能科目'!A:B,2,FALSE)),"",VLOOKUP(F389,'2020功能科目'!A:B,2,FALSE))</f>
        <v>2101102</v>
      </c>
      <c r="F389" s="25" t="s">
        <v>385</v>
      </c>
      <c r="G389" s="26">
        <v>888193.35</v>
      </c>
      <c r="H389" s="26">
        <v>767830</v>
      </c>
    </row>
    <row r="390" spans="1:8">
      <c r="A390" s="24">
        <v>255039</v>
      </c>
      <c r="B390" s="25" t="s">
        <v>32</v>
      </c>
      <c r="C390" s="39" t="str">
        <f t="shared" si="12"/>
        <v>221</v>
      </c>
      <c r="D390" s="39" t="str">
        <f t="shared" si="13"/>
        <v>22102</v>
      </c>
      <c r="E390" s="39">
        <f>IF(ISNA(VLOOKUP(F390,'2020功能科目'!A:B,2,FALSE)),"",VLOOKUP(F390,'2020功能科目'!A:B,2,FALSE))</f>
        <v>2210201</v>
      </c>
      <c r="F390" s="25" t="s">
        <v>387</v>
      </c>
      <c r="G390" s="26">
        <v>1015575</v>
      </c>
      <c r="H390" s="26">
        <v>996766.16</v>
      </c>
    </row>
    <row r="391" spans="1:8">
      <c r="A391" s="24">
        <v>255039</v>
      </c>
      <c r="B391" s="25" t="s">
        <v>32</v>
      </c>
      <c r="C391" s="39" t="str">
        <f t="shared" si="12"/>
        <v>221</v>
      </c>
      <c r="D391" s="39" t="str">
        <f t="shared" si="13"/>
        <v>22102</v>
      </c>
      <c r="E391" s="39">
        <f>IF(ISNA(VLOOKUP(F391,'2020功能科目'!A:B,2,FALSE)),"",VLOOKUP(F391,'2020功能科目'!A:B,2,FALSE))</f>
        <v>2210202</v>
      </c>
      <c r="F391" s="25" t="s">
        <v>388</v>
      </c>
      <c r="G391" s="26">
        <v>100590.91</v>
      </c>
      <c r="H391" s="26">
        <v>103205.4</v>
      </c>
    </row>
    <row r="392" spans="1:8">
      <c r="A392" s="24">
        <v>255039</v>
      </c>
      <c r="B392" s="25" t="s">
        <v>32</v>
      </c>
      <c r="C392" s="39" t="str">
        <f t="shared" si="12"/>
        <v>221</v>
      </c>
      <c r="D392" s="39" t="str">
        <f t="shared" si="13"/>
        <v>22102</v>
      </c>
      <c r="E392" s="39">
        <f>IF(ISNA(VLOOKUP(F392,'2020功能科目'!A:B,2,FALSE)),"",VLOOKUP(F392,'2020功能科目'!A:B,2,FALSE))</f>
        <v>2210203</v>
      </c>
      <c r="F392" s="25" t="s">
        <v>389</v>
      </c>
      <c r="G392" s="26">
        <v>1043390</v>
      </c>
      <c r="H392" s="26">
        <v>1037088</v>
      </c>
    </row>
    <row r="393" spans="1:8">
      <c r="A393" s="24">
        <v>255040</v>
      </c>
      <c r="B393" s="25" t="s">
        <v>33</v>
      </c>
      <c r="C393" s="39" t="str">
        <f t="shared" si="12"/>
        <v>205</v>
      </c>
      <c r="D393" s="39" t="str">
        <f t="shared" si="13"/>
        <v>20502</v>
      </c>
      <c r="E393" s="39">
        <f>IF(ISNA(VLOOKUP(F393,'2020功能科目'!A:B,2,FALSE)),"",VLOOKUP(F393,'2020功能科目'!A:B,2,FALSE))</f>
        <v>2050202</v>
      </c>
      <c r="F393" s="25" t="s">
        <v>375</v>
      </c>
      <c r="G393" s="26">
        <v>16853270.789999999</v>
      </c>
      <c r="H393" s="26">
        <v>12292761.380000001</v>
      </c>
    </row>
    <row r="394" spans="1:8">
      <c r="A394" s="24">
        <v>255040</v>
      </c>
      <c r="B394" s="25" t="s">
        <v>33</v>
      </c>
      <c r="C394" s="39" t="str">
        <f t="shared" si="12"/>
        <v>205</v>
      </c>
      <c r="D394" s="39" t="str">
        <f t="shared" si="13"/>
        <v>20502</v>
      </c>
      <c r="E394" s="39">
        <f>IF(ISNA(VLOOKUP(F394,'2020功能科目'!A:B,2,FALSE)),"",VLOOKUP(F394,'2020功能科目'!A:B,2,FALSE))</f>
        <v>2050299</v>
      </c>
      <c r="F394" s="25" t="s">
        <v>377</v>
      </c>
      <c r="G394" s="26">
        <v>53900</v>
      </c>
      <c r="H394" s="26">
        <v>0</v>
      </c>
    </row>
    <row r="395" spans="1:8">
      <c r="A395" s="24">
        <v>255040</v>
      </c>
      <c r="B395" s="25" t="s">
        <v>33</v>
      </c>
      <c r="C395" s="39" t="str">
        <f t="shared" si="12"/>
        <v>205</v>
      </c>
      <c r="D395" s="39" t="str">
        <f t="shared" si="13"/>
        <v>20508</v>
      </c>
      <c r="E395" s="39">
        <f>IF(ISNA(VLOOKUP(F395,'2020功能科目'!A:B,2,FALSE)),"",VLOOKUP(F395,'2020功能科目'!A:B,2,FALSE))</f>
        <v>2050803</v>
      </c>
      <c r="F395" s="25" t="s">
        <v>378</v>
      </c>
      <c r="G395" s="26">
        <v>0</v>
      </c>
      <c r="H395" s="26">
        <v>40000</v>
      </c>
    </row>
    <row r="396" spans="1:8">
      <c r="A396" s="24">
        <v>255040</v>
      </c>
      <c r="B396" s="25" t="s">
        <v>33</v>
      </c>
      <c r="C396" s="39" t="str">
        <f t="shared" si="12"/>
        <v>205</v>
      </c>
      <c r="D396" s="39" t="str">
        <f t="shared" si="13"/>
        <v>20509</v>
      </c>
      <c r="E396" s="39">
        <f>IF(ISNA(VLOOKUP(F396,'2020功能科目'!A:B,2,FALSE)),"",VLOOKUP(F396,'2020功能科目'!A:B,2,FALSE))</f>
        <v>2050903</v>
      </c>
      <c r="F396" s="25" t="s">
        <v>379</v>
      </c>
      <c r="G396" s="26">
        <v>118970.6</v>
      </c>
      <c r="H396" s="26">
        <v>119000</v>
      </c>
    </row>
    <row r="397" spans="1:8">
      <c r="A397" s="24">
        <v>255040</v>
      </c>
      <c r="B397" s="25" t="s">
        <v>33</v>
      </c>
      <c r="C397" s="39" t="str">
        <f t="shared" si="12"/>
        <v>205</v>
      </c>
      <c r="D397" s="39" t="str">
        <f t="shared" si="13"/>
        <v>20509</v>
      </c>
      <c r="E397" s="39">
        <f>IF(ISNA(VLOOKUP(F397,'2020功能科目'!A:B,2,FALSE)),"",VLOOKUP(F397,'2020功能科目'!A:B,2,FALSE))</f>
        <v>2050904</v>
      </c>
      <c r="F397" s="25" t="s">
        <v>380</v>
      </c>
      <c r="G397" s="26">
        <v>517810.09</v>
      </c>
      <c r="H397" s="26">
        <v>518000</v>
      </c>
    </row>
    <row r="398" spans="1:8">
      <c r="A398" s="24">
        <v>255040</v>
      </c>
      <c r="B398" s="25" t="s">
        <v>33</v>
      </c>
      <c r="C398" s="39" t="str">
        <f t="shared" si="12"/>
        <v>208</v>
      </c>
      <c r="D398" s="39" t="str">
        <f t="shared" si="13"/>
        <v>20805</v>
      </c>
      <c r="E398" s="39">
        <f>IF(ISNA(VLOOKUP(F398,'2020功能科目'!A:B,2,FALSE)),"",VLOOKUP(F398,'2020功能科目'!A:B,2,FALSE))</f>
        <v>2080502</v>
      </c>
      <c r="F398" s="25" t="s">
        <v>381</v>
      </c>
      <c r="G398" s="26">
        <v>1074586.97</v>
      </c>
      <c r="H398" s="26">
        <v>661058</v>
      </c>
    </row>
    <row r="399" spans="1:8">
      <c r="A399" s="24">
        <v>255040</v>
      </c>
      <c r="B399" s="25" t="s">
        <v>33</v>
      </c>
      <c r="C399" s="39" t="str">
        <f t="shared" si="12"/>
        <v>208</v>
      </c>
      <c r="D399" s="39" t="str">
        <f t="shared" si="13"/>
        <v>20805</v>
      </c>
      <c r="E399" s="39">
        <f>IF(ISNA(VLOOKUP(F399,'2020功能科目'!A:B,2,FALSE)),"",VLOOKUP(F399,'2020功能科目'!A:B,2,FALSE))</f>
        <v>2080505</v>
      </c>
      <c r="F399" s="25" t="s">
        <v>382</v>
      </c>
      <c r="G399" s="26">
        <v>1102414.56</v>
      </c>
      <c r="H399" s="26">
        <v>1407055.36</v>
      </c>
    </row>
    <row r="400" spans="1:8">
      <c r="A400" s="24">
        <v>255040</v>
      </c>
      <c r="B400" s="25" t="s">
        <v>33</v>
      </c>
      <c r="C400" s="39" t="str">
        <f t="shared" si="12"/>
        <v>208</v>
      </c>
      <c r="D400" s="39" t="str">
        <f t="shared" si="13"/>
        <v>20805</v>
      </c>
      <c r="E400" s="39">
        <f>IF(ISNA(VLOOKUP(F400,'2020功能科目'!A:B,2,FALSE)),"",VLOOKUP(F400,'2020功能科目'!A:B,2,FALSE))</f>
        <v>2080506</v>
      </c>
      <c r="F400" s="25" t="s">
        <v>383</v>
      </c>
      <c r="G400" s="26">
        <v>551207.28</v>
      </c>
      <c r="H400" s="26">
        <v>703527.68</v>
      </c>
    </row>
    <row r="401" spans="1:8">
      <c r="A401" s="24">
        <v>255040</v>
      </c>
      <c r="B401" s="25" t="s">
        <v>33</v>
      </c>
      <c r="C401" s="39" t="str">
        <f t="shared" si="12"/>
        <v>210</v>
      </c>
      <c r="D401" s="39" t="str">
        <f t="shared" si="13"/>
        <v>21011</v>
      </c>
      <c r="E401" s="39">
        <f>IF(ISNA(VLOOKUP(F401,'2020功能科目'!A:B,2,FALSE)),"",VLOOKUP(F401,'2020功能科目'!A:B,2,FALSE))</f>
        <v>2101102</v>
      </c>
      <c r="F401" s="25" t="s">
        <v>385</v>
      </c>
      <c r="G401" s="26">
        <v>1133311.77</v>
      </c>
      <c r="H401" s="26">
        <v>1143232.48</v>
      </c>
    </row>
    <row r="402" spans="1:8">
      <c r="A402" s="24">
        <v>255040</v>
      </c>
      <c r="B402" s="25" t="s">
        <v>33</v>
      </c>
      <c r="C402" s="39" t="str">
        <f t="shared" si="12"/>
        <v>221</v>
      </c>
      <c r="D402" s="39" t="str">
        <f t="shared" si="13"/>
        <v>22102</v>
      </c>
      <c r="E402" s="39">
        <f>IF(ISNA(VLOOKUP(F402,'2020功能科目'!A:B,2,FALSE)),"",VLOOKUP(F402,'2020功能科目'!A:B,2,FALSE))</f>
        <v>2210201</v>
      </c>
      <c r="F402" s="25" t="s">
        <v>387</v>
      </c>
      <c r="G402" s="26">
        <v>1312692</v>
      </c>
      <c r="H402" s="26">
        <v>1355291.52</v>
      </c>
    </row>
    <row r="403" spans="1:8">
      <c r="A403" s="24">
        <v>255040</v>
      </c>
      <c r="B403" s="25" t="s">
        <v>33</v>
      </c>
      <c r="C403" s="39" t="str">
        <f t="shared" si="12"/>
        <v>221</v>
      </c>
      <c r="D403" s="39" t="str">
        <f t="shared" si="13"/>
        <v>22102</v>
      </c>
      <c r="E403" s="39">
        <f>IF(ISNA(VLOOKUP(F403,'2020功能科目'!A:B,2,FALSE)),"",VLOOKUP(F403,'2020功能科目'!A:B,2,FALSE))</f>
        <v>2210202</v>
      </c>
      <c r="F403" s="25" t="s">
        <v>388</v>
      </c>
      <c r="G403" s="26">
        <v>104990</v>
      </c>
      <c r="H403" s="26">
        <v>107040</v>
      </c>
    </row>
    <row r="404" spans="1:8">
      <c r="A404" s="24">
        <v>255040</v>
      </c>
      <c r="B404" s="25" t="s">
        <v>33</v>
      </c>
      <c r="C404" s="39" t="str">
        <f t="shared" si="12"/>
        <v>221</v>
      </c>
      <c r="D404" s="39" t="str">
        <f t="shared" si="13"/>
        <v>22102</v>
      </c>
      <c r="E404" s="39">
        <f>IF(ISNA(VLOOKUP(F404,'2020功能科目'!A:B,2,FALSE)),"",VLOOKUP(F404,'2020功能科目'!A:B,2,FALSE))</f>
        <v>2210203</v>
      </c>
      <c r="F404" s="25" t="s">
        <v>389</v>
      </c>
      <c r="G404" s="26">
        <v>1552225</v>
      </c>
      <c r="H404" s="26">
        <v>1248372</v>
      </c>
    </row>
    <row r="405" spans="1:8">
      <c r="A405" s="24">
        <v>255042</v>
      </c>
      <c r="B405" s="25" t="s">
        <v>34</v>
      </c>
      <c r="C405" s="39" t="str">
        <f t="shared" si="12"/>
        <v>205</v>
      </c>
      <c r="D405" s="39" t="str">
        <f t="shared" si="13"/>
        <v>20502</v>
      </c>
      <c r="E405" s="39">
        <f>IF(ISNA(VLOOKUP(F405,'2020功能科目'!A:B,2,FALSE)),"",VLOOKUP(F405,'2020功能科目'!A:B,2,FALSE))</f>
        <v>2050202</v>
      </c>
      <c r="F405" s="25" t="s">
        <v>375</v>
      </c>
      <c r="G405" s="26">
        <v>99714099.769999996</v>
      </c>
      <c r="H405" s="26">
        <v>81773079.319999993</v>
      </c>
    </row>
    <row r="406" spans="1:8">
      <c r="A406" s="24">
        <v>255042</v>
      </c>
      <c r="B406" s="25" t="s">
        <v>34</v>
      </c>
      <c r="C406" s="39" t="str">
        <f t="shared" si="12"/>
        <v>205</v>
      </c>
      <c r="D406" s="39" t="str">
        <f t="shared" si="13"/>
        <v>20502</v>
      </c>
      <c r="E406" s="39">
        <f>IF(ISNA(VLOOKUP(F406,'2020功能科目'!A:B,2,FALSE)),"",VLOOKUP(F406,'2020功能科目'!A:B,2,FALSE))</f>
        <v>2050299</v>
      </c>
      <c r="F406" s="25" t="s">
        <v>377</v>
      </c>
      <c r="G406" s="26">
        <v>685111.16</v>
      </c>
      <c r="H406" s="26">
        <v>281349.26</v>
      </c>
    </row>
    <row r="407" spans="1:8">
      <c r="A407" s="24">
        <v>255042</v>
      </c>
      <c r="B407" s="25" t="s">
        <v>34</v>
      </c>
      <c r="C407" s="39" t="str">
        <f t="shared" si="12"/>
        <v>205</v>
      </c>
      <c r="D407" s="39" t="str">
        <f t="shared" si="13"/>
        <v>20508</v>
      </c>
      <c r="E407" s="39">
        <f>IF(ISNA(VLOOKUP(F407,'2020功能科目'!A:B,2,FALSE)),"",VLOOKUP(F407,'2020功能科目'!A:B,2,FALSE))</f>
        <v>2050803</v>
      </c>
      <c r="F407" s="25" t="s">
        <v>378</v>
      </c>
      <c r="G407" s="26">
        <v>124074.52</v>
      </c>
      <c r="H407" s="26">
        <v>248800</v>
      </c>
    </row>
    <row r="408" spans="1:8">
      <c r="A408" s="24">
        <v>255042</v>
      </c>
      <c r="B408" s="25" t="s">
        <v>34</v>
      </c>
      <c r="C408" s="39" t="str">
        <f t="shared" si="12"/>
        <v>205</v>
      </c>
      <c r="D408" s="39" t="str">
        <f t="shared" si="13"/>
        <v>20509</v>
      </c>
      <c r="E408" s="39">
        <f>IF(ISNA(VLOOKUP(F408,'2020功能科目'!A:B,2,FALSE)),"",VLOOKUP(F408,'2020功能科目'!A:B,2,FALSE))</f>
        <v>2050904</v>
      </c>
      <c r="F408" s="25" t="s">
        <v>380</v>
      </c>
      <c r="G408" s="26">
        <v>52500</v>
      </c>
      <c r="H408" s="26">
        <v>52500</v>
      </c>
    </row>
    <row r="409" spans="1:8">
      <c r="A409" s="24">
        <v>255042</v>
      </c>
      <c r="B409" s="25" t="s">
        <v>34</v>
      </c>
      <c r="C409" s="39" t="str">
        <f t="shared" si="12"/>
        <v>208</v>
      </c>
      <c r="D409" s="39" t="str">
        <f t="shared" si="13"/>
        <v>20805</v>
      </c>
      <c r="E409" s="39">
        <f>IF(ISNA(VLOOKUP(F409,'2020功能科目'!A:B,2,FALSE)),"",VLOOKUP(F409,'2020功能科目'!A:B,2,FALSE))</f>
        <v>2080502</v>
      </c>
      <c r="F409" s="25" t="s">
        <v>381</v>
      </c>
      <c r="G409" s="26">
        <v>3338907.18</v>
      </c>
      <c r="H409" s="26">
        <v>2925776</v>
      </c>
    </row>
    <row r="410" spans="1:8">
      <c r="A410" s="24">
        <v>255042</v>
      </c>
      <c r="B410" s="25" t="s">
        <v>34</v>
      </c>
      <c r="C410" s="39" t="str">
        <f t="shared" si="12"/>
        <v>208</v>
      </c>
      <c r="D410" s="39" t="str">
        <f t="shared" si="13"/>
        <v>20805</v>
      </c>
      <c r="E410" s="39">
        <f>IF(ISNA(VLOOKUP(F410,'2020功能科目'!A:B,2,FALSE)),"",VLOOKUP(F410,'2020功能科目'!A:B,2,FALSE))</f>
        <v>2080505</v>
      </c>
      <c r="F410" s="25" t="s">
        <v>382</v>
      </c>
      <c r="G410" s="26">
        <v>7175696.7999999998</v>
      </c>
      <c r="H410" s="26">
        <v>7683959.6799999997</v>
      </c>
    </row>
    <row r="411" spans="1:8">
      <c r="A411" s="24">
        <v>255042</v>
      </c>
      <c r="B411" s="25" t="s">
        <v>34</v>
      </c>
      <c r="C411" s="39" t="str">
        <f t="shared" si="12"/>
        <v>208</v>
      </c>
      <c r="D411" s="39" t="str">
        <f t="shared" si="13"/>
        <v>20805</v>
      </c>
      <c r="E411" s="39">
        <f>IF(ISNA(VLOOKUP(F411,'2020功能科目'!A:B,2,FALSE)),"",VLOOKUP(F411,'2020功能科目'!A:B,2,FALSE))</f>
        <v>2080506</v>
      </c>
      <c r="F411" s="25" t="s">
        <v>383</v>
      </c>
      <c r="G411" s="26">
        <v>3587848.4</v>
      </c>
      <c r="H411" s="26">
        <v>3841979.84</v>
      </c>
    </row>
    <row r="412" spans="1:8">
      <c r="A412" s="24">
        <v>255042</v>
      </c>
      <c r="B412" s="25" t="s">
        <v>34</v>
      </c>
      <c r="C412" s="39" t="str">
        <f t="shared" si="12"/>
        <v>210</v>
      </c>
      <c r="D412" s="39" t="str">
        <f t="shared" si="13"/>
        <v>21011</v>
      </c>
      <c r="E412" s="39">
        <f>IF(ISNA(VLOOKUP(F412,'2020功能科目'!A:B,2,FALSE)),"",VLOOKUP(F412,'2020功能科目'!A:B,2,FALSE))</f>
        <v>2101102</v>
      </c>
      <c r="F412" s="25" t="s">
        <v>385</v>
      </c>
      <c r="G412" s="26">
        <v>7513634.5</v>
      </c>
      <c r="H412" s="26">
        <v>6243217.2400000002</v>
      </c>
    </row>
    <row r="413" spans="1:8">
      <c r="A413" s="24">
        <v>255042</v>
      </c>
      <c r="B413" s="25" t="s">
        <v>34</v>
      </c>
      <c r="C413" s="39" t="str">
        <f t="shared" si="12"/>
        <v>221</v>
      </c>
      <c r="D413" s="39" t="str">
        <f t="shared" si="13"/>
        <v>22102</v>
      </c>
      <c r="E413" s="39">
        <f>IF(ISNA(VLOOKUP(F413,'2020功能科目'!A:B,2,FALSE)),"",VLOOKUP(F413,'2020功能科目'!A:B,2,FALSE))</f>
        <v>2210201</v>
      </c>
      <c r="F413" s="25" t="s">
        <v>387</v>
      </c>
      <c r="G413" s="26">
        <v>8532652</v>
      </c>
      <c r="H413" s="26">
        <v>7628969.7599999998</v>
      </c>
    </row>
    <row r="414" spans="1:8">
      <c r="A414" s="24">
        <v>255042</v>
      </c>
      <c r="B414" s="25" t="s">
        <v>34</v>
      </c>
      <c r="C414" s="39" t="str">
        <f t="shared" si="12"/>
        <v>221</v>
      </c>
      <c r="D414" s="39" t="str">
        <f t="shared" si="13"/>
        <v>22102</v>
      </c>
      <c r="E414" s="39">
        <f>IF(ISNA(VLOOKUP(F414,'2020功能科目'!A:B,2,FALSE)),"",VLOOKUP(F414,'2020功能科目'!A:B,2,FALSE))</f>
        <v>2210202</v>
      </c>
      <c r="F414" s="25" t="s">
        <v>388</v>
      </c>
      <c r="G414" s="26">
        <v>548680</v>
      </c>
      <c r="H414" s="26">
        <v>552600</v>
      </c>
    </row>
    <row r="415" spans="1:8">
      <c r="A415" s="24">
        <v>255042</v>
      </c>
      <c r="B415" s="25" t="s">
        <v>34</v>
      </c>
      <c r="C415" s="39" t="str">
        <f t="shared" si="12"/>
        <v>221</v>
      </c>
      <c r="D415" s="39" t="str">
        <f t="shared" si="13"/>
        <v>22102</v>
      </c>
      <c r="E415" s="39">
        <f>IF(ISNA(VLOOKUP(F415,'2020功能科目'!A:B,2,FALSE)),"",VLOOKUP(F415,'2020功能科目'!A:B,2,FALSE))</f>
        <v>2210203</v>
      </c>
      <c r="F415" s="25" t="s">
        <v>389</v>
      </c>
      <c r="G415" s="26">
        <v>6916740</v>
      </c>
      <c r="H415" s="26">
        <v>6686520</v>
      </c>
    </row>
    <row r="416" spans="1:8">
      <c r="A416" s="24">
        <v>255043</v>
      </c>
      <c r="B416" s="25" t="s">
        <v>35</v>
      </c>
      <c r="C416" s="39" t="str">
        <f t="shared" si="12"/>
        <v>205</v>
      </c>
      <c r="D416" s="39" t="str">
        <f t="shared" si="13"/>
        <v>20502</v>
      </c>
      <c r="E416" s="39">
        <f>IF(ISNA(VLOOKUP(F416,'2020功能科目'!A:B,2,FALSE)),"",VLOOKUP(F416,'2020功能科目'!A:B,2,FALSE))</f>
        <v>2050202</v>
      </c>
      <c r="F416" s="25" t="s">
        <v>375</v>
      </c>
      <c r="G416" s="26">
        <v>12422523.369999999</v>
      </c>
      <c r="H416" s="26">
        <v>9612324.5399999991</v>
      </c>
    </row>
    <row r="417" spans="1:8">
      <c r="A417" s="24">
        <v>255043</v>
      </c>
      <c r="B417" s="25" t="s">
        <v>35</v>
      </c>
      <c r="C417" s="39" t="str">
        <f t="shared" si="12"/>
        <v>205</v>
      </c>
      <c r="D417" s="39" t="str">
        <f t="shared" si="13"/>
        <v>20502</v>
      </c>
      <c r="E417" s="39">
        <f>IF(ISNA(VLOOKUP(F417,'2020功能科目'!A:B,2,FALSE)),"",VLOOKUP(F417,'2020功能科目'!A:B,2,FALSE))</f>
        <v>2050299</v>
      </c>
      <c r="F417" s="25" t="s">
        <v>377</v>
      </c>
      <c r="G417" s="26">
        <v>42400</v>
      </c>
      <c r="H417" s="26">
        <v>0</v>
      </c>
    </row>
    <row r="418" spans="1:8">
      <c r="A418" s="24">
        <v>255043</v>
      </c>
      <c r="B418" s="25" t="s">
        <v>35</v>
      </c>
      <c r="C418" s="39" t="str">
        <f t="shared" si="12"/>
        <v>205</v>
      </c>
      <c r="D418" s="39" t="str">
        <f t="shared" si="13"/>
        <v>20508</v>
      </c>
      <c r="E418" s="39">
        <f>IF(ISNA(VLOOKUP(F418,'2020功能科目'!A:B,2,FALSE)),"",VLOOKUP(F418,'2020功能科目'!A:B,2,FALSE))</f>
        <v>2050803</v>
      </c>
      <c r="F418" s="25" t="s">
        <v>378</v>
      </c>
      <c r="G418" s="26">
        <v>13600</v>
      </c>
      <c r="H418" s="26">
        <v>27200</v>
      </c>
    </row>
    <row r="419" spans="1:8">
      <c r="A419" s="24">
        <v>255043</v>
      </c>
      <c r="B419" s="25" t="s">
        <v>35</v>
      </c>
      <c r="C419" s="39" t="str">
        <f t="shared" si="12"/>
        <v>205</v>
      </c>
      <c r="D419" s="39" t="str">
        <f t="shared" si="13"/>
        <v>20509</v>
      </c>
      <c r="E419" s="39">
        <f>IF(ISNA(VLOOKUP(F419,'2020功能科目'!A:B,2,FALSE)),"",VLOOKUP(F419,'2020功能科目'!A:B,2,FALSE))</f>
        <v>2050903</v>
      </c>
      <c r="F419" s="25" t="s">
        <v>379</v>
      </c>
      <c r="G419" s="26">
        <v>635543.39</v>
      </c>
      <c r="H419" s="26">
        <v>882000</v>
      </c>
    </row>
    <row r="420" spans="1:8">
      <c r="A420" s="24">
        <v>255043</v>
      </c>
      <c r="B420" s="25" t="s">
        <v>35</v>
      </c>
      <c r="C420" s="39" t="str">
        <f t="shared" si="12"/>
        <v>205</v>
      </c>
      <c r="D420" s="39" t="str">
        <f t="shared" si="13"/>
        <v>20509</v>
      </c>
      <c r="E420" s="39">
        <f>IF(ISNA(VLOOKUP(F420,'2020功能科目'!A:B,2,FALSE)),"",VLOOKUP(F420,'2020功能科目'!A:B,2,FALSE))</f>
        <v>2050904</v>
      </c>
      <c r="F420" s="25" t="s">
        <v>380</v>
      </c>
      <c r="G420" s="26">
        <v>618300</v>
      </c>
      <c r="H420" s="26">
        <v>618300</v>
      </c>
    </row>
    <row r="421" spans="1:8">
      <c r="A421" s="24">
        <v>255043</v>
      </c>
      <c r="B421" s="25" t="s">
        <v>35</v>
      </c>
      <c r="C421" s="39" t="str">
        <f t="shared" si="12"/>
        <v>208</v>
      </c>
      <c r="D421" s="39" t="str">
        <f t="shared" si="13"/>
        <v>20805</v>
      </c>
      <c r="E421" s="39">
        <f>IF(ISNA(VLOOKUP(F421,'2020功能科目'!A:B,2,FALSE)),"",VLOOKUP(F421,'2020功能科目'!A:B,2,FALSE))</f>
        <v>2080502</v>
      </c>
      <c r="F421" s="25" t="s">
        <v>381</v>
      </c>
      <c r="G421" s="26">
        <v>587906</v>
      </c>
      <c r="H421" s="26">
        <v>441522</v>
      </c>
    </row>
    <row r="422" spans="1:8">
      <c r="A422" s="24">
        <v>255043</v>
      </c>
      <c r="B422" s="25" t="s">
        <v>35</v>
      </c>
      <c r="C422" s="39" t="str">
        <f t="shared" si="12"/>
        <v>208</v>
      </c>
      <c r="D422" s="39" t="str">
        <f t="shared" si="13"/>
        <v>20805</v>
      </c>
      <c r="E422" s="39">
        <f>IF(ISNA(VLOOKUP(F422,'2020功能科目'!A:B,2,FALSE)),"",VLOOKUP(F422,'2020功能科目'!A:B,2,FALSE))</f>
        <v>2080505</v>
      </c>
      <c r="F422" s="25" t="s">
        <v>382</v>
      </c>
      <c r="G422" s="26">
        <v>801413.12</v>
      </c>
      <c r="H422" s="26">
        <v>768315.2</v>
      </c>
    </row>
    <row r="423" spans="1:8">
      <c r="A423" s="24">
        <v>255043</v>
      </c>
      <c r="B423" s="25" t="s">
        <v>35</v>
      </c>
      <c r="C423" s="39" t="str">
        <f t="shared" si="12"/>
        <v>208</v>
      </c>
      <c r="D423" s="39" t="str">
        <f t="shared" si="13"/>
        <v>20805</v>
      </c>
      <c r="E423" s="39">
        <f>IF(ISNA(VLOOKUP(F423,'2020功能科目'!A:B,2,FALSE)),"",VLOOKUP(F423,'2020功能科目'!A:B,2,FALSE))</f>
        <v>2080506</v>
      </c>
      <c r="F423" s="25" t="s">
        <v>383</v>
      </c>
      <c r="G423" s="26">
        <v>400706.56</v>
      </c>
      <c r="H423" s="26">
        <v>384157.6</v>
      </c>
    </row>
    <row r="424" spans="1:8">
      <c r="A424" s="24">
        <v>255043</v>
      </c>
      <c r="B424" s="25" t="s">
        <v>35</v>
      </c>
      <c r="C424" s="39" t="str">
        <f t="shared" si="12"/>
        <v>210</v>
      </c>
      <c r="D424" s="39" t="str">
        <f t="shared" si="13"/>
        <v>21011</v>
      </c>
      <c r="E424" s="39">
        <f>IF(ISNA(VLOOKUP(F424,'2020功能科目'!A:B,2,FALSE)),"",VLOOKUP(F424,'2020功能科目'!A:B,2,FALSE))</f>
        <v>2101102</v>
      </c>
      <c r="F424" s="25" t="s">
        <v>385</v>
      </c>
      <c r="G424" s="26">
        <v>727840.9</v>
      </c>
      <c r="H424" s="26">
        <v>624256.1</v>
      </c>
    </row>
    <row r="425" spans="1:8">
      <c r="A425" s="24">
        <v>255043</v>
      </c>
      <c r="B425" s="25" t="s">
        <v>35</v>
      </c>
      <c r="C425" s="39" t="str">
        <f t="shared" si="12"/>
        <v>221</v>
      </c>
      <c r="D425" s="39" t="str">
        <f t="shared" si="13"/>
        <v>22102</v>
      </c>
      <c r="E425" s="39">
        <f>IF(ISNA(VLOOKUP(F425,'2020功能科目'!A:B,2,FALSE)),"",VLOOKUP(F425,'2020功能科目'!A:B,2,FALSE))</f>
        <v>2210201</v>
      </c>
      <c r="F425" s="25" t="s">
        <v>387</v>
      </c>
      <c r="G425" s="26">
        <v>805871</v>
      </c>
      <c r="H425" s="26">
        <v>780236.4</v>
      </c>
    </row>
    <row r="426" spans="1:8">
      <c r="A426" s="24">
        <v>255043</v>
      </c>
      <c r="B426" s="25" t="s">
        <v>35</v>
      </c>
      <c r="C426" s="39" t="str">
        <f t="shared" si="12"/>
        <v>221</v>
      </c>
      <c r="D426" s="39" t="str">
        <f t="shared" si="13"/>
        <v>22102</v>
      </c>
      <c r="E426" s="39">
        <f>IF(ISNA(VLOOKUP(F426,'2020功能科目'!A:B,2,FALSE)),"",VLOOKUP(F426,'2020功能科目'!A:B,2,FALSE))</f>
        <v>2210202</v>
      </c>
      <c r="F426" s="25" t="s">
        <v>388</v>
      </c>
      <c r="G426" s="26">
        <v>69480</v>
      </c>
      <c r="H426" s="26">
        <v>70440</v>
      </c>
    </row>
    <row r="427" spans="1:8">
      <c r="A427" s="24">
        <v>255043</v>
      </c>
      <c r="B427" s="25" t="s">
        <v>35</v>
      </c>
      <c r="C427" s="39" t="str">
        <f t="shared" si="12"/>
        <v>221</v>
      </c>
      <c r="D427" s="39" t="str">
        <f t="shared" si="13"/>
        <v>22102</v>
      </c>
      <c r="E427" s="39">
        <f>IF(ISNA(VLOOKUP(F427,'2020功能科目'!A:B,2,FALSE)),"",VLOOKUP(F427,'2020功能科目'!A:B,2,FALSE))</f>
        <v>2210203</v>
      </c>
      <c r="F427" s="25" t="s">
        <v>389</v>
      </c>
      <c r="G427" s="26">
        <v>863661</v>
      </c>
      <c r="H427" s="26">
        <v>857196</v>
      </c>
    </row>
    <row r="428" spans="1:8">
      <c r="A428" s="24">
        <v>255044</v>
      </c>
      <c r="B428" s="25" t="s">
        <v>36</v>
      </c>
      <c r="C428" s="39" t="str">
        <f t="shared" si="12"/>
        <v>205</v>
      </c>
      <c r="D428" s="39" t="str">
        <f t="shared" si="13"/>
        <v>20502</v>
      </c>
      <c r="E428" s="39">
        <f>IF(ISNA(VLOOKUP(F428,'2020功能科目'!A:B,2,FALSE)),"",VLOOKUP(F428,'2020功能科目'!A:B,2,FALSE))</f>
        <v>2050202</v>
      </c>
      <c r="F428" s="25" t="s">
        <v>375</v>
      </c>
      <c r="G428" s="26">
        <v>32346906.149999999</v>
      </c>
      <c r="H428" s="26">
        <v>26833293.960000001</v>
      </c>
    </row>
    <row r="429" spans="1:8">
      <c r="A429" s="24">
        <v>255044</v>
      </c>
      <c r="B429" s="25" t="s">
        <v>36</v>
      </c>
      <c r="C429" s="39" t="str">
        <f t="shared" si="12"/>
        <v>205</v>
      </c>
      <c r="D429" s="39" t="str">
        <f t="shared" si="13"/>
        <v>20502</v>
      </c>
      <c r="E429" s="39">
        <f>IF(ISNA(VLOOKUP(F429,'2020功能科目'!A:B,2,FALSE)),"",VLOOKUP(F429,'2020功能科目'!A:B,2,FALSE))</f>
        <v>2050299</v>
      </c>
      <c r="F429" s="25" t="s">
        <v>377</v>
      </c>
      <c r="G429" s="26">
        <v>124700</v>
      </c>
      <c r="H429" s="26">
        <v>0</v>
      </c>
    </row>
    <row r="430" spans="1:8">
      <c r="A430" s="24">
        <v>255044</v>
      </c>
      <c r="B430" s="25" t="s">
        <v>36</v>
      </c>
      <c r="C430" s="39" t="str">
        <f t="shared" si="12"/>
        <v>205</v>
      </c>
      <c r="D430" s="39" t="str">
        <f t="shared" si="13"/>
        <v>20508</v>
      </c>
      <c r="E430" s="39">
        <f>IF(ISNA(VLOOKUP(F430,'2020功能科目'!A:B,2,FALSE)),"",VLOOKUP(F430,'2020功能科目'!A:B,2,FALSE))</f>
        <v>2050803</v>
      </c>
      <c r="F430" s="25" t="s">
        <v>378</v>
      </c>
      <c r="G430" s="26">
        <v>0</v>
      </c>
      <c r="H430" s="26">
        <v>80800</v>
      </c>
    </row>
    <row r="431" spans="1:8">
      <c r="A431" s="24">
        <v>255044</v>
      </c>
      <c r="B431" s="25" t="s">
        <v>36</v>
      </c>
      <c r="C431" s="39" t="str">
        <f t="shared" si="12"/>
        <v>205</v>
      </c>
      <c r="D431" s="39" t="str">
        <f t="shared" si="13"/>
        <v>20509</v>
      </c>
      <c r="E431" s="39">
        <f>IF(ISNA(VLOOKUP(F431,'2020功能科目'!A:B,2,FALSE)),"",VLOOKUP(F431,'2020功能科目'!A:B,2,FALSE))</f>
        <v>2050903</v>
      </c>
      <c r="F431" s="25" t="s">
        <v>379</v>
      </c>
      <c r="G431" s="26">
        <v>342937.83</v>
      </c>
      <c r="H431" s="26">
        <v>343000</v>
      </c>
    </row>
    <row r="432" spans="1:8">
      <c r="A432" s="24">
        <v>255044</v>
      </c>
      <c r="B432" s="25" t="s">
        <v>36</v>
      </c>
      <c r="C432" s="39" t="str">
        <f t="shared" si="12"/>
        <v>205</v>
      </c>
      <c r="D432" s="39" t="str">
        <f t="shared" si="13"/>
        <v>20509</v>
      </c>
      <c r="E432" s="39">
        <f>IF(ISNA(VLOOKUP(F432,'2020功能科目'!A:B,2,FALSE)),"",VLOOKUP(F432,'2020功能科目'!A:B,2,FALSE))</f>
        <v>2050904</v>
      </c>
      <c r="F432" s="25" t="s">
        <v>380</v>
      </c>
      <c r="G432" s="26">
        <v>150000</v>
      </c>
      <c r="H432" s="26">
        <v>150000</v>
      </c>
    </row>
    <row r="433" spans="1:8">
      <c r="A433" s="24">
        <v>255044</v>
      </c>
      <c r="B433" s="25" t="s">
        <v>36</v>
      </c>
      <c r="C433" s="39" t="str">
        <f t="shared" si="12"/>
        <v>208</v>
      </c>
      <c r="D433" s="39" t="str">
        <f t="shared" si="13"/>
        <v>20805</v>
      </c>
      <c r="E433" s="39">
        <f>IF(ISNA(VLOOKUP(F433,'2020功能科目'!A:B,2,FALSE)),"",VLOOKUP(F433,'2020功能科目'!A:B,2,FALSE))</f>
        <v>2080502</v>
      </c>
      <c r="F433" s="25" t="s">
        <v>381</v>
      </c>
      <c r="G433" s="26">
        <v>2944235.7</v>
      </c>
      <c r="H433" s="26">
        <v>2690727.1</v>
      </c>
    </row>
    <row r="434" spans="1:8">
      <c r="A434" s="24">
        <v>255044</v>
      </c>
      <c r="B434" s="25" t="s">
        <v>36</v>
      </c>
      <c r="C434" s="39" t="str">
        <f t="shared" si="12"/>
        <v>208</v>
      </c>
      <c r="D434" s="39" t="str">
        <f t="shared" si="13"/>
        <v>20805</v>
      </c>
      <c r="E434" s="39">
        <f>IF(ISNA(VLOOKUP(F434,'2020功能科目'!A:B,2,FALSE)),"",VLOOKUP(F434,'2020功能科目'!A:B,2,FALSE))</f>
        <v>2080505</v>
      </c>
      <c r="F434" s="25" t="s">
        <v>382</v>
      </c>
      <c r="G434" s="26">
        <v>2431983.6800000002</v>
      </c>
      <c r="H434" s="26">
        <v>2456426.2400000002</v>
      </c>
    </row>
    <row r="435" spans="1:8">
      <c r="A435" s="24">
        <v>255044</v>
      </c>
      <c r="B435" s="25" t="s">
        <v>36</v>
      </c>
      <c r="C435" s="39" t="str">
        <f t="shared" si="12"/>
        <v>208</v>
      </c>
      <c r="D435" s="39" t="str">
        <f t="shared" si="13"/>
        <v>20805</v>
      </c>
      <c r="E435" s="39">
        <f>IF(ISNA(VLOOKUP(F435,'2020功能科目'!A:B,2,FALSE)),"",VLOOKUP(F435,'2020功能科目'!A:B,2,FALSE))</f>
        <v>2080506</v>
      </c>
      <c r="F435" s="25" t="s">
        <v>383</v>
      </c>
      <c r="G435" s="26">
        <v>1215991.8400000001</v>
      </c>
      <c r="H435" s="26">
        <v>1228213.1200000001</v>
      </c>
    </row>
    <row r="436" spans="1:8">
      <c r="A436" s="24">
        <v>255044</v>
      </c>
      <c r="B436" s="25" t="s">
        <v>36</v>
      </c>
      <c r="C436" s="39" t="str">
        <f t="shared" si="12"/>
        <v>210</v>
      </c>
      <c r="D436" s="39" t="str">
        <f t="shared" si="13"/>
        <v>21011</v>
      </c>
      <c r="E436" s="39">
        <f>IF(ISNA(VLOOKUP(F436,'2020功能科目'!A:B,2,FALSE)),"",VLOOKUP(F436,'2020功能科目'!A:B,2,FALSE))</f>
        <v>2101102</v>
      </c>
      <c r="F436" s="25" t="s">
        <v>385</v>
      </c>
      <c r="G436" s="26">
        <v>2288261.86</v>
      </c>
      <c r="H436" s="26">
        <v>1995846.32</v>
      </c>
    </row>
    <row r="437" spans="1:8">
      <c r="A437" s="24">
        <v>255044</v>
      </c>
      <c r="B437" s="25" t="s">
        <v>36</v>
      </c>
      <c r="C437" s="39" t="str">
        <f t="shared" si="12"/>
        <v>210</v>
      </c>
      <c r="D437" s="39" t="str">
        <f t="shared" si="13"/>
        <v>21011</v>
      </c>
      <c r="E437" s="39">
        <f>IF(ISNA(VLOOKUP(F437,'2020功能科目'!A:B,2,FALSE)),"",VLOOKUP(F437,'2020功能科目'!A:B,2,FALSE))</f>
        <v>2101199</v>
      </c>
      <c r="F437" s="25" t="s">
        <v>386</v>
      </c>
      <c r="G437" s="26">
        <v>360000</v>
      </c>
      <c r="H437" s="26">
        <v>450000</v>
      </c>
    </row>
    <row r="438" spans="1:8">
      <c r="A438" s="24">
        <v>255044</v>
      </c>
      <c r="B438" s="25" t="s">
        <v>36</v>
      </c>
      <c r="C438" s="39" t="str">
        <f t="shared" si="12"/>
        <v>221</v>
      </c>
      <c r="D438" s="39" t="str">
        <f t="shared" si="13"/>
        <v>22102</v>
      </c>
      <c r="E438" s="39">
        <f>IF(ISNA(VLOOKUP(F438,'2020功能科目'!A:B,2,FALSE)),"",VLOOKUP(F438,'2020功能科目'!A:B,2,FALSE))</f>
        <v>2210201</v>
      </c>
      <c r="F438" s="25" t="s">
        <v>387</v>
      </c>
      <c r="G438" s="26">
        <v>2438396</v>
      </c>
      <c r="H438" s="26">
        <v>2448319.6800000002</v>
      </c>
    </row>
    <row r="439" spans="1:8">
      <c r="A439" s="24">
        <v>255044</v>
      </c>
      <c r="B439" s="25" t="s">
        <v>36</v>
      </c>
      <c r="C439" s="39" t="str">
        <f t="shared" si="12"/>
        <v>221</v>
      </c>
      <c r="D439" s="39" t="str">
        <f t="shared" si="13"/>
        <v>22102</v>
      </c>
      <c r="E439" s="39">
        <f>IF(ISNA(VLOOKUP(F439,'2020功能科目'!A:B,2,FALSE)),"",VLOOKUP(F439,'2020功能科目'!A:B,2,FALSE))</f>
        <v>2210202</v>
      </c>
      <c r="F439" s="25" t="s">
        <v>388</v>
      </c>
      <c r="G439" s="26">
        <v>244400</v>
      </c>
      <c r="H439" s="26">
        <v>245880</v>
      </c>
    </row>
    <row r="440" spans="1:8">
      <c r="A440" s="24">
        <v>255044</v>
      </c>
      <c r="B440" s="25" t="s">
        <v>36</v>
      </c>
      <c r="C440" s="39" t="str">
        <f t="shared" si="12"/>
        <v>221</v>
      </c>
      <c r="D440" s="39" t="str">
        <f t="shared" si="13"/>
        <v>22102</v>
      </c>
      <c r="E440" s="39">
        <f>IF(ISNA(VLOOKUP(F440,'2020功能科目'!A:B,2,FALSE)),"",VLOOKUP(F440,'2020功能科目'!A:B,2,FALSE))</f>
        <v>2210203</v>
      </c>
      <c r="F440" s="25" t="s">
        <v>389</v>
      </c>
      <c r="G440" s="26">
        <v>2346546</v>
      </c>
      <c r="H440" s="26">
        <v>2346648</v>
      </c>
    </row>
    <row r="441" spans="1:8">
      <c r="A441" s="24">
        <v>255047</v>
      </c>
      <c r="B441" s="25" t="s">
        <v>37</v>
      </c>
      <c r="C441" s="39" t="str">
        <f t="shared" si="12"/>
        <v>205</v>
      </c>
      <c r="D441" s="39" t="str">
        <f t="shared" si="13"/>
        <v>20502</v>
      </c>
      <c r="E441" s="39">
        <f>IF(ISNA(VLOOKUP(F441,'2020功能科目'!A:B,2,FALSE)),"",VLOOKUP(F441,'2020功能科目'!A:B,2,FALSE))</f>
        <v>2050202</v>
      </c>
      <c r="F441" s="25" t="s">
        <v>375</v>
      </c>
      <c r="G441" s="26">
        <v>41975822.920000002</v>
      </c>
      <c r="H441" s="26">
        <v>30321302.18</v>
      </c>
    </row>
    <row r="442" spans="1:8">
      <c r="A442" s="24">
        <v>255047</v>
      </c>
      <c r="B442" s="25" t="s">
        <v>37</v>
      </c>
      <c r="C442" s="39" t="str">
        <f t="shared" si="12"/>
        <v>205</v>
      </c>
      <c r="D442" s="39" t="str">
        <f t="shared" si="13"/>
        <v>20502</v>
      </c>
      <c r="E442" s="39">
        <f>IF(ISNA(VLOOKUP(F442,'2020功能科目'!A:B,2,FALSE)),"",VLOOKUP(F442,'2020功能科目'!A:B,2,FALSE))</f>
        <v>2050299</v>
      </c>
      <c r="F442" s="25" t="s">
        <v>377</v>
      </c>
      <c r="G442" s="26">
        <v>116045.08</v>
      </c>
      <c r="H442" s="26">
        <v>276731.2</v>
      </c>
    </row>
    <row r="443" spans="1:8">
      <c r="A443" s="24">
        <v>255047</v>
      </c>
      <c r="B443" s="25" t="s">
        <v>37</v>
      </c>
      <c r="C443" s="39" t="str">
        <f t="shared" si="12"/>
        <v>205</v>
      </c>
      <c r="D443" s="39" t="str">
        <f t="shared" si="13"/>
        <v>20508</v>
      </c>
      <c r="E443" s="39">
        <f>IF(ISNA(VLOOKUP(F443,'2020功能科目'!A:B,2,FALSE)),"",VLOOKUP(F443,'2020功能科目'!A:B,2,FALSE))</f>
        <v>2050803</v>
      </c>
      <c r="F443" s="25" t="s">
        <v>378</v>
      </c>
      <c r="G443" s="26">
        <v>44000</v>
      </c>
      <c r="H443" s="26">
        <v>88000</v>
      </c>
    </row>
    <row r="444" spans="1:8">
      <c r="A444" s="24">
        <v>255047</v>
      </c>
      <c r="B444" s="25" t="s">
        <v>37</v>
      </c>
      <c r="C444" s="39" t="str">
        <f t="shared" si="12"/>
        <v>205</v>
      </c>
      <c r="D444" s="39" t="str">
        <f t="shared" si="13"/>
        <v>20509</v>
      </c>
      <c r="E444" s="39">
        <f>IF(ISNA(VLOOKUP(F444,'2020功能科目'!A:B,2,FALSE)),"",VLOOKUP(F444,'2020功能科目'!A:B,2,FALSE))</f>
        <v>2050904</v>
      </c>
      <c r="F444" s="25" t="s">
        <v>380</v>
      </c>
      <c r="G444" s="26">
        <v>919500</v>
      </c>
      <c r="H444" s="26">
        <v>919500</v>
      </c>
    </row>
    <row r="445" spans="1:8">
      <c r="A445" s="24">
        <v>255047</v>
      </c>
      <c r="B445" s="25" t="s">
        <v>37</v>
      </c>
      <c r="C445" s="39" t="str">
        <f t="shared" si="12"/>
        <v>208</v>
      </c>
      <c r="D445" s="39" t="str">
        <f t="shared" si="13"/>
        <v>20805</v>
      </c>
      <c r="E445" s="39">
        <f>IF(ISNA(VLOOKUP(F445,'2020功能科目'!A:B,2,FALSE)),"",VLOOKUP(F445,'2020功能科目'!A:B,2,FALSE))</f>
        <v>2080502</v>
      </c>
      <c r="F445" s="25" t="s">
        <v>381</v>
      </c>
      <c r="G445" s="26">
        <v>1097603</v>
      </c>
      <c r="H445" s="26">
        <v>796298</v>
      </c>
    </row>
    <row r="446" spans="1:8">
      <c r="A446" s="24">
        <v>255047</v>
      </c>
      <c r="B446" s="25" t="s">
        <v>37</v>
      </c>
      <c r="C446" s="39" t="str">
        <f t="shared" si="12"/>
        <v>208</v>
      </c>
      <c r="D446" s="39" t="str">
        <f t="shared" si="13"/>
        <v>20805</v>
      </c>
      <c r="E446" s="39">
        <f>IF(ISNA(VLOOKUP(F446,'2020功能科目'!A:B,2,FALSE)),"",VLOOKUP(F446,'2020功能科目'!A:B,2,FALSE))</f>
        <v>2080505</v>
      </c>
      <c r="F446" s="25" t="s">
        <v>382</v>
      </c>
      <c r="G446" s="26">
        <v>2318717.6</v>
      </c>
      <c r="H446" s="26">
        <v>2583401.12</v>
      </c>
    </row>
    <row r="447" spans="1:8">
      <c r="A447" s="24">
        <v>255047</v>
      </c>
      <c r="B447" s="25" t="s">
        <v>37</v>
      </c>
      <c r="C447" s="39" t="str">
        <f t="shared" si="12"/>
        <v>208</v>
      </c>
      <c r="D447" s="39" t="str">
        <f t="shared" si="13"/>
        <v>20805</v>
      </c>
      <c r="E447" s="39">
        <f>IF(ISNA(VLOOKUP(F447,'2020功能科目'!A:B,2,FALSE)),"",VLOOKUP(F447,'2020功能科目'!A:B,2,FALSE))</f>
        <v>2080506</v>
      </c>
      <c r="F447" s="25" t="s">
        <v>383</v>
      </c>
      <c r="G447" s="26">
        <v>1159358.8</v>
      </c>
      <c r="H447" s="26">
        <v>1291700.56</v>
      </c>
    </row>
    <row r="448" spans="1:8">
      <c r="A448" s="24">
        <v>255047</v>
      </c>
      <c r="B448" s="25" t="s">
        <v>37</v>
      </c>
      <c r="C448" s="39" t="str">
        <f t="shared" si="12"/>
        <v>210</v>
      </c>
      <c r="D448" s="39" t="str">
        <f t="shared" si="13"/>
        <v>21011</v>
      </c>
      <c r="E448" s="39">
        <f>IF(ISNA(VLOOKUP(F448,'2020功能科目'!A:B,2,FALSE)),"",VLOOKUP(F448,'2020功能科目'!A:B,2,FALSE))</f>
        <v>2101102</v>
      </c>
      <c r="F448" s="25" t="s">
        <v>385</v>
      </c>
      <c r="G448" s="26">
        <v>2481414.36</v>
      </c>
      <c r="H448" s="26">
        <v>2099013.41</v>
      </c>
    </row>
    <row r="449" spans="1:8">
      <c r="A449" s="24">
        <v>255047</v>
      </c>
      <c r="B449" s="25" t="s">
        <v>37</v>
      </c>
      <c r="C449" s="39" t="str">
        <f t="shared" si="12"/>
        <v>221</v>
      </c>
      <c r="D449" s="39" t="str">
        <f t="shared" si="13"/>
        <v>22102</v>
      </c>
      <c r="E449" s="39">
        <f>IF(ISNA(VLOOKUP(F449,'2020功能科目'!A:B,2,FALSE)),"",VLOOKUP(F449,'2020功能科目'!A:B,2,FALSE))</f>
        <v>2210201</v>
      </c>
      <c r="F449" s="25" t="s">
        <v>387</v>
      </c>
      <c r="G449" s="26">
        <v>2679101</v>
      </c>
      <c r="H449" s="26">
        <v>2597550.84</v>
      </c>
    </row>
    <row r="450" spans="1:8">
      <c r="A450" s="24">
        <v>255047</v>
      </c>
      <c r="B450" s="25" t="s">
        <v>37</v>
      </c>
      <c r="C450" s="39" t="str">
        <f t="shared" si="12"/>
        <v>221</v>
      </c>
      <c r="D450" s="39" t="str">
        <f t="shared" si="13"/>
        <v>22102</v>
      </c>
      <c r="E450" s="39">
        <f>IF(ISNA(VLOOKUP(F450,'2020功能科目'!A:B,2,FALSE)),"",VLOOKUP(F450,'2020功能科目'!A:B,2,FALSE))</f>
        <v>2210202</v>
      </c>
      <c r="F450" s="25" t="s">
        <v>388</v>
      </c>
      <c r="G450" s="26">
        <v>174220</v>
      </c>
      <c r="H450" s="26">
        <v>173280</v>
      </c>
    </row>
    <row r="451" spans="1:8">
      <c r="A451" s="24">
        <v>255047</v>
      </c>
      <c r="B451" s="25" t="s">
        <v>37</v>
      </c>
      <c r="C451" s="39" t="str">
        <f t="shared" ref="C451:C514" si="14">LEFT(D451,3)</f>
        <v>221</v>
      </c>
      <c r="D451" s="39" t="str">
        <f t="shared" ref="D451:D514" si="15">LEFT(E451,5)</f>
        <v>22102</v>
      </c>
      <c r="E451" s="39">
        <f>IF(ISNA(VLOOKUP(F451,'2020功能科目'!A:B,2,FALSE)),"",VLOOKUP(F451,'2020功能科目'!A:B,2,FALSE))</f>
        <v>2210203</v>
      </c>
      <c r="F451" s="25" t="s">
        <v>389</v>
      </c>
      <c r="G451" s="26">
        <v>2655924</v>
      </c>
      <c r="H451" s="26">
        <v>2641716</v>
      </c>
    </row>
    <row r="452" spans="1:8">
      <c r="A452" s="24">
        <v>255048</v>
      </c>
      <c r="B452" s="25" t="s">
        <v>38</v>
      </c>
      <c r="C452" s="39" t="str">
        <f t="shared" si="14"/>
        <v>205</v>
      </c>
      <c r="D452" s="39" t="str">
        <f t="shared" si="15"/>
        <v>20502</v>
      </c>
      <c r="E452" s="39">
        <f>IF(ISNA(VLOOKUP(F452,'2020功能科目'!A:B,2,FALSE)),"",VLOOKUP(F452,'2020功能科目'!A:B,2,FALSE))</f>
        <v>2050202</v>
      </c>
      <c r="F452" s="25" t="s">
        <v>375</v>
      </c>
      <c r="G452" s="26">
        <v>88780614.109999999</v>
      </c>
      <c r="H452" s="26">
        <v>67096316.340000004</v>
      </c>
    </row>
    <row r="453" spans="1:8">
      <c r="A453" s="24">
        <v>255048</v>
      </c>
      <c r="B453" s="25" t="s">
        <v>38</v>
      </c>
      <c r="C453" s="39" t="str">
        <f t="shared" si="14"/>
        <v>205</v>
      </c>
      <c r="D453" s="39" t="str">
        <f t="shared" si="15"/>
        <v>20502</v>
      </c>
      <c r="E453" s="39">
        <f>IF(ISNA(VLOOKUP(F453,'2020功能科目'!A:B,2,FALSE)),"",VLOOKUP(F453,'2020功能科目'!A:B,2,FALSE))</f>
        <v>2050299</v>
      </c>
      <c r="F453" s="25" t="s">
        <v>377</v>
      </c>
      <c r="G453" s="26">
        <v>294702.3</v>
      </c>
      <c r="H453" s="26">
        <v>794015.08</v>
      </c>
    </row>
    <row r="454" spans="1:8">
      <c r="A454" s="24">
        <v>255048</v>
      </c>
      <c r="B454" s="25" t="s">
        <v>38</v>
      </c>
      <c r="C454" s="39" t="str">
        <f t="shared" si="14"/>
        <v>205</v>
      </c>
      <c r="D454" s="39" t="str">
        <f t="shared" si="15"/>
        <v>20508</v>
      </c>
      <c r="E454" s="39">
        <f>IF(ISNA(VLOOKUP(F454,'2020功能科目'!A:B,2,FALSE)),"",VLOOKUP(F454,'2020功能科目'!A:B,2,FALSE))</f>
        <v>2050803</v>
      </c>
      <c r="F454" s="25" t="s">
        <v>378</v>
      </c>
      <c r="G454" s="26">
        <v>97328</v>
      </c>
      <c r="H454" s="26">
        <v>197600</v>
      </c>
    </row>
    <row r="455" spans="1:8">
      <c r="A455" s="24">
        <v>255048</v>
      </c>
      <c r="B455" s="25" t="s">
        <v>38</v>
      </c>
      <c r="C455" s="39" t="str">
        <f t="shared" si="14"/>
        <v>205</v>
      </c>
      <c r="D455" s="39" t="str">
        <f t="shared" si="15"/>
        <v>20509</v>
      </c>
      <c r="E455" s="39">
        <f>IF(ISNA(VLOOKUP(F455,'2020功能科目'!A:B,2,FALSE)),"",VLOOKUP(F455,'2020功能科目'!A:B,2,FALSE))</f>
        <v>2050903</v>
      </c>
      <c r="F455" s="25" t="s">
        <v>379</v>
      </c>
      <c r="G455" s="26">
        <v>1721985.87</v>
      </c>
      <c r="H455" s="26">
        <v>1722000</v>
      </c>
    </row>
    <row r="456" spans="1:8">
      <c r="A456" s="24">
        <v>255048</v>
      </c>
      <c r="B456" s="25" t="s">
        <v>38</v>
      </c>
      <c r="C456" s="39" t="str">
        <f t="shared" si="14"/>
        <v>205</v>
      </c>
      <c r="D456" s="39" t="str">
        <f t="shared" si="15"/>
        <v>20509</v>
      </c>
      <c r="E456" s="39">
        <f>IF(ISNA(VLOOKUP(F456,'2020功能科目'!A:B,2,FALSE)),"",VLOOKUP(F456,'2020功能科目'!A:B,2,FALSE))</f>
        <v>2050904</v>
      </c>
      <c r="F456" s="25" t="s">
        <v>380</v>
      </c>
      <c r="G456" s="26">
        <v>1114824</v>
      </c>
      <c r="H456" s="26">
        <v>1134824</v>
      </c>
    </row>
    <row r="457" spans="1:8">
      <c r="A457" s="24">
        <v>255048</v>
      </c>
      <c r="B457" s="25" t="s">
        <v>38</v>
      </c>
      <c r="C457" s="39" t="str">
        <f t="shared" si="14"/>
        <v>208</v>
      </c>
      <c r="D457" s="39" t="str">
        <f t="shared" si="15"/>
        <v>20805</v>
      </c>
      <c r="E457" s="39">
        <f>IF(ISNA(VLOOKUP(F457,'2020功能科目'!A:B,2,FALSE)),"",VLOOKUP(F457,'2020功能科目'!A:B,2,FALSE))</f>
        <v>2080502</v>
      </c>
      <c r="F457" s="25" t="s">
        <v>381</v>
      </c>
      <c r="G457" s="26">
        <v>1967338.6</v>
      </c>
      <c r="H457" s="26">
        <v>1696651.4</v>
      </c>
    </row>
    <row r="458" spans="1:8">
      <c r="A458" s="24">
        <v>255048</v>
      </c>
      <c r="B458" s="25" t="s">
        <v>38</v>
      </c>
      <c r="C458" s="39" t="str">
        <f t="shared" si="14"/>
        <v>208</v>
      </c>
      <c r="D458" s="39" t="str">
        <f t="shared" si="15"/>
        <v>20805</v>
      </c>
      <c r="E458" s="39">
        <f>IF(ISNA(VLOOKUP(F458,'2020功能科目'!A:B,2,FALSE)),"",VLOOKUP(F458,'2020功能科目'!A:B,2,FALSE))</f>
        <v>2080505</v>
      </c>
      <c r="F458" s="25" t="s">
        <v>382</v>
      </c>
      <c r="G458" s="26">
        <v>5036124.96</v>
      </c>
      <c r="H458" s="26">
        <v>5850990.8799999999</v>
      </c>
    </row>
    <row r="459" spans="1:8">
      <c r="A459" s="24">
        <v>255048</v>
      </c>
      <c r="B459" s="25" t="s">
        <v>38</v>
      </c>
      <c r="C459" s="39" t="str">
        <f t="shared" si="14"/>
        <v>208</v>
      </c>
      <c r="D459" s="39" t="str">
        <f t="shared" si="15"/>
        <v>20805</v>
      </c>
      <c r="E459" s="39">
        <f>IF(ISNA(VLOOKUP(F459,'2020功能科目'!A:B,2,FALSE)),"",VLOOKUP(F459,'2020功能科目'!A:B,2,FALSE))</f>
        <v>2080506</v>
      </c>
      <c r="F459" s="25" t="s">
        <v>383</v>
      </c>
      <c r="G459" s="26">
        <v>2518062.48</v>
      </c>
      <c r="H459" s="26">
        <v>2925495.44</v>
      </c>
    </row>
    <row r="460" spans="1:8">
      <c r="A460" s="24">
        <v>255048</v>
      </c>
      <c r="B460" s="25" t="s">
        <v>38</v>
      </c>
      <c r="C460" s="39" t="str">
        <f t="shared" si="14"/>
        <v>210</v>
      </c>
      <c r="D460" s="39" t="str">
        <f t="shared" si="15"/>
        <v>21011</v>
      </c>
      <c r="E460" s="39">
        <f>IF(ISNA(VLOOKUP(F460,'2020功能科目'!A:B,2,FALSE)),"",VLOOKUP(F460,'2020功能科目'!A:B,2,FALSE))</f>
        <v>2101102</v>
      </c>
      <c r="F460" s="25" t="s">
        <v>385</v>
      </c>
      <c r="G460" s="26">
        <v>4301406.09</v>
      </c>
      <c r="H460" s="26">
        <v>4753930.09</v>
      </c>
    </row>
    <row r="461" spans="1:8">
      <c r="A461" s="24">
        <v>255048</v>
      </c>
      <c r="B461" s="25" t="s">
        <v>38</v>
      </c>
      <c r="C461" s="39" t="str">
        <f t="shared" si="14"/>
        <v>210</v>
      </c>
      <c r="D461" s="39" t="str">
        <f t="shared" si="15"/>
        <v>21011</v>
      </c>
      <c r="E461" s="39">
        <f>IF(ISNA(VLOOKUP(F461,'2020功能科目'!A:B,2,FALSE)),"",VLOOKUP(F461,'2020功能科目'!A:B,2,FALSE))</f>
        <v>2101199</v>
      </c>
      <c r="F461" s="25" t="s">
        <v>386</v>
      </c>
      <c r="G461" s="26">
        <v>180000</v>
      </c>
      <c r="H461" s="26">
        <v>180000</v>
      </c>
    </row>
    <row r="462" spans="1:8">
      <c r="A462" s="24">
        <v>255048</v>
      </c>
      <c r="B462" s="25" t="s">
        <v>38</v>
      </c>
      <c r="C462" s="39" t="str">
        <f t="shared" si="14"/>
        <v>221</v>
      </c>
      <c r="D462" s="39" t="str">
        <f t="shared" si="15"/>
        <v>22102</v>
      </c>
      <c r="E462" s="39">
        <f>IF(ISNA(VLOOKUP(F462,'2020功能科目'!A:B,2,FALSE)),"",VLOOKUP(F462,'2020功能科目'!A:B,2,FALSE))</f>
        <v>2210201</v>
      </c>
      <c r="F462" s="25" t="s">
        <v>387</v>
      </c>
      <c r="G462" s="26">
        <v>5872970</v>
      </c>
      <c r="H462" s="26">
        <v>5870243.1600000001</v>
      </c>
    </row>
    <row r="463" spans="1:8">
      <c r="A463" s="24">
        <v>255048</v>
      </c>
      <c r="B463" s="25" t="s">
        <v>38</v>
      </c>
      <c r="C463" s="39" t="str">
        <f t="shared" si="14"/>
        <v>221</v>
      </c>
      <c r="D463" s="39" t="str">
        <f t="shared" si="15"/>
        <v>22102</v>
      </c>
      <c r="E463" s="39">
        <f>IF(ISNA(VLOOKUP(F463,'2020功能科目'!A:B,2,FALSE)),"",VLOOKUP(F463,'2020功能科目'!A:B,2,FALSE))</f>
        <v>2210202</v>
      </c>
      <c r="F463" s="25" t="s">
        <v>388</v>
      </c>
      <c r="G463" s="26">
        <v>347280</v>
      </c>
      <c r="H463" s="26">
        <v>349440</v>
      </c>
    </row>
    <row r="464" spans="1:8">
      <c r="A464" s="24">
        <v>255048</v>
      </c>
      <c r="B464" s="25" t="s">
        <v>38</v>
      </c>
      <c r="C464" s="39" t="str">
        <f t="shared" si="14"/>
        <v>221</v>
      </c>
      <c r="D464" s="39" t="str">
        <f t="shared" si="15"/>
        <v>22102</v>
      </c>
      <c r="E464" s="39">
        <f>IF(ISNA(VLOOKUP(F464,'2020功能科目'!A:B,2,FALSE)),"",VLOOKUP(F464,'2020功能科目'!A:B,2,FALSE))</f>
        <v>2210203</v>
      </c>
      <c r="F464" s="25" t="s">
        <v>389</v>
      </c>
      <c r="G464" s="26">
        <v>6705702</v>
      </c>
      <c r="H464" s="26">
        <v>6550812</v>
      </c>
    </row>
    <row r="465" spans="1:8">
      <c r="A465" s="24">
        <v>255049</v>
      </c>
      <c r="B465" s="25" t="s">
        <v>39</v>
      </c>
      <c r="C465" s="39" t="str">
        <f t="shared" si="14"/>
        <v>205</v>
      </c>
      <c r="D465" s="39" t="str">
        <f t="shared" si="15"/>
        <v>20502</v>
      </c>
      <c r="E465" s="39">
        <f>IF(ISNA(VLOOKUP(F465,'2020功能科目'!A:B,2,FALSE)),"",VLOOKUP(F465,'2020功能科目'!A:B,2,FALSE))</f>
        <v>2050202</v>
      </c>
      <c r="F465" s="25" t="s">
        <v>375</v>
      </c>
      <c r="G465" s="26">
        <v>22583705.390000001</v>
      </c>
      <c r="H465" s="26">
        <v>17405815.800000001</v>
      </c>
    </row>
    <row r="466" spans="1:8">
      <c r="A466" s="24">
        <v>255049</v>
      </c>
      <c r="B466" s="25" t="s">
        <v>39</v>
      </c>
      <c r="C466" s="39" t="str">
        <f t="shared" si="14"/>
        <v>205</v>
      </c>
      <c r="D466" s="39" t="str">
        <f t="shared" si="15"/>
        <v>20502</v>
      </c>
      <c r="E466" s="39">
        <f>IF(ISNA(VLOOKUP(F466,'2020功能科目'!A:B,2,FALSE)),"",VLOOKUP(F466,'2020功能科目'!A:B,2,FALSE))</f>
        <v>2050299</v>
      </c>
      <c r="F466" s="25" t="s">
        <v>377</v>
      </c>
      <c r="G466" s="26">
        <v>91494.74</v>
      </c>
      <c r="H466" s="26">
        <v>133478.93</v>
      </c>
    </row>
    <row r="467" spans="1:8">
      <c r="A467" s="24">
        <v>255049</v>
      </c>
      <c r="B467" s="25" t="s">
        <v>39</v>
      </c>
      <c r="C467" s="39" t="str">
        <f t="shared" si="14"/>
        <v>205</v>
      </c>
      <c r="D467" s="39" t="str">
        <f t="shared" si="15"/>
        <v>20508</v>
      </c>
      <c r="E467" s="39">
        <f>IF(ISNA(VLOOKUP(F467,'2020功能科目'!A:B,2,FALSE)),"",VLOOKUP(F467,'2020功能科目'!A:B,2,FALSE))</f>
        <v>2050803</v>
      </c>
      <c r="F467" s="25" t="s">
        <v>378</v>
      </c>
      <c r="G467" s="26">
        <v>0</v>
      </c>
      <c r="H467" s="26">
        <v>52800</v>
      </c>
    </row>
    <row r="468" spans="1:8">
      <c r="A468" s="24">
        <v>255049</v>
      </c>
      <c r="B468" s="25" t="s">
        <v>39</v>
      </c>
      <c r="C468" s="39" t="str">
        <f t="shared" si="14"/>
        <v>205</v>
      </c>
      <c r="D468" s="39" t="str">
        <f t="shared" si="15"/>
        <v>20509</v>
      </c>
      <c r="E468" s="39">
        <f>IF(ISNA(VLOOKUP(F468,'2020功能科目'!A:B,2,FALSE)),"",VLOOKUP(F468,'2020功能科目'!A:B,2,FALSE))</f>
        <v>2050904</v>
      </c>
      <c r="F468" s="25" t="s">
        <v>380</v>
      </c>
      <c r="G468" s="26">
        <v>196300</v>
      </c>
      <c r="H468" s="26">
        <v>196304.2</v>
      </c>
    </row>
    <row r="469" spans="1:8">
      <c r="A469" s="24">
        <v>255049</v>
      </c>
      <c r="B469" s="25" t="s">
        <v>39</v>
      </c>
      <c r="C469" s="39" t="str">
        <f t="shared" si="14"/>
        <v>208</v>
      </c>
      <c r="D469" s="39" t="str">
        <f t="shared" si="15"/>
        <v>20805</v>
      </c>
      <c r="E469" s="39">
        <f>IF(ISNA(VLOOKUP(F469,'2020功能科目'!A:B,2,FALSE)),"",VLOOKUP(F469,'2020功能科目'!A:B,2,FALSE))</f>
        <v>2080502</v>
      </c>
      <c r="F469" s="25" t="s">
        <v>381</v>
      </c>
      <c r="G469" s="26">
        <v>397288</v>
      </c>
      <c r="H469" s="26">
        <v>378784</v>
      </c>
    </row>
    <row r="470" spans="1:8">
      <c r="A470" s="24">
        <v>255049</v>
      </c>
      <c r="B470" s="25" t="s">
        <v>39</v>
      </c>
      <c r="C470" s="39" t="str">
        <f t="shared" si="14"/>
        <v>208</v>
      </c>
      <c r="D470" s="39" t="str">
        <f t="shared" si="15"/>
        <v>20805</v>
      </c>
      <c r="E470" s="39">
        <f>IF(ISNA(VLOOKUP(F470,'2020功能科目'!A:B,2,FALSE)),"",VLOOKUP(F470,'2020功能科目'!A:B,2,FALSE))</f>
        <v>2080505</v>
      </c>
      <c r="F470" s="25" t="s">
        <v>382</v>
      </c>
      <c r="G470" s="26">
        <v>1370282.88</v>
      </c>
      <c r="H470" s="26">
        <v>1411079.36</v>
      </c>
    </row>
    <row r="471" spans="1:8">
      <c r="A471" s="24">
        <v>255049</v>
      </c>
      <c r="B471" s="25" t="s">
        <v>39</v>
      </c>
      <c r="C471" s="39" t="str">
        <f t="shared" si="14"/>
        <v>208</v>
      </c>
      <c r="D471" s="39" t="str">
        <f t="shared" si="15"/>
        <v>20805</v>
      </c>
      <c r="E471" s="39">
        <f>IF(ISNA(VLOOKUP(F471,'2020功能科目'!A:B,2,FALSE)),"",VLOOKUP(F471,'2020功能科目'!A:B,2,FALSE))</f>
        <v>2080506</v>
      </c>
      <c r="F471" s="25" t="s">
        <v>383</v>
      </c>
      <c r="G471" s="26">
        <v>685141.44</v>
      </c>
      <c r="H471" s="26">
        <v>705539.68</v>
      </c>
    </row>
    <row r="472" spans="1:8">
      <c r="A472" s="24">
        <v>255049</v>
      </c>
      <c r="B472" s="25" t="s">
        <v>39</v>
      </c>
      <c r="C472" s="39" t="str">
        <f t="shared" si="14"/>
        <v>210</v>
      </c>
      <c r="D472" s="39" t="str">
        <f t="shared" si="15"/>
        <v>21011</v>
      </c>
      <c r="E472" s="39">
        <f>IF(ISNA(VLOOKUP(F472,'2020功能科目'!A:B,2,FALSE)),"",VLOOKUP(F472,'2020功能科目'!A:B,2,FALSE))</f>
        <v>2101102</v>
      </c>
      <c r="F472" s="25" t="s">
        <v>385</v>
      </c>
      <c r="G472" s="26">
        <v>1313036.04</v>
      </c>
      <c r="H472" s="26">
        <v>1146501.98</v>
      </c>
    </row>
    <row r="473" spans="1:8">
      <c r="A473" s="24">
        <v>255049</v>
      </c>
      <c r="B473" s="25" t="s">
        <v>39</v>
      </c>
      <c r="C473" s="39" t="str">
        <f t="shared" si="14"/>
        <v>221</v>
      </c>
      <c r="D473" s="39" t="str">
        <f t="shared" si="15"/>
        <v>22102</v>
      </c>
      <c r="E473" s="39">
        <f>IF(ISNA(VLOOKUP(F473,'2020功能科目'!A:B,2,FALSE)),"",VLOOKUP(F473,'2020功能科目'!A:B,2,FALSE))</f>
        <v>2210201</v>
      </c>
      <c r="F473" s="25" t="s">
        <v>387</v>
      </c>
      <c r="G473" s="26">
        <v>1595491</v>
      </c>
      <c r="H473" s="26">
        <v>1454309.52</v>
      </c>
    </row>
    <row r="474" spans="1:8">
      <c r="A474" s="24">
        <v>255049</v>
      </c>
      <c r="B474" s="25" t="s">
        <v>39</v>
      </c>
      <c r="C474" s="39" t="str">
        <f t="shared" si="14"/>
        <v>221</v>
      </c>
      <c r="D474" s="39" t="str">
        <f t="shared" si="15"/>
        <v>22102</v>
      </c>
      <c r="E474" s="39">
        <f>IF(ISNA(VLOOKUP(F474,'2020功能科目'!A:B,2,FALSE)),"",VLOOKUP(F474,'2020功能科目'!A:B,2,FALSE))</f>
        <v>2210202</v>
      </c>
      <c r="F474" s="25" t="s">
        <v>388</v>
      </c>
      <c r="G474" s="26">
        <v>94040</v>
      </c>
      <c r="H474" s="26">
        <v>92760</v>
      </c>
    </row>
    <row r="475" spans="1:8">
      <c r="A475" s="24">
        <v>255049</v>
      </c>
      <c r="B475" s="25" t="s">
        <v>39</v>
      </c>
      <c r="C475" s="39" t="str">
        <f t="shared" si="14"/>
        <v>221</v>
      </c>
      <c r="D475" s="39" t="str">
        <f t="shared" si="15"/>
        <v>22102</v>
      </c>
      <c r="E475" s="39">
        <f>IF(ISNA(VLOOKUP(F475,'2020功能科目'!A:B,2,FALSE)),"",VLOOKUP(F475,'2020功能科目'!A:B,2,FALSE))</f>
        <v>2210203</v>
      </c>
      <c r="F475" s="25" t="s">
        <v>389</v>
      </c>
      <c r="G475" s="26">
        <v>1637541</v>
      </c>
      <c r="H475" s="26">
        <v>1525824</v>
      </c>
    </row>
    <row r="476" spans="1:8">
      <c r="A476" s="24">
        <v>255050</v>
      </c>
      <c r="B476" s="25" t="s">
        <v>40</v>
      </c>
      <c r="C476" s="39" t="str">
        <f t="shared" si="14"/>
        <v>205</v>
      </c>
      <c r="D476" s="39" t="str">
        <f t="shared" si="15"/>
        <v>20502</v>
      </c>
      <c r="E476" s="39">
        <f>IF(ISNA(VLOOKUP(F476,'2020功能科目'!A:B,2,FALSE)),"",VLOOKUP(F476,'2020功能科目'!A:B,2,FALSE))</f>
        <v>2050202</v>
      </c>
      <c r="F476" s="25" t="s">
        <v>375</v>
      </c>
      <c r="G476" s="26">
        <v>29339534.73</v>
      </c>
      <c r="H476" s="26">
        <v>22404570.219999999</v>
      </c>
    </row>
    <row r="477" spans="1:8">
      <c r="A477" s="24">
        <v>255050</v>
      </c>
      <c r="B477" s="25" t="s">
        <v>40</v>
      </c>
      <c r="C477" s="39" t="str">
        <f t="shared" si="14"/>
        <v>205</v>
      </c>
      <c r="D477" s="39" t="str">
        <f t="shared" si="15"/>
        <v>20502</v>
      </c>
      <c r="E477" s="39">
        <f>IF(ISNA(VLOOKUP(F477,'2020功能科目'!A:B,2,FALSE)),"",VLOOKUP(F477,'2020功能科目'!A:B,2,FALSE))</f>
        <v>2050299</v>
      </c>
      <c r="F477" s="25" t="s">
        <v>377</v>
      </c>
      <c r="G477" s="26">
        <v>183711.2</v>
      </c>
      <c r="H477" s="26">
        <v>174258.59</v>
      </c>
    </row>
    <row r="478" spans="1:8">
      <c r="A478" s="24">
        <v>255050</v>
      </c>
      <c r="B478" s="25" t="s">
        <v>40</v>
      </c>
      <c r="C478" s="39" t="str">
        <f t="shared" si="14"/>
        <v>205</v>
      </c>
      <c r="D478" s="39" t="str">
        <f t="shared" si="15"/>
        <v>20508</v>
      </c>
      <c r="E478" s="39">
        <f>IF(ISNA(VLOOKUP(F478,'2020功能科目'!A:B,2,FALSE)),"",VLOOKUP(F478,'2020功能科目'!A:B,2,FALSE))</f>
        <v>2050803</v>
      </c>
      <c r="F478" s="25" t="s">
        <v>378</v>
      </c>
      <c r="G478" s="26">
        <v>0</v>
      </c>
      <c r="H478" s="26">
        <v>67200</v>
      </c>
    </row>
    <row r="479" spans="1:8">
      <c r="A479" s="24">
        <v>255050</v>
      </c>
      <c r="B479" s="25" t="s">
        <v>40</v>
      </c>
      <c r="C479" s="39" t="str">
        <f t="shared" si="14"/>
        <v>205</v>
      </c>
      <c r="D479" s="39" t="str">
        <f t="shared" si="15"/>
        <v>20509</v>
      </c>
      <c r="E479" s="39">
        <f>IF(ISNA(VLOOKUP(F479,'2020功能科目'!A:B,2,FALSE)),"",VLOOKUP(F479,'2020功能科目'!A:B,2,FALSE))</f>
        <v>2050903</v>
      </c>
      <c r="F479" s="25" t="s">
        <v>379</v>
      </c>
      <c r="G479" s="26">
        <v>0</v>
      </c>
      <c r="H479" s="26">
        <v>567000</v>
      </c>
    </row>
    <row r="480" spans="1:8">
      <c r="A480" s="24">
        <v>255050</v>
      </c>
      <c r="B480" s="25" t="s">
        <v>40</v>
      </c>
      <c r="C480" s="39" t="str">
        <f t="shared" si="14"/>
        <v>205</v>
      </c>
      <c r="D480" s="39" t="str">
        <f t="shared" si="15"/>
        <v>20509</v>
      </c>
      <c r="E480" s="39">
        <f>IF(ISNA(VLOOKUP(F480,'2020功能科目'!A:B,2,FALSE)),"",VLOOKUP(F480,'2020功能科目'!A:B,2,FALSE))</f>
        <v>2050904</v>
      </c>
      <c r="F480" s="25" t="s">
        <v>380</v>
      </c>
      <c r="G480" s="26">
        <v>34000</v>
      </c>
      <c r="H480" s="26">
        <v>142636</v>
      </c>
    </row>
    <row r="481" spans="1:8">
      <c r="A481" s="24">
        <v>255050</v>
      </c>
      <c r="B481" s="25" t="s">
        <v>40</v>
      </c>
      <c r="C481" s="39" t="str">
        <f t="shared" si="14"/>
        <v>208</v>
      </c>
      <c r="D481" s="39" t="str">
        <f t="shared" si="15"/>
        <v>20805</v>
      </c>
      <c r="E481" s="39">
        <f>IF(ISNA(VLOOKUP(F481,'2020功能科目'!A:B,2,FALSE)),"",VLOOKUP(F481,'2020功能科目'!A:B,2,FALSE))</f>
        <v>2080502</v>
      </c>
      <c r="F481" s="25" t="s">
        <v>381</v>
      </c>
      <c r="G481" s="26">
        <v>3469695.1</v>
      </c>
      <c r="H481" s="26">
        <v>1889587</v>
      </c>
    </row>
    <row r="482" spans="1:8">
      <c r="A482" s="24">
        <v>255050</v>
      </c>
      <c r="B482" s="25" t="s">
        <v>40</v>
      </c>
      <c r="C482" s="39" t="str">
        <f t="shared" si="14"/>
        <v>208</v>
      </c>
      <c r="D482" s="39" t="str">
        <f t="shared" si="15"/>
        <v>20805</v>
      </c>
      <c r="E482" s="39">
        <f>IF(ISNA(VLOOKUP(F482,'2020功能科目'!A:B,2,FALSE)),"",VLOOKUP(F482,'2020功能科目'!A:B,2,FALSE))</f>
        <v>2080505</v>
      </c>
      <c r="F482" s="25" t="s">
        <v>382</v>
      </c>
      <c r="G482" s="26">
        <v>1984197.44</v>
      </c>
      <c r="H482" s="26">
        <v>1959825.44</v>
      </c>
    </row>
    <row r="483" spans="1:8">
      <c r="A483" s="24">
        <v>255050</v>
      </c>
      <c r="B483" s="25" t="s">
        <v>40</v>
      </c>
      <c r="C483" s="39" t="str">
        <f t="shared" si="14"/>
        <v>208</v>
      </c>
      <c r="D483" s="39" t="str">
        <f t="shared" si="15"/>
        <v>20805</v>
      </c>
      <c r="E483" s="39">
        <f>IF(ISNA(VLOOKUP(F483,'2020功能科目'!A:B,2,FALSE)),"",VLOOKUP(F483,'2020功能科目'!A:B,2,FALSE))</f>
        <v>2080506</v>
      </c>
      <c r="F483" s="25" t="s">
        <v>383</v>
      </c>
      <c r="G483" s="26">
        <v>992141.9</v>
      </c>
      <c r="H483" s="26">
        <v>979912.72</v>
      </c>
    </row>
    <row r="484" spans="1:8">
      <c r="A484" s="24">
        <v>255050</v>
      </c>
      <c r="B484" s="25" t="s">
        <v>40</v>
      </c>
      <c r="C484" s="39" t="str">
        <f t="shared" si="14"/>
        <v>210</v>
      </c>
      <c r="D484" s="39" t="str">
        <f t="shared" si="15"/>
        <v>21011</v>
      </c>
      <c r="E484" s="39">
        <f>IF(ISNA(VLOOKUP(F484,'2020功能科目'!A:B,2,FALSE)),"",VLOOKUP(F484,'2020功能科目'!A:B,2,FALSE))</f>
        <v>2101102</v>
      </c>
      <c r="F484" s="25" t="s">
        <v>385</v>
      </c>
      <c r="G484" s="26">
        <v>1747972.91</v>
      </c>
      <c r="H484" s="26">
        <v>1592358.17</v>
      </c>
    </row>
    <row r="485" spans="1:8">
      <c r="A485" s="24">
        <v>255050</v>
      </c>
      <c r="B485" s="25" t="s">
        <v>40</v>
      </c>
      <c r="C485" s="39" t="str">
        <f t="shared" si="14"/>
        <v>210</v>
      </c>
      <c r="D485" s="39" t="str">
        <f t="shared" si="15"/>
        <v>21011</v>
      </c>
      <c r="E485" s="39">
        <f>IF(ISNA(VLOOKUP(F485,'2020功能科目'!A:B,2,FALSE)),"",VLOOKUP(F485,'2020功能科目'!A:B,2,FALSE))</f>
        <v>2101199</v>
      </c>
      <c r="F485" s="25" t="s">
        <v>386</v>
      </c>
      <c r="G485" s="26">
        <v>90000</v>
      </c>
      <c r="H485" s="26">
        <v>90000</v>
      </c>
    </row>
    <row r="486" spans="1:8">
      <c r="A486" s="24">
        <v>255050</v>
      </c>
      <c r="B486" s="25" t="s">
        <v>40</v>
      </c>
      <c r="C486" s="39" t="str">
        <f t="shared" si="14"/>
        <v>221</v>
      </c>
      <c r="D486" s="39" t="str">
        <f t="shared" si="15"/>
        <v>22102</v>
      </c>
      <c r="E486" s="39">
        <f>IF(ISNA(VLOOKUP(F486,'2020功能科目'!A:B,2,FALSE)),"",VLOOKUP(F486,'2020功能科目'!A:B,2,FALSE))</f>
        <v>2210201</v>
      </c>
      <c r="F486" s="25" t="s">
        <v>387</v>
      </c>
      <c r="G486" s="26">
        <v>2092041</v>
      </c>
      <c r="H486" s="26">
        <v>1973869.08</v>
      </c>
    </row>
    <row r="487" spans="1:8">
      <c r="A487" s="24">
        <v>255050</v>
      </c>
      <c r="B487" s="25" t="s">
        <v>40</v>
      </c>
      <c r="C487" s="39" t="str">
        <f t="shared" si="14"/>
        <v>221</v>
      </c>
      <c r="D487" s="39" t="str">
        <f t="shared" si="15"/>
        <v>22102</v>
      </c>
      <c r="E487" s="39">
        <f>IF(ISNA(VLOOKUP(F487,'2020功能科目'!A:B,2,FALSE)),"",VLOOKUP(F487,'2020功能科目'!A:B,2,FALSE))</f>
        <v>2210202</v>
      </c>
      <c r="F487" s="25" t="s">
        <v>388</v>
      </c>
      <c r="G487" s="26">
        <v>222960</v>
      </c>
      <c r="H487" s="26">
        <v>231600</v>
      </c>
    </row>
    <row r="488" spans="1:8">
      <c r="A488" s="24">
        <v>255050</v>
      </c>
      <c r="B488" s="25" t="s">
        <v>40</v>
      </c>
      <c r="C488" s="39" t="str">
        <f t="shared" si="14"/>
        <v>221</v>
      </c>
      <c r="D488" s="39" t="str">
        <f t="shared" si="15"/>
        <v>22102</v>
      </c>
      <c r="E488" s="39">
        <f>IF(ISNA(VLOOKUP(F488,'2020功能科目'!A:B,2,FALSE)),"",VLOOKUP(F488,'2020功能科目'!A:B,2,FALSE))</f>
        <v>2210203</v>
      </c>
      <c r="F488" s="25" t="s">
        <v>389</v>
      </c>
      <c r="G488" s="26">
        <v>1834964</v>
      </c>
      <c r="H488" s="26">
        <v>1795368</v>
      </c>
    </row>
    <row r="489" spans="1:8">
      <c r="A489" s="24">
        <v>255052</v>
      </c>
      <c r="B489" s="25" t="s">
        <v>41</v>
      </c>
      <c r="C489" s="39" t="str">
        <f t="shared" si="14"/>
        <v>205</v>
      </c>
      <c r="D489" s="39" t="str">
        <f t="shared" si="15"/>
        <v>20502</v>
      </c>
      <c r="E489" s="39">
        <f>IF(ISNA(VLOOKUP(F489,'2020功能科目'!A:B,2,FALSE)),"",VLOOKUP(F489,'2020功能科目'!A:B,2,FALSE))</f>
        <v>2050202</v>
      </c>
      <c r="F489" s="25" t="s">
        <v>375</v>
      </c>
      <c r="G489" s="26">
        <v>19521817.18</v>
      </c>
      <c r="H489" s="26">
        <v>15113270.279999999</v>
      </c>
    </row>
    <row r="490" spans="1:8">
      <c r="A490" s="24">
        <v>255052</v>
      </c>
      <c r="B490" s="25" t="s">
        <v>41</v>
      </c>
      <c r="C490" s="39" t="str">
        <f t="shared" si="14"/>
        <v>205</v>
      </c>
      <c r="D490" s="39" t="str">
        <f t="shared" si="15"/>
        <v>20502</v>
      </c>
      <c r="E490" s="39">
        <f>IF(ISNA(VLOOKUP(F490,'2020功能科目'!A:B,2,FALSE)),"",VLOOKUP(F490,'2020功能科目'!A:B,2,FALSE))</f>
        <v>2050299</v>
      </c>
      <c r="F490" s="25" t="s">
        <v>377</v>
      </c>
      <c r="G490" s="26">
        <v>56129.120000000003</v>
      </c>
      <c r="H490" s="26">
        <v>39751.199999999997</v>
      </c>
    </row>
    <row r="491" spans="1:8">
      <c r="A491" s="24">
        <v>255052</v>
      </c>
      <c r="B491" s="25" t="s">
        <v>41</v>
      </c>
      <c r="C491" s="39" t="str">
        <f t="shared" si="14"/>
        <v>205</v>
      </c>
      <c r="D491" s="39" t="str">
        <f t="shared" si="15"/>
        <v>20508</v>
      </c>
      <c r="E491" s="39">
        <f>IF(ISNA(VLOOKUP(F491,'2020功能科目'!A:B,2,FALSE)),"",VLOOKUP(F491,'2020功能科目'!A:B,2,FALSE))</f>
        <v>2050803</v>
      </c>
      <c r="F491" s="25" t="s">
        <v>378</v>
      </c>
      <c r="G491" s="26">
        <v>24800</v>
      </c>
      <c r="H491" s="26">
        <v>49600</v>
      </c>
    </row>
    <row r="492" spans="1:8">
      <c r="A492" s="24">
        <v>255052</v>
      </c>
      <c r="B492" s="25" t="s">
        <v>41</v>
      </c>
      <c r="C492" s="39" t="str">
        <f t="shared" si="14"/>
        <v>205</v>
      </c>
      <c r="D492" s="39" t="str">
        <f t="shared" si="15"/>
        <v>20509</v>
      </c>
      <c r="E492" s="39">
        <f>IF(ISNA(VLOOKUP(F492,'2020功能科目'!A:B,2,FALSE)),"",VLOOKUP(F492,'2020功能科目'!A:B,2,FALSE))</f>
        <v>2050903</v>
      </c>
      <c r="F492" s="25" t="s">
        <v>379</v>
      </c>
      <c r="G492" s="26">
        <v>1596000</v>
      </c>
      <c r="H492" s="26">
        <v>1596000</v>
      </c>
    </row>
    <row r="493" spans="1:8">
      <c r="A493" s="24">
        <v>255052</v>
      </c>
      <c r="B493" s="25" t="s">
        <v>41</v>
      </c>
      <c r="C493" s="39" t="str">
        <f t="shared" si="14"/>
        <v>205</v>
      </c>
      <c r="D493" s="39" t="str">
        <f t="shared" si="15"/>
        <v>20509</v>
      </c>
      <c r="E493" s="39">
        <f>IF(ISNA(VLOOKUP(F493,'2020功能科目'!A:B,2,FALSE)),"",VLOOKUP(F493,'2020功能科目'!A:B,2,FALSE))</f>
        <v>2050904</v>
      </c>
      <c r="F493" s="25" t="s">
        <v>380</v>
      </c>
      <c r="G493" s="26">
        <v>349004</v>
      </c>
      <c r="H493" s="26">
        <v>349040</v>
      </c>
    </row>
    <row r="494" spans="1:8">
      <c r="A494" s="24">
        <v>255052</v>
      </c>
      <c r="B494" s="25" t="s">
        <v>41</v>
      </c>
      <c r="C494" s="39" t="str">
        <f t="shared" si="14"/>
        <v>208</v>
      </c>
      <c r="D494" s="39" t="str">
        <f t="shared" si="15"/>
        <v>20805</v>
      </c>
      <c r="E494" s="39">
        <f>IF(ISNA(VLOOKUP(F494,'2020功能科目'!A:B,2,FALSE)),"",VLOOKUP(F494,'2020功能科目'!A:B,2,FALSE))</f>
        <v>2080502</v>
      </c>
      <c r="F494" s="25" t="s">
        <v>381</v>
      </c>
      <c r="G494" s="26">
        <v>1214080.8999999999</v>
      </c>
      <c r="H494" s="26">
        <v>1063500</v>
      </c>
    </row>
    <row r="495" spans="1:8">
      <c r="A495" s="24">
        <v>255052</v>
      </c>
      <c r="B495" s="25" t="s">
        <v>41</v>
      </c>
      <c r="C495" s="39" t="str">
        <f t="shared" si="14"/>
        <v>208</v>
      </c>
      <c r="D495" s="39" t="str">
        <f t="shared" si="15"/>
        <v>20805</v>
      </c>
      <c r="E495" s="39">
        <f>IF(ISNA(VLOOKUP(F495,'2020功能科目'!A:B,2,FALSE)),"",VLOOKUP(F495,'2020功能科目'!A:B,2,FALSE))</f>
        <v>2080505</v>
      </c>
      <c r="F495" s="25" t="s">
        <v>382</v>
      </c>
      <c r="G495" s="26">
        <v>1336974.49</v>
      </c>
      <c r="H495" s="26">
        <v>1709779.84</v>
      </c>
    </row>
    <row r="496" spans="1:8">
      <c r="A496" s="24">
        <v>255052</v>
      </c>
      <c r="B496" s="25" t="s">
        <v>41</v>
      </c>
      <c r="C496" s="39" t="str">
        <f t="shared" si="14"/>
        <v>208</v>
      </c>
      <c r="D496" s="39" t="str">
        <f t="shared" si="15"/>
        <v>20805</v>
      </c>
      <c r="E496" s="39">
        <f>IF(ISNA(VLOOKUP(F496,'2020功能科目'!A:B,2,FALSE)),"",VLOOKUP(F496,'2020功能科目'!A:B,2,FALSE))</f>
        <v>2080506</v>
      </c>
      <c r="F496" s="25" t="s">
        <v>383</v>
      </c>
      <c r="G496" s="26">
        <v>667487.27</v>
      </c>
      <c r="H496" s="26">
        <v>854889.92</v>
      </c>
    </row>
    <row r="497" spans="1:8">
      <c r="A497" s="24">
        <v>255052</v>
      </c>
      <c r="B497" s="25" t="s">
        <v>41</v>
      </c>
      <c r="C497" s="39" t="str">
        <f t="shared" si="14"/>
        <v>210</v>
      </c>
      <c r="D497" s="39" t="str">
        <f t="shared" si="15"/>
        <v>21011</v>
      </c>
      <c r="E497" s="39">
        <f>IF(ISNA(VLOOKUP(F497,'2020功能科目'!A:B,2,FALSE)),"",VLOOKUP(F497,'2020功能科目'!A:B,2,FALSE))</f>
        <v>2101102</v>
      </c>
      <c r="F497" s="25" t="s">
        <v>385</v>
      </c>
      <c r="G497" s="26">
        <v>1044230.79</v>
      </c>
      <c r="H497" s="26">
        <v>1389196.12</v>
      </c>
    </row>
    <row r="498" spans="1:8">
      <c r="A498" s="24">
        <v>255052</v>
      </c>
      <c r="B498" s="25" t="s">
        <v>41</v>
      </c>
      <c r="C498" s="39" t="str">
        <f t="shared" si="14"/>
        <v>210</v>
      </c>
      <c r="D498" s="39" t="str">
        <f t="shared" si="15"/>
        <v>21011</v>
      </c>
      <c r="E498" s="39">
        <f>IF(ISNA(VLOOKUP(F498,'2020功能科目'!A:B,2,FALSE)),"",VLOOKUP(F498,'2020功能科目'!A:B,2,FALSE))</f>
        <v>2101199</v>
      </c>
      <c r="F498" s="25" t="s">
        <v>386</v>
      </c>
      <c r="G498" s="26">
        <v>180000</v>
      </c>
      <c r="H498" s="26">
        <v>180000</v>
      </c>
    </row>
    <row r="499" spans="1:8">
      <c r="A499" s="24">
        <v>255052</v>
      </c>
      <c r="B499" s="25" t="s">
        <v>41</v>
      </c>
      <c r="C499" s="39" t="str">
        <f t="shared" si="14"/>
        <v>221</v>
      </c>
      <c r="D499" s="39" t="str">
        <f t="shared" si="15"/>
        <v>22102</v>
      </c>
      <c r="E499" s="39">
        <f>IF(ISNA(VLOOKUP(F499,'2020功能科目'!A:B,2,FALSE)),"",VLOOKUP(F499,'2020功能科目'!A:B,2,FALSE))</f>
        <v>2210201</v>
      </c>
      <c r="F499" s="25" t="s">
        <v>387</v>
      </c>
      <c r="G499" s="26">
        <v>1667815</v>
      </c>
      <c r="H499" s="26">
        <v>1654334.88</v>
      </c>
    </row>
    <row r="500" spans="1:8">
      <c r="A500" s="24">
        <v>255052</v>
      </c>
      <c r="B500" s="25" t="s">
        <v>41</v>
      </c>
      <c r="C500" s="39" t="str">
        <f t="shared" si="14"/>
        <v>221</v>
      </c>
      <c r="D500" s="39" t="str">
        <f t="shared" si="15"/>
        <v>22102</v>
      </c>
      <c r="E500" s="39">
        <f>IF(ISNA(VLOOKUP(F500,'2020功能科目'!A:B,2,FALSE)),"",VLOOKUP(F500,'2020功能科目'!A:B,2,FALSE))</f>
        <v>2210202</v>
      </c>
      <c r="F500" s="25" t="s">
        <v>388</v>
      </c>
      <c r="G500" s="26">
        <v>122380</v>
      </c>
      <c r="H500" s="26">
        <v>122040</v>
      </c>
    </row>
    <row r="501" spans="1:8">
      <c r="A501" s="24">
        <v>255052</v>
      </c>
      <c r="B501" s="25" t="s">
        <v>41</v>
      </c>
      <c r="C501" s="39" t="str">
        <f t="shared" si="14"/>
        <v>221</v>
      </c>
      <c r="D501" s="39" t="str">
        <f t="shared" si="15"/>
        <v>22102</v>
      </c>
      <c r="E501" s="39">
        <f>IF(ISNA(VLOOKUP(F501,'2020功能科目'!A:B,2,FALSE)),"",VLOOKUP(F501,'2020功能科目'!A:B,2,FALSE))</f>
        <v>2210203</v>
      </c>
      <c r="F501" s="25" t="s">
        <v>389</v>
      </c>
      <c r="G501" s="26">
        <v>1319407</v>
      </c>
      <c r="H501" s="26">
        <v>1239492</v>
      </c>
    </row>
    <row r="502" spans="1:8">
      <c r="A502" s="24">
        <v>255053</v>
      </c>
      <c r="B502" s="25" t="s">
        <v>42</v>
      </c>
      <c r="C502" s="39" t="str">
        <f t="shared" si="14"/>
        <v>205</v>
      </c>
      <c r="D502" s="39" t="str">
        <f t="shared" si="15"/>
        <v>20502</v>
      </c>
      <c r="E502" s="39">
        <f>IF(ISNA(VLOOKUP(F502,'2020功能科目'!A:B,2,FALSE)),"",VLOOKUP(F502,'2020功能科目'!A:B,2,FALSE))</f>
        <v>2050202</v>
      </c>
      <c r="F502" s="25" t="s">
        <v>375</v>
      </c>
      <c r="G502" s="26">
        <v>33640405.439999998</v>
      </c>
      <c r="H502" s="26">
        <v>25979445.210000001</v>
      </c>
    </row>
    <row r="503" spans="1:8">
      <c r="A503" s="24">
        <v>255053</v>
      </c>
      <c r="B503" s="25" t="s">
        <v>42</v>
      </c>
      <c r="C503" s="39" t="str">
        <f t="shared" si="14"/>
        <v>205</v>
      </c>
      <c r="D503" s="39" t="str">
        <f t="shared" si="15"/>
        <v>20502</v>
      </c>
      <c r="E503" s="39">
        <f>IF(ISNA(VLOOKUP(F503,'2020功能科目'!A:B,2,FALSE)),"",VLOOKUP(F503,'2020功能科目'!A:B,2,FALSE))</f>
        <v>2050299</v>
      </c>
      <c r="F503" s="25" t="s">
        <v>377</v>
      </c>
      <c r="G503" s="26">
        <v>119000</v>
      </c>
      <c r="H503" s="26">
        <v>0</v>
      </c>
    </row>
    <row r="504" spans="1:8">
      <c r="A504" s="24">
        <v>255053</v>
      </c>
      <c r="B504" s="25" t="s">
        <v>42</v>
      </c>
      <c r="C504" s="39" t="str">
        <f t="shared" si="14"/>
        <v>205</v>
      </c>
      <c r="D504" s="39" t="str">
        <f t="shared" si="15"/>
        <v>20508</v>
      </c>
      <c r="E504" s="39">
        <f>IF(ISNA(VLOOKUP(F504,'2020功能科目'!A:B,2,FALSE)),"",VLOOKUP(F504,'2020功能科目'!A:B,2,FALSE))</f>
        <v>2050803</v>
      </c>
      <c r="F504" s="25" t="s">
        <v>378</v>
      </c>
      <c r="G504" s="26">
        <v>0</v>
      </c>
      <c r="H504" s="26">
        <v>80000</v>
      </c>
    </row>
    <row r="505" spans="1:8">
      <c r="A505" s="24">
        <v>255053</v>
      </c>
      <c r="B505" s="25" t="s">
        <v>42</v>
      </c>
      <c r="C505" s="39" t="str">
        <f t="shared" si="14"/>
        <v>205</v>
      </c>
      <c r="D505" s="39" t="str">
        <f t="shared" si="15"/>
        <v>20509</v>
      </c>
      <c r="E505" s="39">
        <f>IF(ISNA(VLOOKUP(F505,'2020功能科目'!A:B,2,FALSE)),"",VLOOKUP(F505,'2020功能科目'!A:B,2,FALSE))</f>
        <v>2050903</v>
      </c>
      <c r="F505" s="25" t="s">
        <v>379</v>
      </c>
      <c r="G505" s="26">
        <v>4017940.66</v>
      </c>
      <c r="H505" s="26">
        <v>4172000</v>
      </c>
    </row>
    <row r="506" spans="1:8">
      <c r="A506" s="24">
        <v>255053</v>
      </c>
      <c r="B506" s="25" t="s">
        <v>42</v>
      </c>
      <c r="C506" s="39" t="str">
        <f t="shared" si="14"/>
        <v>205</v>
      </c>
      <c r="D506" s="39" t="str">
        <f t="shared" si="15"/>
        <v>20509</v>
      </c>
      <c r="E506" s="39">
        <f>IF(ISNA(VLOOKUP(F506,'2020功能科目'!A:B,2,FALSE)),"",VLOOKUP(F506,'2020功能科目'!A:B,2,FALSE))</f>
        <v>2050904</v>
      </c>
      <c r="F506" s="25" t="s">
        <v>380</v>
      </c>
      <c r="G506" s="26">
        <v>974714.08</v>
      </c>
      <c r="H506" s="26">
        <v>979116</v>
      </c>
    </row>
    <row r="507" spans="1:8">
      <c r="A507" s="24">
        <v>255053</v>
      </c>
      <c r="B507" s="25" t="s">
        <v>42</v>
      </c>
      <c r="C507" s="39" t="str">
        <f t="shared" si="14"/>
        <v>208</v>
      </c>
      <c r="D507" s="39" t="str">
        <f t="shared" si="15"/>
        <v>20805</v>
      </c>
      <c r="E507" s="39">
        <f>IF(ISNA(VLOOKUP(F507,'2020功能科目'!A:B,2,FALSE)),"",VLOOKUP(F507,'2020功能科目'!A:B,2,FALSE))</f>
        <v>2080502</v>
      </c>
      <c r="F507" s="25" t="s">
        <v>381</v>
      </c>
      <c r="G507" s="26">
        <v>1685407.52</v>
      </c>
      <c r="H507" s="26">
        <v>1043578</v>
      </c>
    </row>
    <row r="508" spans="1:8">
      <c r="A508" s="24">
        <v>255053</v>
      </c>
      <c r="B508" s="25" t="s">
        <v>42</v>
      </c>
      <c r="C508" s="39" t="str">
        <f t="shared" si="14"/>
        <v>208</v>
      </c>
      <c r="D508" s="39" t="str">
        <f t="shared" si="15"/>
        <v>20805</v>
      </c>
      <c r="E508" s="39">
        <f>IF(ISNA(VLOOKUP(F508,'2020功能科目'!A:B,2,FALSE)),"",VLOOKUP(F508,'2020功能科目'!A:B,2,FALSE))</f>
        <v>2080505</v>
      </c>
      <c r="F508" s="25" t="s">
        <v>382</v>
      </c>
      <c r="G508" s="26">
        <v>2285666.3199999998</v>
      </c>
      <c r="H508" s="26">
        <v>2131489.92</v>
      </c>
    </row>
    <row r="509" spans="1:8">
      <c r="A509" s="24">
        <v>255053</v>
      </c>
      <c r="B509" s="25" t="s">
        <v>42</v>
      </c>
      <c r="C509" s="39" t="str">
        <f t="shared" si="14"/>
        <v>208</v>
      </c>
      <c r="D509" s="39" t="str">
        <f t="shared" si="15"/>
        <v>20805</v>
      </c>
      <c r="E509" s="39">
        <f>IF(ISNA(VLOOKUP(F509,'2020功能科目'!A:B,2,FALSE)),"",VLOOKUP(F509,'2020功能科目'!A:B,2,FALSE))</f>
        <v>2080506</v>
      </c>
      <c r="F509" s="25" t="s">
        <v>383</v>
      </c>
      <c r="G509" s="26">
        <v>1142539.18</v>
      </c>
      <c r="H509" s="26">
        <v>1065744.96</v>
      </c>
    </row>
    <row r="510" spans="1:8">
      <c r="A510" s="24">
        <v>255053</v>
      </c>
      <c r="B510" s="25" t="s">
        <v>42</v>
      </c>
      <c r="C510" s="39" t="str">
        <f t="shared" si="14"/>
        <v>210</v>
      </c>
      <c r="D510" s="39" t="str">
        <f t="shared" si="15"/>
        <v>21011</v>
      </c>
      <c r="E510" s="39">
        <f>IF(ISNA(VLOOKUP(F510,'2020功能科目'!A:B,2,FALSE)),"",VLOOKUP(F510,'2020功能科目'!A:B,2,FALSE))</f>
        <v>2101102</v>
      </c>
      <c r="F510" s="25" t="s">
        <v>385</v>
      </c>
      <c r="G510" s="26">
        <v>2091480.99</v>
      </c>
      <c r="H510" s="26">
        <v>1731835.56</v>
      </c>
    </row>
    <row r="511" spans="1:8">
      <c r="A511" s="24">
        <v>255053</v>
      </c>
      <c r="B511" s="25" t="s">
        <v>42</v>
      </c>
      <c r="C511" s="39" t="str">
        <f t="shared" si="14"/>
        <v>221</v>
      </c>
      <c r="D511" s="39" t="str">
        <f t="shared" si="15"/>
        <v>22102</v>
      </c>
      <c r="E511" s="39">
        <f>IF(ISNA(VLOOKUP(F511,'2020功能科目'!A:B,2,FALSE)),"",VLOOKUP(F511,'2020功能科目'!A:B,2,FALSE))</f>
        <v>2210201</v>
      </c>
      <c r="F511" s="25" t="s">
        <v>387</v>
      </c>
      <c r="G511" s="26">
        <v>2495315</v>
      </c>
      <c r="H511" s="26">
        <v>2198617.44</v>
      </c>
    </row>
    <row r="512" spans="1:8">
      <c r="A512" s="24">
        <v>255053</v>
      </c>
      <c r="B512" s="25" t="s">
        <v>42</v>
      </c>
      <c r="C512" s="39" t="str">
        <f t="shared" si="14"/>
        <v>221</v>
      </c>
      <c r="D512" s="39" t="str">
        <f t="shared" si="15"/>
        <v>22102</v>
      </c>
      <c r="E512" s="39">
        <f>IF(ISNA(VLOOKUP(F512,'2020功能科目'!A:B,2,FALSE)),"",VLOOKUP(F512,'2020功能科目'!A:B,2,FALSE))</f>
        <v>2210202</v>
      </c>
      <c r="F512" s="25" t="s">
        <v>388</v>
      </c>
      <c r="G512" s="26">
        <v>176120</v>
      </c>
      <c r="H512" s="26">
        <v>177720</v>
      </c>
    </row>
    <row r="513" spans="1:8">
      <c r="A513" s="24">
        <v>255053</v>
      </c>
      <c r="B513" s="25" t="s">
        <v>42</v>
      </c>
      <c r="C513" s="39" t="str">
        <f t="shared" si="14"/>
        <v>221</v>
      </c>
      <c r="D513" s="39" t="str">
        <f t="shared" si="15"/>
        <v>22102</v>
      </c>
      <c r="E513" s="39">
        <f>IF(ISNA(VLOOKUP(F513,'2020功能科目'!A:B,2,FALSE)),"",VLOOKUP(F513,'2020功能科目'!A:B,2,FALSE))</f>
        <v>2210203</v>
      </c>
      <c r="F513" s="25" t="s">
        <v>389</v>
      </c>
      <c r="G513" s="26">
        <v>2263793</v>
      </c>
      <c r="H513" s="26">
        <v>2170680</v>
      </c>
    </row>
    <row r="514" spans="1:8">
      <c r="A514" s="24">
        <v>255055</v>
      </c>
      <c r="B514" s="25" t="s">
        <v>43</v>
      </c>
      <c r="C514" s="39" t="str">
        <f t="shared" si="14"/>
        <v>205</v>
      </c>
      <c r="D514" s="39" t="str">
        <f t="shared" si="15"/>
        <v>20502</v>
      </c>
      <c r="E514" s="39">
        <f>IF(ISNA(VLOOKUP(F514,'2020功能科目'!A:B,2,FALSE)),"",VLOOKUP(F514,'2020功能科目'!A:B,2,FALSE))</f>
        <v>2050202</v>
      </c>
      <c r="F514" s="25" t="s">
        <v>375</v>
      </c>
      <c r="G514" s="26">
        <v>42416850.119999997</v>
      </c>
      <c r="H514" s="26">
        <v>31540774.449999999</v>
      </c>
    </row>
    <row r="515" spans="1:8">
      <c r="A515" s="24">
        <v>255055</v>
      </c>
      <c r="B515" s="25" t="s">
        <v>43</v>
      </c>
      <c r="C515" s="39" t="str">
        <f t="shared" ref="C515:C578" si="16">LEFT(D515,3)</f>
        <v>205</v>
      </c>
      <c r="D515" s="39" t="str">
        <f t="shared" ref="D515:D578" si="17">LEFT(E515,5)</f>
        <v>20502</v>
      </c>
      <c r="E515" s="39">
        <f>IF(ISNA(VLOOKUP(F515,'2020功能科目'!A:B,2,FALSE)),"",VLOOKUP(F515,'2020功能科目'!A:B,2,FALSE))</f>
        <v>2050299</v>
      </c>
      <c r="F515" s="25" t="s">
        <v>377</v>
      </c>
      <c r="G515" s="26">
        <v>191259.18</v>
      </c>
      <c r="H515" s="26">
        <v>0</v>
      </c>
    </row>
    <row r="516" spans="1:8">
      <c r="A516" s="24">
        <v>255055</v>
      </c>
      <c r="B516" s="25" t="s">
        <v>43</v>
      </c>
      <c r="C516" s="39" t="str">
        <f t="shared" si="16"/>
        <v>205</v>
      </c>
      <c r="D516" s="39" t="str">
        <f t="shared" si="17"/>
        <v>20508</v>
      </c>
      <c r="E516" s="39">
        <f>IF(ISNA(VLOOKUP(F516,'2020功能科目'!A:B,2,FALSE)),"",VLOOKUP(F516,'2020功能科目'!A:B,2,FALSE))</f>
        <v>2050803</v>
      </c>
      <c r="F516" s="25" t="s">
        <v>378</v>
      </c>
      <c r="G516" s="26">
        <v>3000</v>
      </c>
      <c r="H516" s="26">
        <v>102400</v>
      </c>
    </row>
    <row r="517" spans="1:8">
      <c r="A517" s="24">
        <v>255055</v>
      </c>
      <c r="B517" s="25" t="s">
        <v>43</v>
      </c>
      <c r="C517" s="39" t="str">
        <f t="shared" si="16"/>
        <v>205</v>
      </c>
      <c r="D517" s="39" t="str">
        <f t="shared" si="17"/>
        <v>20509</v>
      </c>
      <c r="E517" s="39">
        <f>IF(ISNA(VLOOKUP(F517,'2020功能科目'!A:B,2,FALSE)),"",VLOOKUP(F517,'2020功能科目'!A:B,2,FALSE))</f>
        <v>2050903</v>
      </c>
      <c r="F517" s="25" t="s">
        <v>379</v>
      </c>
      <c r="G517" s="26">
        <v>629073.34</v>
      </c>
      <c r="H517" s="26">
        <v>900000</v>
      </c>
    </row>
    <row r="518" spans="1:8">
      <c r="A518" s="24">
        <v>255055</v>
      </c>
      <c r="B518" s="25" t="s">
        <v>43</v>
      </c>
      <c r="C518" s="39" t="str">
        <f t="shared" si="16"/>
        <v>205</v>
      </c>
      <c r="D518" s="39" t="str">
        <f t="shared" si="17"/>
        <v>20509</v>
      </c>
      <c r="E518" s="39">
        <f>IF(ISNA(VLOOKUP(F518,'2020功能科目'!A:B,2,FALSE)),"",VLOOKUP(F518,'2020功能科目'!A:B,2,FALSE))</f>
        <v>2050904</v>
      </c>
      <c r="F518" s="25" t="s">
        <v>380</v>
      </c>
      <c r="G518" s="26">
        <v>1417500</v>
      </c>
      <c r="H518" s="26">
        <v>1420000</v>
      </c>
    </row>
    <row r="519" spans="1:8">
      <c r="A519" s="24">
        <v>255055</v>
      </c>
      <c r="B519" s="25" t="s">
        <v>43</v>
      </c>
      <c r="C519" s="39" t="str">
        <f t="shared" si="16"/>
        <v>208</v>
      </c>
      <c r="D519" s="39" t="str">
        <f t="shared" si="17"/>
        <v>20805</v>
      </c>
      <c r="E519" s="39">
        <f>IF(ISNA(VLOOKUP(F519,'2020功能科目'!A:B,2,FALSE)),"",VLOOKUP(F519,'2020功能科目'!A:B,2,FALSE))</f>
        <v>2080502</v>
      </c>
      <c r="F519" s="25" t="s">
        <v>381</v>
      </c>
      <c r="G519" s="26">
        <v>3114048.9</v>
      </c>
      <c r="H519" s="26">
        <v>2049384</v>
      </c>
    </row>
    <row r="520" spans="1:8">
      <c r="A520" s="24">
        <v>255055</v>
      </c>
      <c r="B520" s="25" t="s">
        <v>43</v>
      </c>
      <c r="C520" s="39" t="str">
        <f t="shared" si="16"/>
        <v>208</v>
      </c>
      <c r="D520" s="39" t="str">
        <f t="shared" si="17"/>
        <v>20805</v>
      </c>
      <c r="E520" s="39">
        <f>IF(ISNA(VLOOKUP(F520,'2020功能科目'!A:B,2,FALSE)),"",VLOOKUP(F520,'2020功能科目'!A:B,2,FALSE))</f>
        <v>2080505</v>
      </c>
      <c r="F520" s="25" t="s">
        <v>382</v>
      </c>
      <c r="G520" s="26">
        <v>2454513.6</v>
      </c>
      <c r="H520" s="26">
        <v>2576120</v>
      </c>
    </row>
    <row r="521" spans="1:8">
      <c r="A521" s="24">
        <v>255055</v>
      </c>
      <c r="B521" s="25" t="s">
        <v>43</v>
      </c>
      <c r="C521" s="39" t="str">
        <f t="shared" si="16"/>
        <v>208</v>
      </c>
      <c r="D521" s="39" t="str">
        <f t="shared" si="17"/>
        <v>20805</v>
      </c>
      <c r="E521" s="39">
        <f>IF(ISNA(VLOOKUP(F521,'2020功能科目'!A:B,2,FALSE)),"",VLOOKUP(F521,'2020功能科目'!A:B,2,FALSE))</f>
        <v>2080506</v>
      </c>
      <c r="F521" s="25" t="s">
        <v>383</v>
      </c>
      <c r="G521" s="26">
        <v>1227256.8</v>
      </c>
      <c r="H521" s="26">
        <v>1288060</v>
      </c>
    </row>
    <row r="522" spans="1:8">
      <c r="A522" s="24">
        <v>255055</v>
      </c>
      <c r="B522" s="25" t="s">
        <v>43</v>
      </c>
      <c r="C522" s="39" t="str">
        <f t="shared" si="16"/>
        <v>210</v>
      </c>
      <c r="D522" s="39" t="str">
        <f t="shared" si="17"/>
        <v>21011</v>
      </c>
      <c r="E522" s="39">
        <f>IF(ISNA(VLOOKUP(F522,'2020功能科目'!A:B,2,FALSE)),"",VLOOKUP(F522,'2020功能科目'!A:B,2,FALSE))</f>
        <v>2101102</v>
      </c>
      <c r="F522" s="25" t="s">
        <v>385</v>
      </c>
      <c r="G522" s="26">
        <v>2108696.06</v>
      </c>
      <c r="H522" s="26">
        <v>2093097.5</v>
      </c>
    </row>
    <row r="523" spans="1:8">
      <c r="A523" s="24">
        <v>255055</v>
      </c>
      <c r="B523" s="25" t="s">
        <v>43</v>
      </c>
      <c r="C523" s="39" t="str">
        <f t="shared" si="16"/>
        <v>210</v>
      </c>
      <c r="D523" s="39" t="str">
        <f t="shared" si="17"/>
        <v>21011</v>
      </c>
      <c r="E523" s="39">
        <f>IF(ISNA(VLOOKUP(F523,'2020功能科目'!A:B,2,FALSE)),"",VLOOKUP(F523,'2020功能科目'!A:B,2,FALSE))</f>
        <v>2101199</v>
      </c>
      <c r="F523" s="25" t="s">
        <v>386</v>
      </c>
      <c r="G523" s="26">
        <v>90000</v>
      </c>
      <c r="H523" s="26">
        <v>90000</v>
      </c>
    </row>
    <row r="524" spans="1:8">
      <c r="A524" s="24">
        <v>255055</v>
      </c>
      <c r="B524" s="25" t="s">
        <v>43</v>
      </c>
      <c r="C524" s="39" t="str">
        <f t="shared" si="16"/>
        <v>221</v>
      </c>
      <c r="D524" s="39" t="str">
        <f t="shared" si="17"/>
        <v>22102</v>
      </c>
      <c r="E524" s="39">
        <f>IF(ISNA(VLOOKUP(F524,'2020功能科目'!A:B,2,FALSE)),"",VLOOKUP(F524,'2020功能科目'!A:B,2,FALSE))</f>
        <v>2210201</v>
      </c>
      <c r="F524" s="25" t="s">
        <v>387</v>
      </c>
      <c r="G524" s="26">
        <v>3167299</v>
      </c>
      <c r="H524" s="26">
        <v>2700090</v>
      </c>
    </row>
    <row r="525" spans="1:8">
      <c r="A525" s="24">
        <v>255055</v>
      </c>
      <c r="B525" s="25" t="s">
        <v>43</v>
      </c>
      <c r="C525" s="39" t="str">
        <f t="shared" si="16"/>
        <v>221</v>
      </c>
      <c r="D525" s="39" t="str">
        <f t="shared" si="17"/>
        <v>22102</v>
      </c>
      <c r="E525" s="39">
        <f>IF(ISNA(VLOOKUP(F525,'2020功能科目'!A:B,2,FALSE)),"",VLOOKUP(F525,'2020功能科目'!A:B,2,FALSE))</f>
        <v>2210202</v>
      </c>
      <c r="F525" s="25" t="s">
        <v>388</v>
      </c>
      <c r="G525" s="26">
        <v>277040</v>
      </c>
      <c r="H525" s="26">
        <v>280560</v>
      </c>
    </row>
    <row r="526" spans="1:8">
      <c r="A526" s="24">
        <v>255055</v>
      </c>
      <c r="B526" s="25" t="s">
        <v>43</v>
      </c>
      <c r="C526" s="39" t="str">
        <f t="shared" si="16"/>
        <v>221</v>
      </c>
      <c r="D526" s="39" t="str">
        <f t="shared" si="17"/>
        <v>22102</v>
      </c>
      <c r="E526" s="39">
        <f>IF(ISNA(VLOOKUP(F526,'2020功能科目'!A:B,2,FALSE)),"",VLOOKUP(F526,'2020功能科目'!A:B,2,FALSE))</f>
        <v>2210203</v>
      </c>
      <c r="F526" s="25" t="s">
        <v>389</v>
      </c>
      <c r="G526" s="26">
        <v>3232109</v>
      </c>
      <c r="H526" s="26">
        <v>2953332</v>
      </c>
    </row>
    <row r="527" spans="1:8">
      <c r="A527" s="24">
        <v>255056</v>
      </c>
      <c r="B527" s="25" t="s">
        <v>44</v>
      </c>
      <c r="C527" s="39" t="str">
        <f t="shared" si="16"/>
        <v>205</v>
      </c>
      <c r="D527" s="39" t="str">
        <f t="shared" si="17"/>
        <v>20502</v>
      </c>
      <c r="E527" s="39">
        <f>IF(ISNA(VLOOKUP(F527,'2020功能科目'!A:B,2,FALSE)),"",VLOOKUP(F527,'2020功能科目'!A:B,2,FALSE))</f>
        <v>2050202</v>
      </c>
      <c r="F527" s="25" t="s">
        <v>375</v>
      </c>
      <c r="G527" s="26">
        <v>25223425.149999999</v>
      </c>
      <c r="H527" s="26">
        <v>19143561.170000002</v>
      </c>
    </row>
    <row r="528" spans="1:8">
      <c r="A528" s="24">
        <v>255056</v>
      </c>
      <c r="B528" s="25" t="s">
        <v>44</v>
      </c>
      <c r="C528" s="39" t="str">
        <f t="shared" si="16"/>
        <v>205</v>
      </c>
      <c r="D528" s="39" t="str">
        <f t="shared" si="17"/>
        <v>20502</v>
      </c>
      <c r="E528" s="39">
        <f>IF(ISNA(VLOOKUP(F528,'2020功能科目'!A:B,2,FALSE)),"",VLOOKUP(F528,'2020功能科目'!A:B,2,FALSE))</f>
        <v>2050299</v>
      </c>
      <c r="F528" s="25" t="s">
        <v>377</v>
      </c>
      <c r="G528" s="26">
        <v>60665.71</v>
      </c>
      <c r="H528" s="26">
        <v>0</v>
      </c>
    </row>
    <row r="529" spans="1:8">
      <c r="A529" s="24">
        <v>255056</v>
      </c>
      <c r="B529" s="25" t="s">
        <v>44</v>
      </c>
      <c r="C529" s="39" t="str">
        <f t="shared" si="16"/>
        <v>205</v>
      </c>
      <c r="D529" s="39" t="str">
        <f t="shared" si="17"/>
        <v>20508</v>
      </c>
      <c r="E529" s="39">
        <f>IF(ISNA(VLOOKUP(F529,'2020功能科目'!A:B,2,FALSE)),"",VLOOKUP(F529,'2020功能科目'!A:B,2,FALSE))</f>
        <v>2050803</v>
      </c>
      <c r="F529" s="25" t="s">
        <v>378</v>
      </c>
      <c r="G529" s="26">
        <v>1560</v>
      </c>
      <c r="H529" s="26">
        <v>60800</v>
      </c>
    </row>
    <row r="530" spans="1:8">
      <c r="A530" s="24">
        <v>255056</v>
      </c>
      <c r="B530" s="25" t="s">
        <v>44</v>
      </c>
      <c r="C530" s="39" t="str">
        <f t="shared" si="16"/>
        <v>205</v>
      </c>
      <c r="D530" s="39" t="str">
        <f t="shared" si="17"/>
        <v>20509</v>
      </c>
      <c r="E530" s="39">
        <f>IF(ISNA(VLOOKUP(F530,'2020功能科目'!A:B,2,FALSE)),"",VLOOKUP(F530,'2020功能科目'!A:B,2,FALSE))</f>
        <v>2050903</v>
      </c>
      <c r="F530" s="25" t="s">
        <v>379</v>
      </c>
      <c r="G530" s="26">
        <v>971970.96</v>
      </c>
      <c r="H530" s="26">
        <v>990000</v>
      </c>
    </row>
    <row r="531" spans="1:8">
      <c r="A531" s="24">
        <v>255056</v>
      </c>
      <c r="B531" s="25" t="s">
        <v>44</v>
      </c>
      <c r="C531" s="39" t="str">
        <f t="shared" si="16"/>
        <v>205</v>
      </c>
      <c r="D531" s="39" t="str">
        <f t="shared" si="17"/>
        <v>20509</v>
      </c>
      <c r="E531" s="39">
        <f>IF(ISNA(VLOOKUP(F531,'2020功能科目'!A:B,2,FALSE)),"",VLOOKUP(F531,'2020功能科目'!A:B,2,FALSE))</f>
        <v>2050904</v>
      </c>
      <c r="F531" s="25" t="s">
        <v>380</v>
      </c>
      <c r="G531" s="26">
        <v>812192</v>
      </c>
      <c r="H531" s="26">
        <v>839700</v>
      </c>
    </row>
    <row r="532" spans="1:8">
      <c r="A532" s="24">
        <v>255056</v>
      </c>
      <c r="B532" s="25" t="s">
        <v>44</v>
      </c>
      <c r="C532" s="39" t="str">
        <f t="shared" si="16"/>
        <v>208</v>
      </c>
      <c r="D532" s="39" t="str">
        <f t="shared" si="17"/>
        <v>20805</v>
      </c>
      <c r="E532" s="39">
        <f>IF(ISNA(VLOOKUP(F532,'2020功能科目'!A:B,2,FALSE)),"",VLOOKUP(F532,'2020功能科目'!A:B,2,FALSE))</f>
        <v>2080502</v>
      </c>
      <c r="F532" s="25" t="s">
        <v>381</v>
      </c>
      <c r="G532" s="26">
        <v>1156358</v>
      </c>
      <c r="H532" s="26">
        <v>1006830</v>
      </c>
    </row>
    <row r="533" spans="1:8">
      <c r="A533" s="24">
        <v>255056</v>
      </c>
      <c r="B533" s="25" t="s">
        <v>44</v>
      </c>
      <c r="C533" s="39" t="str">
        <f t="shared" si="16"/>
        <v>208</v>
      </c>
      <c r="D533" s="39" t="str">
        <f t="shared" si="17"/>
        <v>20805</v>
      </c>
      <c r="E533" s="39">
        <f>IF(ISNA(VLOOKUP(F533,'2020功能科目'!A:B,2,FALSE)),"",VLOOKUP(F533,'2020功能科目'!A:B,2,FALSE))</f>
        <v>2080505</v>
      </c>
      <c r="F533" s="25" t="s">
        <v>382</v>
      </c>
      <c r="G533" s="26">
        <v>1592733.12</v>
      </c>
      <c r="H533" s="26">
        <v>1577975.36</v>
      </c>
    </row>
    <row r="534" spans="1:8">
      <c r="A534" s="24">
        <v>255056</v>
      </c>
      <c r="B534" s="25" t="s">
        <v>44</v>
      </c>
      <c r="C534" s="39" t="str">
        <f t="shared" si="16"/>
        <v>208</v>
      </c>
      <c r="D534" s="39" t="str">
        <f t="shared" si="17"/>
        <v>20805</v>
      </c>
      <c r="E534" s="39">
        <f>IF(ISNA(VLOOKUP(F534,'2020功能科目'!A:B,2,FALSE)),"",VLOOKUP(F534,'2020功能科目'!A:B,2,FALSE))</f>
        <v>2080506</v>
      </c>
      <c r="F534" s="25" t="s">
        <v>383</v>
      </c>
      <c r="G534" s="26">
        <v>796366.56</v>
      </c>
      <c r="H534" s="26">
        <v>788987.68</v>
      </c>
    </row>
    <row r="535" spans="1:8">
      <c r="A535" s="24">
        <v>255056</v>
      </c>
      <c r="B535" s="25" t="s">
        <v>44</v>
      </c>
      <c r="C535" s="39" t="str">
        <f t="shared" si="16"/>
        <v>210</v>
      </c>
      <c r="D535" s="39" t="str">
        <f t="shared" si="17"/>
        <v>21011</v>
      </c>
      <c r="E535" s="39">
        <f>IF(ISNA(VLOOKUP(F535,'2020功能科目'!A:B,2,FALSE)),"",VLOOKUP(F535,'2020功能科目'!A:B,2,FALSE))</f>
        <v>2101102</v>
      </c>
      <c r="F535" s="25" t="s">
        <v>385</v>
      </c>
      <c r="G535" s="26">
        <v>1263456.29</v>
      </c>
      <c r="H535" s="26">
        <v>1282104.98</v>
      </c>
    </row>
    <row r="536" spans="1:8">
      <c r="A536" s="24">
        <v>255056</v>
      </c>
      <c r="B536" s="25" t="s">
        <v>44</v>
      </c>
      <c r="C536" s="39" t="str">
        <f t="shared" si="16"/>
        <v>221</v>
      </c>
      <c r="D536" s="39" t="str">
        <f t="shared" si="17"/>
        <v>22102</v>
      </c>
      <c r="E536" s="39">
        <f>IF(ISNA(VLOOKUP(F536,'2020功能科目'!A:B,2,FALSE)),"",VLOOKUP(F536,'2020功能科目'!A:B,2,FALSE))</f>
        <v>2210201</v>
      </c>
      <c r="F536" s="25" t="s">
        <v>387</v>
      </c>
      <c r="G536" s="26">
        <v>1878008</v>
      </c>
      <c r="H536" s="26">
        <v>1639481.52</v>
      </c>
    </row>
    <row r="537" spans="1:8">
      <c r="A537" s="24">
        <v>255056</v>
      </c>
      <c r="B537" s="25" t="s">
        <v>44</v>
      </c>
      <c r="C537" s="39" t="str">
        <f t="shared" si="16"/>
        <v>221</v>
      </c>
      <c r="D537" s="39" t="str">
        <f t="shared" si="17"/>
        <v>22102</v>
      </c>
      <c r="E537" s="39">
        <f>IF(ISNA(VLOOKUP(F537,'2020功能科目'!A:B,2,FALSE)),"",VLOOKUP(F537,'2020功能科目'!A:B,2,FALSE))</f>
        <v>2210202</v>
      </c>
      <c r="F537" s="25" t="s">
        <v>388</v>
      </c>
      <c r="G537" s="26">
        <v>163080</v>
      </c>
      <c r="H537" s="26">
        <v>163320</v>
      </c>
    </row>
    <row r="538" spans="1:8">
      <c r="A538" s="24">
        <v>255056</v>
      </c>
      <c r="B538" s="25" t="s">
        <v>44</v>
      </c>
      <c r="C538" s="39" t="str">
        <f t="shared" si="16"/>
        <v>221</v>
      </c>
      <c r="D538" s="39" t="str">
        <f t="shared" si="17"/>
        <v>22102</v>
      </c>
      <c r="E538" s="39">
        <f>IF(ISNA(VLOOKUP(F538,'2020功能科目'!A:B,2,FALSE)),"",VLOOKUP(F538,'2020功能科目'!A:B,2,FALSE))</f>
        <v>2210203</v>
      </c>
      <c r="F538" s="25" t="s">
        <v>389</v>
      </c>
      <c r="G538" s="26">
        <v>1658552</v>
      </c>
      <c r="H538" s="26">
        <v>1560624</v>
      </c>
    </row>
    <row r="539" spans="1:8">
      <c r="A539" s="24">
        <v>255058</v>
      </c>
      <c r="B539" s="25" t="s">
        <v>45</v>
      </c>
      <c r="C539" s="39" t="str">
        <f t="shared" si="16"/>
        <v>205</v>
      </c>
      <c r="D539" s="39" t="str">
        <f t="shared" si="17"/>
        <v>20502</v>
      </c>
      <c r="E539" s="39">
        <f>IF(ISNA(VLOOKUP(F539,'2020功能科目'!A:B,2,FALSE)),"",VLOOKUP(F539,'2020功能科目'!A:B,2,FALSE))</f>
        <v>2050202</v>
      </c>
      <c r="F539" s="25" t="s">
        <v>375</v>
      </c>
      <c r="G539" s="26">
        <v>39914623.969999999</v>
      </c>
      <c r="H539" s="26">
        <v>32164045.629999999</v>
      </c>
    </row>
    <row r="540" spans="1:8">
      <c r="A540" s="24">
        <v>255058</v>
      </c>
      <c r="B540" s="25" t="s">
        <v>45</v>
      </c>
      <c r="C540" s="39" t="str">
        <f t="shared" si="16"/>
        <v>205</v>
      </c>
      <c r="D540" s="39" t="str">
        <f t="shared" si="17"/>
        <v>20502</v>
      </c>
      <c r="E540" s="39">
        <f>IF(ISNA(VLOOKUP(F540,'2020功能科目'!A:B,2,FALSE)),"",VLOOKUP(F540,'2020功能科目'!A:B,2,FALSE))</f>
        <v>2050299</v>
      </c>
      <c r="F540" s="25" t="s">
        <v>377</v>
      </c>
      <c r="G540" s="26">
        <v>167900</v>
      </c>
      <c r="H540" s="26">
        <v>0</v>
      </c>
    </row>
    <row r="541" spans="1:8">
      <c r="A541" s="24">
        <v>255058</v>
      </c>
      <c r="B541" s="25" t="s">
        <v>45</v>
      </c>
      <c r="C541" s="39" t="str">
        <f t="shared" si="16"/>
        <v>205</v>
      </c>
      <c r="D541" s="39" t="str">
        <f t="shared" si="17"/>
        <v>20508</v>
      </c>
      <c r="E541" s="39">
        <f>IF(ISNA(VLOOKUP(F541,'2020功能科目'!A:B,2,FALSE)),"",VLOOKUP(F541,'2020功能科目'!A:B,2,FALSE))</f>
        <v>2050803</v>
      </c>
      <c r="F541" s="25" t="s">
        <v>378</v>
      </c>
      <c r="G541" s="26">
        <v>3520</v>
      </c>
      <c r="H541" s="26">
        <v>99200</v>
      </c>
    </row>
    <row r="542" spans="1:8">
      <c r="A542" s="24">
        <v>255058</v>
      </c>
      <c r="B542" s="25" t="s">
        <v>45</v>
      </c>
      <c r="C542" s="39" t="str">
        <f t="shared" si="16"/>
        <v>205</v>
      </c>
      <c r="D542" s="39" t="str">
        <f t="shared" si="17"/>
        <v>20509</v>
      </c>
      <c r="E542" s="39">
        <f>IF(ISNA(VLOOKUP(F542,'2020功能科目'!A:B,2,FALSE)),"",VLOOKUP(F542,'2020功能科目'!A:B,2,FALSE))</f>
        <v>2050904</v>
      </c>
      <c r="F542" s="25" t="s">
        <v>380</v>
      </c>
      <c r="G542" s="26">
        <v>1006057</v>
      </c>
      <c r="H542" s="26">
        <v>1006057</v>
      </c>
    </row>
    <row r="543" spans="1:8">
      <c r="A543" s="24">
        <v>255058</v>
      </c>
      <c r="B543" s="25" t="s">
        <v>45</v>
      </c>
      <c r="C543" s="39" t="str">
        <f t="shared" si="16"/>
        <v>208</v>
      </c>
      <c r="D543" s="39" t="str">
        <f t="shared" si="17"/>
        <v>20805</v>
      </c>
      <c r="E543" s="39">
        <f>IF(ISNA(VLOOKUP(F543,'2020功能科目'!A:B,2,FALSE)),"",VLOOKUP(F543,'2020功能科目'!A:B,2,FALSE))</f>
        <v>2080502</v>
      </c>
      <c r="F543" s="25" t="s">
        <v>381</v>
      </c>
      <c r="G543" s="26">
        <v>1082718</v>
      </c>
      <c r="H543" s="26">
        <v>916776</v>
      </c>
    </row>
    <row r="544" spans="1:8">
      <c r="A544" s="24">
        <v>255058</v>
      </c>
      <c r="B544" s="25" t="s">
        <v>45</v>
      </c>
      <c r="C544" s="39" t="str">
        <f t="shared" si="16"/>
        <v>208</v>
      </c>
      <c r="D544" s="39" t="str">
        <f t="shared" si="17"/>
        <v>20805</v>
      </c>
      <c r="E544" s="39">
        <f>IF(ISNA(VLOOKUP(F544,'2020功能科目'!A:B,2,FALSE)),"",VLOOKUP(F544,'2020功能科目'!A:B,2,FALSE))</f>
        <v>2080505</v>
      </c>
      <c r="F544" s="25" t="s">
        <v>382</v>
      </c>
      <c r="G544" s="26">
        <v>2558197.12</v>
      </c>
      <c r="H544" s="26">
        <v>2676011.52</v>
      </c>
    </row>
    <row r="545" spans="1:8">
      <c r="A545" s="24">
        <v>255058</v>
      </c>
      <c r="B545" s="25" t="s">
        <v>45</v>
      </c>
      <c r="C545" s="39" t="str">
        <f t="shared" si="16"/>
        <v>208</v>
      </c>
      <c r="D545" s="39" t="str">
        <f t="shared" si="17"/>
        <v>20805</v>
      </c>
      <c r="E545" s="39">
        <f>IF(ISNA(VLOOKUP(F545,'2020功能科目'!A:B,2,FALSE)),"",VLOOKUP(F545,'2020功能科目'!A:B,2,FALSE))</f>
        <v>2080506</v>
      </c>
      <c r="F545" s="25" t="s">
        <v>383</v>
      </c>
      <c r="G545" s="26">
        <v>1279098.56</v>
      </c>
      <c r="H545" s="26">
        <v>1338005.76</v>
      </c>
    </row>
    <row r="546" spans="1:8">
      <c r="A546" s="24">
        <v>255058</v>
      </c>
      <c r="B546" s="25" t="s">
        <v>45</v>
      </c>
      <c r="C546" s="39" t="str">
        <f t="shared" si="16"/>
        <v>210</v>
      </c>
      <c r="D546" s="39" t="str">
        <f t="shared" si="17"/>
        <v>21011</v>
      </c>
      <c r="E546" s="39">
        <f>IF(ISNA(VLOOKUP(F546,'2020功能科目'!A:B,2,FALSE)),"",VLOOKUP(F546,'2020功能科目'!A:B,2,FALSE))</f>
        <v>2101102</v>
      </c>
      <c r="F546" s="25" t="s">
        <v>385</v>
      </c>
      <c r="G546" s="26">
        <v>2504366.4</v>
      </c>
      <c r="H546" s="26">
        <v>2174259.36</v>
      </c>
    </row>
    <row r="547" spans="1:8">
      <c r="A547" s="24">
        <v>255058</v>
      </c>
      <c r="B547" s="25" t="s">
        <v>45</v>
      </c>
      <c r="C547" s="39" t="str">
        <f t="shared" si="16"/>
        <v>221</v>
      </c>
      <c r="D547" s="39" t="str">
        <f t="shared" si="17"/>
        <v>22102</v>
      </c>
      <c r="E547" s="39">
        <f>IF(ISNA(VLOOKUP(F547,'2020功能科目'!A:B,2,FALSE)),"",VLOOKUP(F547,'2020功能科目'!A:B,2,FALSE))</f>
        <v>2210201</v>
      </c>
      <c r="F547" s="25" t="s">
        <v>387</v>
      </c>
      <c r="G547" s="26">
        <v>2957058</v>
      </c>
      <c r="H547" s="26">
        <v>2751008.64</v>
      </c>
    </row>
    <row r="548" spans="1:8">
      <c r="A548" s="24">
        <v>255058</v>
      </c>
      <c r="B548" s="25" t="s">
        <v>45</v>
      </c>
      <c r="C548" s="39" t="str">
        <f t="shared" si="16"/>
        <v>221</v>
      </c>
      <c r="D548" s="39" t="str">
        <f t="shared" si="17"/>
        <v>22102</v>
      </c>
      <c r="E548" s="39">
        <f>IF(ISNA(VLOOKUP(F548,'2020功能科目'!A:B,2,FALSE)),"",VLOOKUP(F548,'2020功能科目'!A:B,2,FALSE))</f>
        <v>2210202</v>
      </c>
      <c r="F548" s="25" t="s">
        <v>388</v>
      </c>
      <c r="G548" s="26">
        <v>197480</v>
      </c>
      <c r="H548" s="26">
        <v>197640</v>
      </c>
    </row>
    <row r="549" spans="1:8">
      <c r="A549" s="24">
        <v>255058</v>
      </c>
      <c r="B549" s="25" t="s">
        <v>45</v>
      </c>
      <c r="C549" s="39" t="str">
        <f t="shared" si="16"/>
        <v>221</v>
      </c>
      <c r="D549" s="39" t="str">
        <f t="shared" si="17"/>
        <v>22102</v>
      </c>
      <c r="E549" s="39">
        <f>IF(ISNA(VLOOKUP(F549,'2020功能科目'!A:B,2,FALSE)),"",VLOOKUP(F549,'2020功能科目'!A:B,2,FALSE))</f>
        <v>2210203</v>
      </c>
      <c r="F549" s="25" t="s">
        <v>389</v>
      </c>
      <c r="G549" s="26">
        <v>3206585</v>
      </c>
      <c r="H549" s="26">
        <v>3135984</v>
      </c>
    </row>
    <row r="550" spans="1:8">
      <c r="A550" s="24">
        <v>255059</v>
      </c>
      <c r="B550" s="25" t="s">
        <v>46</v>
      </c>
      <c r="C550" s="39" t="str">
        <f t="shared" si="16"/>
        <v>205</v>
      </c>
      <c r="D550" s="39" t="str">
        <f t="shared" si="17"/>
        <v>20502</v>
      </c>
      <c r="E550" s="39">
        <f>IF(ISNA(VLOOKUP(F550,'2020功能科目'!A:B,2,FALSE)),"",VLOOKUP(F550,'2020功能科目'!A:B,2,FALSE))</f>
        <v>2050202</v>
      </c>
      <c r="F550" s="25" t="s">
        <v>375</v>
      </c>
      <c r="G550" s="26">
        <v>17548417.710000001</v>
      </c>
      <c r="H550" s="26">
        <v>13160133.039999999</v>
      </c>
    </row>
    <row r="551" spans="1:8">
      <c r="A551" s="24">
        <v>255059</v>
      </c>
      <c r="B551" s="25" t="s">
        <v>46</v>
      </c>
      <c r="C551" s="39" t="str">
        <f t="shared" si="16"/>
        <v>205</v>
      </c>
      <c r="D551" s="39" t="str">
        <f t="shared" si="17"/>
        <v>20502</v>
      </c>
      <c r="E551" s="39">
        <f>IF(ISNA(VLOOKUP(F551,'2020功能科目'!A:B,2,FALSE)),"",VLOOKUP(F551,'2020功能科目'!A:B,2,FALSE))</f>
        <v>2050299</v>
      </c>
      <c r="F551" s="25" t="s">
        <v>377</v>
      </c>
      <c r="G551" s="26">
        <v>57400</v>
      </c>
      <c r="H551" s="26">
        <v>0</v>
      </c>
    </row>
    <row r="552" spans="1:8">
      <c r="A552" s="24">
        <v>255059</v>
      </c>
      <c r="B552" s="25" t="s">
        <v>46</v>
      </c>
      <c r="C552" s="39" t="str">
        <f t="shared" si="16"/>
        <v>205</v>
      </c>
      <c r="D552" s="39" t="str">
        <f t="shared" si="17"/>
        <v>20508</v>
      </c>
      <c r="E552" s="39">
        <f>IF(ISNA(VLOOKUP(F552,'2020功能科目'!A:B,2,FALSE)),"",VLOOKUP(F552,'2020功能科目'!A:B,2,FALSE))</f>
        <v>2050803</v>
      </c>
      <c r="F552" s="25" t="s">
        <v>378</v>
      </c>
      <c r="G552" s="26">
        <v>0</v>
      </c>
      <c r="H552" s="26">
        <v>44000</v>
      </c>
    </row>
    <row r="553" spans="1:8">
      <c r="A553" s="24">
        <v>255059</v>
      </c>
      <c r="B553" s="25" t="s">
        <v>46</v>
      </c>
      <c r="C553" s="39" t="str">
        <f t="shared" si="16"/>
        <v>205</v>
      </c>
      <c r="D553" s="39" t="str">
        <f t="shared" si="17"/>
        <v>20509</v>
      </c>
      <c r="E553" s="39">
        <f>IF(ISNA(VLOOKUP(F553,'2020功能科目'!A:B,2,FALSE)),"",VLOOKUP(F553,'2020功能科目'!A:B,2,FALSE))</f>
        <v>2050903</v>
      </c>
      <c r="F553" s="25" t="s">
        <v>379</v>
      </c>
      <c r="G553" s="26">
        <v>1123116.98</v>
      </c>
      <c r="H553" s="26">
        <v>1270000</v>
      </c>
    </row>
    <row r="554" spans="1:8">
      <c r="A554" s="24">
        <v>255059</v>
      </c>
      <c r="B554" s="25" t="s">
        <v>46</v>
      </c>
      <c r="C554" s="39" t="str">
        <f t="shared" si="16"/>
        <v>205</v>
      </c>
      <c r="D554" s="39" t="str">
        <f t="shared" si="17"/>
        <v>20509</v>
      </c>
      <c r="E554" s="39">
        <f>IF(ISNA(VLOOKUP(F554,'2020功能科目'!A:B,2,FALSE)),"",VLOOKUP(F554,'2020功能科目'!A:B,2,FALSE))</f>
        <v>2050904</v>
      </c>
      <c r="F554" s="25" t="s">
        <v>380</v>
      </c>
      <c r="G554" s="26">
        <v>147554.79999999999</v>
      </c>
      <c r="H554" s="26">
        <v>147554.79999999999</v>
      </c>
    </row>
    <row r="555" spans="1:8">
      <c r="A555" s="24">
        <v>255059</v>
      </c>
      <c r="B555" s="25" t="s">
        <v>46</v>
      </c>
      <c r="C555" s="39" t="str">
        <f t="shared" si="16"/>
        <v>208</v>
      </c>
      <c r="D555" s="39" t="str">
        <f t="shared" si="17"/>
        <v>20805</v>
      </c>
      <c r="E555" s="39">
        <f>IF(ISNA(VLOOKUP(F555,'2020功能科目'!A:B,2,FALSE)),"",VLOOKUP(F555,'2020功能科目'!A:B,2,FALSE))</f>
        <v>2080502</v>
      </c>
      <c r="F555" s="25" t="s">
        <v>381</v>
      </c>
      <c r="G555" s="26">
        <v>2900010</v>
      </c>
      <c r="H555" s="26">
        <v>2037612</v>
      </c>
    </row>
    <row r="556" spans="1:8">
      <c r="A556" s="24">
        <v>255059</v>
      </c>
      <c r="B556" s="25" t="s">
        <v>46</v>
      </c>
      <c r="C556" s="39" t="str">
        <f t="shared" si="16"/>
        <v>208</v>
      </c>
      <c r="D556" s="39" t="str">
        <f t="shared" si="17"/>
        <v>20805</v>
      </c>
      <c r="E556" s="39">
        <f>IF(ISNA(VLOOKUP(F556,'2020功能科目'!A:B,2,FALSE)),"",VLOOKUP(F556,'2020功能科目'!A:B,2,FALSE))</f>
        <v>2080505</v>
      </c>
      <c r="F556" s="25" t="s">
        <v>382</v>
      </c>
      <c r="G556" s="26">
        <v>1093793.6000000001</v>
      </c>
      <c r="H556" s="26">
        <v>1072300.8</v>
      </c>
    </row>
    <row r="557" spans="1:8">
      <c r="A557" s="24">
        <v>255059</v>
      </c>
      <c r="B557" s="25" t="s">
        <v>46</v>
      </c>
      <c r="C557" s="39" t="str">
        <f t="shared" si="16"/>
        <v>208</v>
      </c>
      <c r="D557" s="39" t="str">
        <f t="shared" si="17"/>
        <v>20805</v>
      </c>
      <c r="E557" s="39">
        <f>IF(ISNA(VLOOKUP(F557,'2020功能科目'!A:B,2,FALSE)),"",VLOOKUP(F557,'2020功能科目'!A:B,2,FALSE))</f>
        <v>2080506</v>
      </c>
      <c r="F557" s="25" t="s">
        <v>383</v>
      </c>
      <c r="G557" s="26">
        <v>546896.80000000005</v>
      </c>
      <c r="H557" s="26">
        <v>536150.4</v>
      </c>
    </row>
    <row r="558" spans="1:8">
      <c r="A558" s="24">
        <v>255059</v>
      </c>
      <c r="B558" s="25" t="s">
        <v>46</v>
      </c>
      <c r="C558" s="39" t="str">
        <f t="shared" si="16"/>
        <v>210</v>
      </c>
      <c r="D558" s="39" t="str">
        <f t="shared" si="17"/>
        <v>21011</v>
      </c>
      <c r="E558" s="39">
        <f>IF(ISNA(VLOOKUP(F558,'2020功能科目'!A:B,2,FALSE)),"",VLOOKUP(F558,'2020功能科目'!A:B,2,FALSE))</f>
        <v>2101102</v>
      </c>
      <c r="F558" s="25" t="s">
        <v>385</v>
      </c>
      <c r="G558" s="26">
        <v>890228.3</v>
      </c>
      <c r="H558" s="26">
        <v>871244.4</v>
      </c>
    </row>
    <row r="559" spans="1:8">
      <c r="A559" s="24">
        <v>255059</v>
      </c>
      <c r="B559" s="25" t="s">
        <v>46</v>
      </c>
      <c r="C559" s="39" t="str">
        <f t="shared" si="16"/>
        <v>221</v>
      </c>
      <c r="D559" s="39" t="str">
        <f t="shared" si="17"/>
        <v>22102</v>
      </c>
      <c r="E559" s="39">
        <f>IF(ISNA(VLOOKUP(F559,'2020功能科目'!A:B,2,FALSE)),"",VLOOKUP(F559,'2020功能科目'!A:B,2,FALSE))</f>
        <v>2210201</v>
      </c>
      <c r="F559" s="25" t="s">
        <v>387</v>
      </c>
      <c r="G559" s="26">
        <v>1151257.6000000001</v>
      </c>
      <c r="H559" s="26">
        <v>1134225.6000000001</v>
      </c>
    </row>
    <row r="560" spans="1:8">
      <c r="A560" s="24">
        <v>255059</v>
      </c>
      <c r="B560" s="25" t="s">
        <v>46</v>
      </c>
      <c r="C560" s="39" t="str">
        <f t="shared" si="16"/>
        <v>221</v>
      </c>
      <c r="D560" s="39" t="str">
        <f t="shared" si="17"/>
        <v>22102</v>
      </c>
      <c r="E560" s="39">
        <f>IF(ISNA(VLOOKUP(F560,'2020功能科目'!A:B,2,FALSE)),"",VLOOKUP(F560,'2020功能科目'!A:B,2,FALSE))</f>
        <v>2210202</v>
      </c>
      <c r="F560" s="25" t="s">
        <v>388</v>
      </c>
      <c r="G560" s="26">
        <v>241360</v>
      </c>
      <c r="H560" s="26">
        <v>241560</v>
      </c>
    </row>
    <row r="561" spans="1:8">
      <c r="A561" s="24">
        <v>255059</v>
      </c>
      <c r="B561" s="25" t="s">
        <v>46</v>
      </c>
      <c r="C561" s="39" t="str">
        <f t="shared" si="16"/>
        <v>221</v>
      </c>
      <c r="D561" s="39" t="str">
        <f t="shared" si="17"/>
        <v>22102</v>
      </c>
      <c r="E561" s="39">
        <f>IF(ISNA(VLOOKUP(F561,'2020功能科目'!A:B,2,FALSE)),"",VLOOKUP(F561,'2020功能科目'!A:B,2,FALSE))</f>
        <v>2210203</v>
      </c>
      <c r="F561" s="25" t="s">
        <v>389</v>
      </c>
      <c r="G561" s="26">
        <v>1198974</v>
      </c>
      <c r="H561" s="26">
        <v>1150728</v>
      </c>
    </row>
    <row r="562" spans="1:8">
      <c r="A562" s="24">
        <v>255060</v>
      </c>
      <c r="B562" s="25" t="s">
        <v>47</v>
      </c>
      <c r="C562" s="39" t="str">
        <f t="shared" si="16"/>
        <v>205</v>
      </c>
      <c r="D562" s="39" t="str">
        <f t="shared" si="17"/>
        <v>20502</v>
      </c>
      <c r="E562" s="39">
        <f>IF(ISNA(VLOOKUP(F562,'2020功能科目'!A:B,2,FALSE)),"",VLOOKUP(F562,'2020功能科目'!A:B,2,FALSE))</f>
        <v>2050202</v>
      </c>
      <c r="F562" s="25" t="s">
        <v>375</v>
      </c>
      <c r="G562" s="26">
        <v>20489069.77</v>
      </c>
      <c r="H562" s="26">
        <v>15984247.57</v>
      </c>
    </row>
    <row r="563" spans="1:8">
      <c r="A563" s="24">
        <v>255060</v>
      </c>
      <c r="B563" s="25" t="s">
        <v>47</v>
      </c>
      <c r="C563" s="39" t="str">
        <f t="shared" si="16"/>
        <v>205</v>
      </c>
      <c r="D563" s="39" t="str">
        <f t="shared" si="17"/>
        <v>20502</v>
      </c>
      <c r="E563" s="39">
        <f>IF(ISNA(VLOOKUP(F563,'2020功能科目'!A:B,2,FALSE)),"",VLOOKUP(F563,'2020功能科目'!A:B,2,FALSE))</f>
        <v>2050299</v>
      </c>
      <c r="F563" s="25" t="s">
        <v>377</v>
      </c>
      <c r="G563" s="26">
        <v>199879.76</v>
      </c>
      <c r="H563" s="26">
        <v>145001.03</v>
      </c>
    </row>
    <row r="564" spans="1:8">
      <c r="A564" s="24">
        <v>255060</v>
      </c>
      <c r="B564" s="25" t="s">
        <v>47</v>
      </c>
      <c r="C564" s="39" t="str">
        <f t="shared" si="16"/>
        <v>205</v>
      </c>
      <c r="D564" s="39" t="str">
        <f t="shared" si="17"/>
        <v>20508</v>
      </c>
      <c r="E564" s="39">
        <f>IF(ISNA(VLOOKUP(F564,'2020功能科目'!A:B,2,FALSE)),"",VLOOKUP(F564,'2020功能科目'!A:B,2,FALSE))</f>
        <v>2050803</v>
      </c>
      <c r="F564" s="25" t="s">
        <v>378</v>
      </c>
      <c r="G564" s="26">
        <v>0</v>
      </c>
      <c r="H564" s="26">
        <v>48800</v>
      </c>
    </row>
    <row r="565" spans="1:8">
      <c r="A565" s="24">
        <v>255060</v>
      </c>
      <c r="B565" s="25" t="s">
        <v>47</v>
      </c>
      <c r="C565" s="39" t="str">
        <f t="shared" si="16"/>
        <v>205</v>
      </c>
      <c r="D565" s="39" t="str">
        <f t="shared" si="17"/>
        <v>20509</v>
      </c>
      <c r="E565" s="39">
        <f>IF(ISNA(VLOOKUP(F565,'2020功能科目'!A:B,2,FALSE)),"",VLOOKUP(F565,'2020功能科目'!A:B,2,FALSE))</f>
        <v>2050903</v>
      </c>
      <c r="F565" s="25" t="s">
        <v>379</v>
      </c>
      <c r="G565" s="26">
        <v>489998.9</v>
      </c>
      <c r="H565" s="26">
        <v>700000</v>
      </c>
    </row>
    <row r="566" spans="1:8">
      <c r="A566" s="24">
        <v>255060</v>
      </c>
      <c r="B566" s="25" t="s">
        <v>47</v>
      </c>
      <c r="C566" s="39" t="str">
        <f t="shared" si="16"/>
        <v>205</v>
      </c>
      <c r="D566" s="39" t="str">
        <f t="shared" si="17"/>
        <v>20509</v>
      </c>
      <c r="E566" s="39">
        <f>IF(ISNA(VLOOKUP(F566,'2020功能科目'!A:B,2,FALSE)),"",VLOOKUP(F566,'2020功能科目'!A:B,2,FALSE))</f>
        <v>2050904</v>
      </c>
      <c r="F566" s="25" t="s">
        <v>380</v>
      </c>
      <c r="G566" s="26">
        <v>29518.5</v>
      </c>
      <c r="H566" s="26">
        <v>30999</v>
      </c>
    </row>
    <row r="567" spans="1:8">
      <c r="A567" s="24">
        <v>255060</v>
      </c>
      <c r="B567" s="25" t="s">
        <v>47</v>
      </c>
      <c r="C567" s="39" t="str">
        <f t="shared" si="16"/>
        <v>208</v>
      </c>
      <c r="D567" s="39" t="str">
        <f t="shared" si="17"/>
        <v>20805</v>
      </c>
      <c r="E567" s="39">
        <f>IF(ISNA(VLOOKUP(F567,'2020功能科目'!A:B,2,FALSE)),"",VLOOKUP(F567,'2020功能科目'!A:B,2,FALSE))</f>
        <v>2080502</v>
      </c>
      <c r="F567" s="25" t="s">
        <v>381</v>
      </c>
      <c r="G567" s="26">
        <v>1295831.6000000001</v>
      </c>
      <c r="H567" s="26">
        <v>1154663.6000000001</v>
      </c>
    </row>
    <row r="568" spans="1:8">
      <c r="A568" s="24">
        <v>255060</v>
      </c>
      <c r="B568" s="25" t="s">
        <v>47</v>
      </c>
      <c r="C568" s="39" t="str">
        <f t="shared" si="16"/>
        <v>208</v>
      </c>
      <c r="D568" s="39" t="str">
        <f t="shared" si="17"/>
        <v>20805</v>
      </c>
      <c r="E568" s="39">
        <f>IF(ISNA(VLOOKUP(F568,'2020功能科目'!A:B,2,FALSE)),"",VLOOKUP(F568,'2020功能科目'!A:B,2,FALSE))</f>
        <v>2080505</v>
      </c>
      <c r="F568" s="25" t="s">
        <v>382</v>
      </c>
      <c r="G568" s="26">
        <v>1520636.16</v>
      </c>
      <c r="H568" s="26">
        <v>1390203.2</v>
      </c>
    </row>
    <row r="569" spans="1:8">
      <c r="A569" s="24">
        <v>255060</v>
      </c>
      <c r="B569" s="25" t="s">
        <v>47</v>
      </c>
      <c r="C569" s="39" t="str">
        <f t="shared" si="16"/>
        <v>208</v>
      </c>
      <c r="D569" s="39" t="str">
        <f t="shared" si="17"/>
        <v>20805</v>
      </c>
      <c r="E569" s="39">
        <f>IF(ISNA(VLOOKUP(F569,'2020功能科目'!A:B,2,FALSE)),"",VLOOKUP(F569,'2020功能科目'!A:B,2,FALSE))</f>
        <v>2080506</v>
      </c>
      <c r="F569" s="25" t="s">
        <v>383</v>
      </c>
      <c r="G569" s="26">
        <v>760318.08</v>
      </c>
      <c r="H569" s="26">
        <v>695101.6</v>
      </c>
    </row>
    <row r="570" spans="1:8">
      <c r="A570" s="24">
        <v>255060</v>
      </c>
      <c r="B570" s="25" t="s">
        <v>47</v>
      </c>
      <c r="C570" s="39" t="str">
        <f t="shared" si="16"/>
        <v>210</v>
      </c>
      <c r="D570" s="39" t="str">
        <f t="shared" si="17"/>
        <v>21011</v>
      </c>
      <c r="E570" s="39">
        <f>IF(ISNA(VLOOKUP(F570,'2020功能科目'!A:B,2,FALSE)),"",VLOOKUP(F570,'2020功能科目'!A:B,2,FALSE))</f>
        <v>2101102</v>
      </c>
      <c r="F570" s="25" t="s">
        <v>385</v>
      </c>
      <c r="G570" s="26">
        <v>1273213.97</v>
      </c>
      <c r="H570" s="26">
        <v>1129540.1000000001</v>
      </c>
    </row>
    <row r="571" spans="1:8">
      <c r="A571" s="24">
        <v>255060</v>
      </c>
      <c r="B571" s="25" t="s">
        <v>47</v>
      </c>
      <c r="C571" s="39" t="str">
        <f t="shared" si="16"/>
        <v>210</v>
      </c>
      <c r="D571" s="39" t="str">
        <f t="shared" si="17"/>
        <v>21011</v>
      </c>
      <c r="E571" s="39">
        <f>IF(ISNA(VLOOKUP(F571,'2020功能科目'!A:B,2,FALSE)),"",VLOOKUP(F571,'2020功能科目'!A:B,2,FALSE))</f>
        <v>2101199</v>
      </c>
      <c r="F571" s="25" t="s">
        <v>386</v>
      </c>
      <c r="G571" s="26">
        <v>180000</v>
      </c>
      <c r="H571" s="26">
        <v>180000</v>
      </c>
    </row>
    <row r="572" spans="1:8">
      <c r="A572" s="24">
        <v>255060</v>
      </c>
      <c r="B572" s="25" t="s">
        <v>47</v>
      </c>
      <c r="C572" s="39" t="str">
        <f t="shared" si="16"/>
        <v>221</v>
      </c>
      <c r="D572" s="39" t="str">
        <f t="shared" si="17"/>
        <v>22102</v>
      </c>
      <c r="E572" s="39">
        <f>IF(ISNA(VLOOKUP(F572,'2020功能科目'!A:B,2,FALSE)),"",VLOOKUP(F572,'2020功能科目'!A:B,2,FALSE))</f>
        <v>2210201</v>
      </c>
      <c r="F572" s="25" t="s">
        <v>387</v>
      </c>
      <c r="G572" s="26">
        <v>1458406</v>
      </c>
      <c r="H572" s="26">
        <v>1408652.4</v>
      </c>
    </row>
    <row r="573" spans="1:8">
      <c r="A573" s="24">
        <v>255060</v>
      </c>
      <c r="B573" s="25" t="s">
        <v>47</v>
      </c>
      <c r="C573" s="39" t="str">
        <f t="shared" si="16"/>
        <v>221</v>
      </c>
      <c r="D573" s="39" t="str">
        <f t="shared" si="17"/>
        <v>22102</v>
      </c>
      <c r="E573" s="39">
        <f>IF(ISNA(VLOOKUP(F573,'2020功能科目'!A:B,2,FALSE)),"",VLOOKUP(F573,'2020功能科目'!A:B,2,FALSE))</f>
        <v>2210202</v>
      </c>
      <c r="F573" s="25" t="s">
        <v>388</v>
      </c>
      <c r="G573" s="26">
        <v>126080</v>
      </c>
      <c r="H573" s="26">
        <v>127440</v>
      </c>
    </row>
    <row r="574" spans="1:8">
      <c r="A574" s="24">
        <v>255060</v>
      </c>
      <c r="B574" s="25" t="s">
        <v>47</v>
      </c>
      <c r="C574" s="39" t="str">
        <f t="shared" si="16"/>
        <v>221</v>
      </c>
      <c r="D574" s="39" t="str">
        <f t="shared" si="17"/>
        <v>22102</v>
      </c>
      <c r="E574" s="39">
        <f>IF(ISNA(VLOOKUP(F574,'2020功能科目'!A:B,2,FALSE)),"",VLOOKUP(F574,'2020功能科目'!A:B,2,FALSE))</f>
        <v>2210203</v>
      </c>
      <c r="F574" s="25" t="s">
        <v>389</v>
      </c>
      <c r="G574" s="26">
        <v>1548797</v>
      </c>
      <c r="H574" s="26">
        <v>1518804</v>
      </c>
    </row>
    <row r="575" spans="1:8">
      <c r="A575" s="24">
        <v>255061</v>
      </c>
      <c r="B575" s="25" t="s">
        <v>48</v>
      </c>
      <c r="C575" s="39" t="str">
        <f t="shared" si="16"/>
        <v>205</v>
      </c>
      <c r="D575" s="39" t="str">
        <f t="shared" si="17"/>
        <v>20502</v>
      </c>
      <c r="E575" s="39">
        <f>IF(ISNA(VLOOKUP(F575,'2020功能科目'!A:B,2,FALSE)),"",VLOOKUP(F575,'2020功能科目'!A:B,2,FALSE))</f>
        <v>2050202</v>
      </c>
      <c r="F575" s="25" t="s">
        <v>375</v>
      </c>
      <c r="G575" s="26">
        <v>81114235.180000007</v>
      </c>
      <c r="H575" s="26">
        <v>58437197.969999999</v>
      </c>
    </row>
    <row r="576" spans="1:8">
      <c r="A576" s="24">
        <v>255061</v>
      </c>
      <c r="B576" s="25" t="s">
        <v>48</v>
      </c>
      <c r="C576" s="39" t="str">
        <f t="shared" si="16"/>
        <v>205</v>
      </c>
      <c r="D576" s="39" t="str">
        <f t="shared" si="17"/>
        <v>20502</v>
      </c>
      <c r="E576" s="39">
        <f>IF(ISNA(VLOOKUP(F576,'2020功能科目'!A:B,2,FALSE)),"",VLOOKUP(F576,'2020功能科目'!A:B,2,FALSE))</f>
        <v>2050299</v>
      </c>
      <c r="F576" s="25" t="s">
        <v>377</v>
      </c>
      <c r="G576" s="26">
        <v>294210</v>
      </c>
      <c r="H576" s="26">
        <v>387200</v>
      </c>
    </row>
    <row r="577" spans="1:8">
      <c r="A577" s="24">
        <v>255061</v>
      </c>
      <c r="B577" s="25" t="s">
        <v>48</v>
      </c>
      <c r="C577" s="39" t="str">
        <f t="shared" si="16"/>
        <v>205</v>
      </c>
      <c r="D577" s="39" t="str">
        <f t="shared" si="17"/>
        <v>20508</v>
      </c>
      <c r="E577" s="39">
        <f>IF(ISNA(VLOOKUP(F577,'2020功能科目'!A:B,2,FALSE)),"",VLOOKUP(F577,'2020功能科目'!A:B,2,FALSE))</f>
        <v>2050803</v>
      </c>
      <c r="F577" s="25" t="s">
        <v>378</v>
      </c>
      <c r="G577" s="26">
        <v>5600</v>
      </c>
      <c r="H577" s="26">
        <v>166400</v>
      </c>
    </row>
    <row r="578" spans="1:8">
      <c r="A578" s="24">
        <v>255061</v>
      </c>
      <c r="B578" s="25" t="s">
        <v>48</v>
      </c>
      <c r="C578" s="39" t="str">
        <f t="shared" si="16"/>
        <v>205</v>
      </c>
      <c r="D578" s="39" t="str">
        <f t="shared" si="17"/>
        <v>20509</v>
      </c>
      <c r="E578" s="39">
        <f>IF(ISNA(VLOOKUP(F578,'2020功能科目'!A:B,2,FALSE)),"",VLOOKUP(F578,'2020功能科目'!A:B,2,FALSE))</f>
        <v>2050903</v>
      </c>
      <c r="F578" s="25" t="s">
        <v>379</v>
      </c>
      <c r="G578" s="26">
        <v>571417.19999999995</v>
      </c>
      <c r="H578" s="26">
        <v>930000</v>
      </c>
    </row>
    <row r="579" spans="1:8">
      <c r="A579" s="24">
        <v>255061</v>
      </c>
      <c r="B579" s="25" t="s">
        <v>48</v>
      </c>
      <c r="C579" s="39" t="str">
        <f t="shared" ref="C579:C642" si="18">LEFT(D579,3)</f>
        <v>205</v>
      </c>
      <c r="D579" s="39" t="str">
        <f t="shared" ref="D579:D642" si="19">LEFT(E579,5)</f>
        <v>20509</v>
      </c>
      <c r="E579" s="39">
        <f>IF(ISNA(VLOOKUP(F579,'2020功能科目'!A:B,2,FALSE)),"",VLOOKUP(F579,'2020功能科目'!A:B,2,FALSE))</f>
        <v>2050904</v>
      </c>
      <c r="F579" s="25" t="s">
        <v>380</v>
      </c>
      <c r="G579" s="26">
        <v>3500903</v>
      </c>
      <c r="H579" s="26">
        <v>3541140</v>
      </c>
    </row>
    <row r="580" spans="1:8">
      <c r="A580" s="24">
        <v>255061</v>
      </c>
      <c r="B580" s="25" t="s">
        <v>48</v>
      </c>
      <c r="C580" s="39" t="str">
        <f t="shared" si="18"/>
        <v>208</v>
      </c>
      <c r="D580" s="39" t="str">
        <f t="shared" si="19"/>
        <v>20805</v>
      </c>
      <c r="E580" s="39">
        <f>IF(ISNA(VLOOKUP(F580,'2020功能科目'!A:B,2,FALSE)),"",VLOOKUP(F580,'2020功能科目'!A:B,2,FALSE))</f>
        <v>2080502</v>
      </c>
      <c r="F580" s="25" t="s">
        <v>381</v>
      </c>
      <c r="G580" s="26">
        <v>1621214</v>
      </c>
      <c r="H580" s="26">
        <v>1464372</v>
      </c>
    </row>
    <row r="581" spans="1:8">
      <c r="A581" s="24">
        <v>255061</v>
      </c>
      <c r="B581" s="25" t="s">
        <v>48</v>
      </c>
      <c r="C581" s="39" t="str">
        <f t="shared" si="18"/>
        <v>208</v>
      </c>
      <c r="D581" s="39" t="str">
        <f t="shared" si="19"/>
        <v>20805</v>
      </c>
      <c r="E581" s="39">
        <f>IF(ISNA(VLOOKUP(F581,'2020功能科目'!A:B,2,FALSE)),"",VLOOKUP(F581,'2020功能科目'!A:B,2,FALSE))</f>
        <v>2080505</v>
      </c>
      <c r="F581" s="25" t="s">
        <v>382</v>
      </c>
      <c r="G581" s="26">
        <v>4439602.5599999996</v>
      </c>
      <c r="H581" s="26">
        <v>4980665.5999999996</v>
      </c>
    </row>
    <row r="582" spans="1:8">
      <c r="A582" s="24">
        <v>255061</v>
      </c>
      <c r="B582" s="25" t="s">
        <v>48</v>
      </c>
      <c r="C582" s="39" t="str">
        <f t="shared" si="18"/>
        <v>208</v>
      </c>
      <c r="D582" s="39" t="str">
        <f t="shared" si="19"/>
        <v>20805</v>
      </c>
      <c r="E582" s="39">
        <f>IF(ISNA(VLOOKUP(F582,'2020功能科目'!A:B,2,FALSE)),"",VLOOKUP(F582,'2020功能科目'!A:B,2,FALSE))</f>
        <v>2080506</v>
      </c>
      <c r="F582" s="25" t="s">
        <v>383</v>
      </c>
      <c r="G582" s="26">
        <v>2219801.2799999998</v>
      </c>
      <c r="H582" s="26">
        <v>2490332.7999999998</v>
      </c>
    </row>
    <row r="583" spans="1:8">
      <c r="A583" s="24">
        <v>255061</v>
      </c>
      <c r="B583" s="25" t="s">
        <v>48</v>
      </c>
      <c r="C583" s="39" t="str">
        <f t="shared" si="18"/>
        <v>210</v>
      </c>
      <c r="D583" s="39" t="str">
        <f t="shared" si="19"/>
        <v>21011</v>
      </c>
      <c r="E583" s="39">
        <f>IF(ISNA(VLOOKUP(F583,'2020功能科目'!A:B,2,FALSE)),"",VLOOKUP(F583,'2020功能科目'!A:B,2,FALSE))</f>
        <v>2101102</v>
      </c>
      <c r="F583" s="25" t="s">
        <v>385</v>
      </c>
      <c r="G583" s="26">
        <v>4214838.2300000004</v>
      </c>
      <c r="H583" s="26">
        <v>4046790.8</v>
      </c>
    </row>
    <row r="584" spans="1:8">
      <c r="A584" s="24">
        <v>255061</v>
      </c>
      <c r="B584" s="25" t="s">
        <v>48</v>
      </c>
      <c r="C584" s="39" t="str">
        <f t="shared" si="18"/>
        <v>221</v>
      </c>
      <c r="D584" s="39" t="str">
        <f t="shared" si="19"/>
        <v>22102</v>
      </c>
      <c r="E584" s="39">
        <f>IF(ISNA(VLOOKUP(F584,'2020功能科目'!A:B,2,FALSE)),"",VLOOKUP(F584,'2020功能科目'!A:B,2,FALSE))</f>
        <v>2210201</v>
      </c>
      <c r="F584" s="25" t="s">
        <v>387</v>
      </c>
      <c r="G584" s="26">
        <v>5117615</v>
      </c>
      <c r="H584" s="26">
        <v>4983499.2</v>
      </c>
    </row>
    <row r="585" spans="1:8">
      <c r="A585" s="24">
        <v>255061</v>
      </c>
      <c r="B585" s="25" t="s">
        <v>48</v>
      </c>
      <c r="C585" s="39" t="str">
        <f t="shared" si="18"/>
        <v>221</v>
      </c>
      <c r="D585" s="39" t="str">
        <f t="shared" si="19"/>
        <v>22102</v>
      </c>
      <c r="E585" s="39">
        <f>IF(ISNA(VLOOKUP(F585,'2020功能科目'!A:B,2,FALSE)),"",VLOOKUP(F585,'2020功能科目'!A:B,2,FALSE))</f>
        <v>2210202</v>
      </c>
      <c r="F585" s="25" t="s">
        <v>388</v>
      </c>
      <c r="G585" s="26">
        <v>325520</v>
      </c>
      <c r="H585" s="26">
        <v>325920</v>
      </c>
    </row>
    <row r="586" spans="1:8">
      <c r="A586" s="24">
        <v>255061</v>
      </c>
      <c r="B586" s="25" t="s">
        <v>48</v>
      </c>
      <c r="C586" s="39" t="str">
        <f t="shared" si="18"/>
        <v>221</v>
      </c>
      <c r="D586" s="39" t="str">
        <f t="shared" si="19"/>
        <v>22102</v>
      </c>
      <c r="E586" s="39">
        <f>IF(ISNA(VLOOKUP(F586,'2020功能科目'!A:B,2,FALSE)),"",VLOOKUP(F586,'2020功能科目'!A:B,2,FALSE))</f>
        <v>2210203</v>
      </c>
      <c r="F586" s="25" t="s">
        <v>389</v>
      </c>
      <c r="G586" s="26">
        <v>5671565</v>
      </c>
      <c r="H586" s="26">
        <v>5249511</v>
      </c>
    </row>
    <row r="587" spans="1:8">
      <c r="A587" s="24">
        <v>255062</v>
      </c>
      <c r="B587" s="25" t="s">
        <v>49</v>
      </c>
      <c r="C587" s="39" t="str">
        <f t="shared" si="18"/>
        <v>205</v>
      </c>
      <c r="D587" s="39" t="str">
        <f t="shared" si="19"/>
        <v>20502</v>
      </c>
      <c r="E587" s="39">
        <f>IF(ISNA(VLOOKUP(F587,'2020功能科目'!A:B,2,FALSE)),"",VLOOKUP(F587,'2020功能科目'!A:B,2,FALSE))</f>
        <v>2050202</v>
      </c>
      <c r="F587" s="25" t="s">
        <v>375</v>
      </c>
      <c r="G587" s="26">
        <v>139050343.31</v>
      </c>
      <c r="H587" s="26">
        <v>111638114.27</v>
      </c>
    </row>
    <row r="588" spans="1:8">
      <c r="A588" s="24">
        <v>255062</v>
      </c>
      <c r="B588" s="25" t="s">
        <v>49</v>
      </c>
      <c r="C588" s="39" t="str">
        <f t="shared" si="18"/>
        <v>205</v>
      </c>
      <c r="D588" s="39" t="str">
        <f t="shared" si="19"/>
        <v>20502</v>
      </c>
      <c r="E588" s="39">
        <f>IF(ISNA(VLOOKUP(F588,'2020功能科目'!A:B,2,FALSE)),"",VLOOKUP(F588,'2020功能科目'!A:B,2,FALSE))</f>
        <v>2050299</v>
      </c>
      <c r="F588" s="25" t="s">
        <v>377</v>
      </c>
      <c r="G588" s="26">
        <v>1497900.29</v>
      </c>
      <c r="H588" s="26">
        <v>2000154.6</v>
      </c>
    </row>
    <row r="589" spans="1:8">
      <c r="A589" s="24">
        <v>255062</v>
      </c>
      <c r="B589" s="25" t="s">
        <v>49</v>
      </c>
      <c r="C589" s="39" t="str">
        <f t="shared" si="18"/>
        <v>205</v>
      </c>
      <c r="D589" s="39" t="str">
        <f t="shared" si="19"/>
        <v>20508</v>
      </c>
      <c r="E589" s="39">
        <f>IF(ISNA(VLOOKUP(F589,'2020功能科目'!A:B,2,FALSE)),"",VLOOKUP(F589,'2020功能科目'!A:B,2,FALSE))</f>
        <v>2050803</v>
      </c>
      <c r="F589" s="25" t="s">
        <v>378</v>
      </c>
      <c r="G589" s="26">
        <v>14749</v>
      </c>
      <c r="H589" s="26">
        <v>316000</v>
      </c>
    </row>
    <row r="590" spans="1:8">
      <c r="A590" s="24">
        <v>255062</v>
      </c>
      <c r="B590" s="25" t="s">
        <v>49</v>
      </c>
      <c r="C590" s="39" t="str">
        <f t="shared" si="18"/>
        <v>205</v>
      </c>
      <c r="D590" s="39" t="str">
        <f t="shared" si="19"/>
        <v>20509</v>
      </c>
      <c r="E590" s="39">
        <f>IF(ISNA(VLOOKUP(F590,'2020功能科目'!A:B,2,FALSE)),"",VLOOKUP(F590,'2020功能科目'!A:B,2,FALSE))</f>
        <v>2050903</v>
      </c>
      <c r="F590" s="25" t="s">
        <v>379</v>
      </c>
      <c r="G590" s="26">
        <v>1511075</v>
      </c>
      <c r="H590" s="26">
        <v>1838000</v>
      </c>
    </row>
    <row r="591" spans="1:8">
      <c r="A591" s="24">
        <v>255062</v>
      </c>
      <c r="B591" s="25" t="s">
        <v>49</v>
      </c>
      <c r="C591" s="39" t="str">
        <f t="shared" si="18"/>
        <v>205</v>
      </c>
      <c r="D591" s="39" t="str">
        <f t="shared" si="19"/>
        <v>20509</v>
      </c>
      <c r="E591" s="39">
        <f>IF(ISNA(VLOOKUP(F591,'2020功能科目'!A:B,2,FALSE)),"",VLOOKUP(F591,'2020功能科目'!A:B,2,FALSE))</f>
        <v>2050904</v>
      </c>
      <c r="F591" s="25" t="s">
        <v>380</v>
      </c>
      <c r="G591" s="26">
        <v>1468352.05</v>
      </c>
      <c r="H591" s="26">
        <v>1468788.29</v>
      </c>
    </row>
    <row r="592" spans="1:8">
      <c r="A592" s="24">
        <v>255062</v>
      </c>
      <c r="B592" s="25" t="s">
        <v>49</v>
      </c>
      <c r="C592" s="39" t="str">
        <f t="shared" si="18"/>
        <v>208</v>
      </c>
      <c r="D592" s="39" t="str">
        <f t="shared" si="19"/>
        <v>20805</v>
      </c>
      <c r="E592" s="39">
        <f>IF(ISNA(VLOOKUP(F592,'2020功能科目'!A:B,2,FALSE)),"",VLOOKUP(F592,'2020功能科目'!A:B,2,FALSE))</f>
        <v>2080502</v>
      </c>
      <c r="F592" s="25" t="s">
        <v>381</v>
      </c>
      <c r="G592" s="26">
        <v>5665426.6900000004</v>
      </c>
      <c r="H592" s="26">
        <v>4773153</v>
      </c>
    </row>
    <row r="593" spans="1:8">
      <c r="A593" s="24">
        <v>255062</v>
      </c>
      <c r="B593" s="25" t="s">
        <v>49</v>
      </c>
      <c r="C593" s="39" t="str">
        <f t="shared" si="18"/>
        <v>208</v>
      </c>
      <c r="D593" s="39" t="str">
        <f t="shared" si="19"/>
        <v>20805</v>
      </c>
      <c r="E593" s="39">
        <f>IF(ISNA(VLOOKUP(F593,'2020功能科目'!A:B,2,FALSE)),"",VLOOKUP(F593,'2020功能科目'!A:B,2,FALSE))</f>
        <v>2080505</v>
      </c>
      <c r="F593" s="25" t="s">
        <v>382</v>
      </c>
      <c r="G593" s="26">
        <v>9428584</v>
      </c>
      <c r="H593" s="26">
        <v>10086994.880000001</v>
      </c>
    </row>
    <row r="594" spans="1:8">
      <c r="A594" s="24">
        <v>255062</v>
      </c>
      <c r="B594" s="25" t="s">
        <v>49</v>
      </c>
      <c r="C594" s="39" t="str">
        <f t="shared" si="18"/>
        <v>208</v>
      </c>
      <c r="D594" s="39" t="str">
        <f t="shared" si="19"/>
        <v>20805</v>
      </c>
      <c r="E594" s="39">
        <f>IF(ISNA(VLOOKUP(F594,'2020功能科目'!A:B,2,FALSE)),"",VLOOKUP(F594,'2020功能科目'!A:B,2,FALSE))</f>
        <v>2080506</v>
      </c>
      <c r="F594" s="25" t="s">
        <v>383</v>
      </c>
      <c r="G594" s="26">
        <v>4712834.88</v>
      </c>
      <c r="H594" s="26">
        <v>5043497.4400000004</v>
      </c>
    </row>
    <row r="595" spans="1:8">
      <c r="A595" s="24">
        <v>255062</v>
      </c>
      <c r="B595" s="25" t="s">
        <v>49</v>
      </c>
      <c r="C595" s="39" t="str">
        <f t="shared" si="18"/>
        <v>210</v>
      </c>
      <c r="D595" s="39" t="str">
        <f t="shared" si="19"/>
        <v>21011</v>
      </c>
      <c r="E595" s="39">
        <f>IF(ISNA(VLOOKUP(F595,'2020功能科目'!A:B,2,FALSE)),"",VLOOKUP(F595,'2020功能科目'!A:B,2,FALSE))</f>
        <v>2101102</v>
      </c>
      <c r="F595" s="25" t="s">
        <v>385</v>
      </c>
      <c r="G595" s="26">
        <v>9092716.8599999994</v>
      </c>
      <c r="H595" s="26">
        <v>8195683.3399999999</v>
      </c>
    </row>
    <row r="596" spans="1:8">
      <c r="A596" s="24">
        <v>255062</v>
      </c>
      <c r="B596" s="25" t="s">
        <v>49</v>
      </c>
      <c r="C596" s="39" t="str">
        <f t="shared" si="18"/>
        <v>210</v>
      </c>
      <c r="D596" s="39" t="str">
        <f t="shared" si="19"/>
        <v>21011</v>
      </c>
      <c r="E596" s="39">
        <f>IF(ISNA(VLOOKUP(F596,'2020功能科目'!A:B,2,FALSE)),"",VLOOKUP(F596,'2020功能科目'!A:B,2,FALSE))</f>
        <v>2101199</v>
      </c>
      <c r="F596" s="25" t="s">
        <v>386</v>
      </c>
      <c r="G596" s="26">
        <v>352500</v>
      </c>
      <c r="H596" s="26">
        <v>360000</v>
      </c>
    </row>
    <row r="597" spans="1:8">
      <c r="A597" s="24">
        <v>255062</v>
      </c>
      <c r="B597" s="25" t="s">
        <v>49</v>
      </c>
      <c r="C597" s="39" t="str">
        <f t="shared" si="18"/>
        <v>221</v>
      </c>
      <c r="D597" s="39" t="str">
        <f t="shared" si="19"/>
        <v>22102</v>
      </c>
      <c r="E597" s="39">
        <f>IF(ISNA(VLOOKUP(F597,'2020功能科目'!A:B,2,FALSE)),"",VLOOKUP(F597,'2020功能科目'!A:B,2,FALSE))</f>
        <v>2210201</v>
      </c>
      <c r="F597" s="25" t="s">
        <v>387</v>
      </c>
      <c r="G597" s="26">
        <v>11451411</v>
      </c>
      <c r="H597" s="26">
        <v>9935246.1600000001</v>
      </c>
    </row>
    <row r="598" spans="1:8">
      <c r="A598" s="24">
        <v>255062</v>
      </c>
      <c r="B598" s="25" t="s">
        <v>49</v>
      </c>
      <c r="C598" s="39" t="str">
        <f t="shared" si="18"/>
        <v>221</v>
      </c>
      <c r="D598" s="39" t="str">
        <f t="shared" si="19"/>
        <v>22102</v>
      </c>
      <c r="E598" s="39">
        <f>IF(ISNA(VLOOKUP(F598,'2020功能科目'!A:B,2,FALSE)),"",VLOOKUP(F598,'2020功能科目'!A:B,2,FALSE))</f>
        <v>2210202</v>
      </c>
      <c r="F598" s="25" t="s">
        <v>388</v>
      </c>
      <c r="G598" s="26">
        <v>726460</v>
      </c>
      <c r="H598" s="26">
        <v>731460</v>
      </c>
    </row>
    <row r="599" spans="1:8">
      <c r="A599" s="24">
        <v>255062</v>
      </c>
      <c r="B599" s="25" t="s">
        <v>49</v>
      </c>
      <c r="C599" s="39" t="str">
        <f t="shared" si="18"/>
        <v>221</v>
      </c>
      <c r="D599" s="39" t="str">
        <f t="shared" si="19"/>
        <v>22102</v>
      </c>
      <c r="E599" s="39">
        <f>IF(ISNA(VLOOKUP(F599,'2020功能科目'!A:B,2,FALSE)),"",VLOOKUP(F599,'2020功能科目'!A:B,2,FALSE))</f>
        <v>2210203</v>
      </c>
      <c r="F599" s="25" t="s">
        <v>389</v>
      </c>
      <c r="G599" s="26">
        <v>10531297</v>
      </c>
      <c r="H599" s="26">
        <v>10339248</v>
      </c>
    </row>
    <row r="600" spans="1:8">
      <c r="A600" s="24">
        <v>255063</v>
      </c>
      <c r="B600" s="25" t="s">
        <v>50</v>
      </c>
      <c r="C600" s="39" t="str">
        <f t="shared" si="18"/>
        <v>205</v>
      </c>
      <c r="D600" s="39" t="str">
        <f t="shared" si="19"/>
        <v>20502</v>
      </c>
      <c r="E600" s="39">
        <f>IF(ISNA(VLOOKUP(F600,'2020功能科目'!A:B,2,FALSE)),"",VLOOKUP(F600,'2020功能科目'!A:B,2,FALSE))</f>
        <v>2050202</v>
      </c>
      <c r="F600" s="25" t="s">
        <v>375</v>
      </c>
      <c r="G600" s="26">
        <v>15289533.609999999</v>
      </c>
      <c r="H600" s="26">
        <v>11671767.550000001</v>
      </c>
    </row>
    <row r="601" spans="1:8">
      <c r="A601" s="24">
        <v>255063</v>
      </c>
      <c r="B601" s="25" t="s">
        <v>50</v>
      </c>
      <c r="C601" s="39" t="str">
        <f t="shared" si="18"/>
        <v>205</v>
      </c>
      <c r="D601" s="39" t="str">
        <f t="shared" si="19"/>
        <v>20502</v>
      </c>
      <c r="E601" s="39">
        <f>IF(ISNA(VLOOKUP(F601,'2020功能科目'!A:B,2,FALSE)),"",VLOOKUP(F601,'2020功能科目'!A:B,2,FALSE))</f>
        <v>2050299</v>
      </c>
      <c r="F601" s="25" t="s">
        <v>377</v>
      </c>
      <c r="G601" s="26">
        <v>65351.77</v>
      </c>
      <c r="H601" s="26">
        <v>113292.54</v>
      </c>
    </row>
    <row r="602" spans="1:8">
      <c r="A602" s="24">
        <v>255063</v>
      </c>
      <c r="B602" s="25" t="s">
        <v>50</v>
      </c>
      <c r="C602" s="39" t="str">
        <f t="shared" si="18"/>
        <v>205</v>
      </c>
      <c r="D602" s="39" t="str">
        <f t="shared" si="19"/>
        <v>20508</v>
      </c>
      <c r="E602" s="39">
        <f>IF(ISNA(VLOOKUP(F602,'2020功能科目'!A:B,2,FALSE)),"",VLOOKUP(F602,'2020功能科目'!A:B,2,FALSE))</f>
        <v>2050803</v>
      </c>
      <c r="F602" s="25" t="s">
        <v>378</v>
      </c>
      <c r="G602" s="26">
        <v>10559</v>
      </c>
      <c r="H602" s="26">
        <v>36800</v>
      </c>
    </row>
    <row r="603" spans="1:8">
      <c r="A603" s="24">
        <v>255063</v>
      </c>
      <c r="B603" s="25" t="s">
        <v>50</v>
      </c>
      <c r="C603" s="39" t="str">
        <f t="shared" si="18"/>
        <v>205</v>
      </c>
      <c r="D603" s="39" t="str">
        <f t="shared" si="19"/>
        <v>20509</v>
      </c>
      <c r="E603" s="39">
        <f>IF(ISNA(VLOOKUP(F603,'2020功能科目'!A:B,2,FALSE)),"",VLOOKUP(F603,'2020功能科目'!A:B,2,FALSE))</f>
        <v>2050903</v>
      </c>
      <c r="F603" s="25" t="s">
        <v>379</v>
      </c>
      <c r="G603" s="26">
        <v>450580.59</v>
      </c>
      <c r="H603" s="26">
        <v>460000</v>
      </c>
    </row>
    <row r="604" spans="1:8">
      <c r="A604" s="24">
        <v>255063</v>
      </c>
      <c r="B604" s="25" t="s">
        <v>50</v>
      </c>
      <c r="C604" s="39" t="str">
        <f t="shared" si="18"/>
        <v>205</v>
      </c>
      <c r="D604" s="39" t="str">
        <f t="shared" si="19"/>
        <v>20509</v>
      </c>
      <c r="E604" s="39">
        <f>IF(ISNA(VLOOKUP(F604,'2020功能科目'!A:B,2,FALSE)),"",VLOOKUP(F604,'2020功能科目'!A:B,2,FALSE))</f>
        <v>2050904</v>
      </c>
      <c r="F604" s="25" t="s">
        <v>380</v>
      </c>
      <c r="G604" s="26">
        <v>211174.9</v>
      </c>
      <c r="H604" s="26">
        <v>211200</v>
      </c>
    </row>
    <row r="605" spans="1:8">
      <c r="A605" s="24">
        <v>255063</v>
      </c>
      <c r="B605" s="25" t="s">
        <v>50</v>
      </c>
      <c r="C605" s="39" t="str">
        <f t="shared" si="18"/>
        <v>208</v>
      </c>
      <c r="D605" s="39" t="str">
        <f t="shared" si="19"/>
        <v>20805</v>
      </c>
      <c r="E605" s="39">
        <f>IF(ISNA(VLOOKUP(F605,'2020功能科目'!A:B,2,FALSE)),"",VLOOKUP(F605,'2020功能科目'!A:B,2,FALSE))</f>
        <v>2080502</v>
      </c>
      <c r="F605" s="25" t="s">
        <v>381</v>
      </c>
      <c r="G605" s="26">
        <v>697271.8</v>
      </c>
      <c r="H605" s="26">
        <v>433150</v>
      </c>
    </row>
    <row r="606" spans="1:8">
      <c r="A606" s="24">
        <v>255063</v>
      </c>
      <c r="B606" s="25" t="s">
        <v>50</v>
      </c>
      <c r="C606" s="39" t="str">
        <f t="shared" si="18"/>
        <v>208</v>
      </c>
      <c r="D606" s="39" t="str">
        <f t="shared" si="19"/>
        <v>20805</v>
      </c>
      <c r="E606" s="39">
        <f>IF(ISNA(VLOOKUP(F606,'2020功能科目'!A:B,2,FALSE)),"",VLOOKUP(F606,'2020功能科目'!A:B,2,FALSE))</f>
        <v>2080505</v>
      </c>
      <c r="F606" s="25" t="s">
        <v>382</v>
      </c>
      <c r="G606" s="26">
        <v>1078261.92</v>
      </c>
      <c r="H606" s="26">
        <v>1003610.24</v>
      </c>
    </row>
    <row r="607" spans="1:8">
      <c r="A607" s="24">
        <v>255063</v>
      </c>
      <c r="B607" s="25" t="s">
        <v>50</v>
      </c>
      <c r="C607" s="39" t="str">
        <f t="shared" si="18"/>
        <v>208</v>
      </c>
      <c r="D607" s="39" t="str">
        <f t="shared" si="19"/>
        <v>20805</v>
      </c>
      <c r="E607" s="39">
        <f>IF(ISNA(VLOOKUP(F607,'2020功能科目'!A:B,2,FALSE)),"",VLOOKUP(F607,'2020功能科目'!A:B,2,FALSE))</f>
        <v>2080506</v>
      </c>
      <c r="F607" s="25" t="s">
        <v>383</v>
      </c>
      <c r="G607" s="26">
        <v>539130.96</v>
      </c>
      <c r="H607" s="26">
        <v>501805.12</v>
      </c>
    </row>
    <row r="608" spans="1:8">
      <c r="A608" s="24">
        <v>255063</v>
      </c>
      <c r="B608" s="25" t="s">
        <v>50</v>
      </c>
      <c r="C608" s="39" t="str">
        <f t="shared" si="18"/>
        <v>210</v>
      </c>
      <c r="D608" s="39" t="str">
        <f t="shared" si="19"/>
        <v>21011</v>
      </c>
      <c r="E608" s="39">
        <f>IF(ISNA(VLOOKUP(F608,'2020功能科目'!A:B,2,FALSE)),"",VLOOKUP(F608,'2020功能科目'!A:B,2,FALSE))</f>
        <v>2101102</v>
      </c>
      <c r="F608" s="25" t="s">
        <v>385</v>
      </c>
      <c r="G608" s="26">
        <v>876248.91</v>
      </c>
      <c r="H608" s="26">
        <v>815433.32</v>
      </c>
    </row>
    <row r="609" spans="1:8">
      <c r="A609" s="24">
        <v>255063</v>
      </c>
      <c r="B609" s="25" t="s">
        <v>50</v>
      </c>
      <c r="C609" s="39" t="str">
        <f t="shared" si="18"/>
        <v>221</v>
      </c>
      <c r="D609" s="39" t="str">
        <f t="shared" si="19"/>
        <v>22102</v>
      </c>
      <c r="E609" s="39">
        <f>IF(ISNA(VLOOKUP(F609,'2020功能科目'!A:B,2,FALSE)),"",VLOOKUP(F609,'2020功能科目'!A:B,2,FALSE))</f>
        <v>2210201</v>
      </c>
      <c r="F609" s="25" t="s">
        <v>387</v>
      </c>
      <c r="G609" s="26">
        <v>1134497</v>
      </c>
      <c r="H609" s="26">
        <v>1028707.68</v>
      </c>
    </row>
    <row r="610" spans="1:8">
      <c r="A610" s="24">
        <v>255063</v>
      </c>
      <c r="B610" s="25" t="s">
        <v>50</v>
      </c>
      <c r="C610" s="39" t="str">
        <f t="shared" si="18"/>
        <v>221</v>
      </c>
      <c r="D610" s="39" t="str">
        <f t="shared" si="19"/>
        <v>22102</v>
      </c>
      <c r="E610" s="39">
        <f>IF(ISNA(VLOOKUP(F610,'2020功能科目'!A:B,2,FALSE)),"",VLOOKUP(F610,'2020功能科目'!A:B,2,FALSE))</f>
        <v>2210202</v>
      </c>
      <c r="F610" s="25" t="s">
        <v>388</v>
      </c>
      <c r="G610" s="26">
        <v>79520</v>
      </c>
      <c r="H610" s="26">
        <v>80640</v>
      </c>
    </row>
    <row r="611" spans="1:8">
      <c r="A611" s="24">
        <v>255063</v>
      </c>
      <c r="B611" s="25" t="s">
        <v>50</v>
      </c>
      <c r="C611" s="39" t="str">
        <f t="shared" si="18"/>
        <v>221</v>
      </c>
      <c r="D611" s="39" t="str">
        <f t="shared" si="19"/>
        <v>22102</v>
      </c>
      <c r="E611" s="39">
        <f>IF(ISNA(VLOOKUP(F611,'2020功能科目'!A:B,2,FALSE)),"",VLOOKUP(F611,'2020功能科目'!A:B,2,FALSE))</f>
        <v>2210203</v>
      </c>
      <c r="F611" s="25" t="s">
        <v>389</v>
      </c>
      <c r="G611" s="26">
        <v>1294119</v>
      </c>
      <c r="H611" s="26">
        <v>1257468</v>
      </c>
    </row>
    <row r="612" spans="1:8">
      <c r="A612" s="24">
        <v>255064</v>
      </c>
      <c r="B612" s="25" t="s">
        <v>51</v>
      </c>
      <c r="C612" s="39" t="str">
        <f t="shared" si="18"/>
        <v>205</v>
      </c>
      <c r="D612" s="39" t="str">
        <f t="shared" si="19"/>
        <v>20502</v>
      </c>
      <c r="E612" s="39">
        <f>IF(ISNA(VLOOKUP(F612,'2020功能科目'!A:B,2,FALSE)),"",VLOOKUP(F612,'2020功能科目'!A:B,2,FALSE))</f>
        <v>2050202</v>
      </c>
      <c r="F612" s="25" t="s">
        <v>375</v>
      </c>
      <c r="G612" s="26">
        <v>46323457.810000002</v>
      </c>
      <c r="H612" s="26">
        <v>36696128.68</v>
      </c>
    </row>
    <row r="613" spans="1:8">
      <c r="A613" s="24">
        <v>255064</v>
      </c>
      <c r="B613" s="25" t="s">
        <v>51</v>
      </c>
      <c r="C613" s="39" t="str">
        <f t="shared" si="18"/>
        <v>205</v>
      </c>
      <c r="D613" s="39" t="str">
        <f t="shared" si="19"/>
        <v>20502</v>
      </c>
      <c r="E613" s="39">
        <f>IF(ISNA(VLOOKUP(F613,'2020功能科目'!A:B,2,FALSE)),"",VLOOKUP(F613,'2020功能科目'!A:B,2,FALSE))</f>
        <v>2050299</v>
      </c>
      <c r="F613" s="25" t="s">
        <v>377</v>
      </c>
      <c r="G613" s="26">
        <v>226469.61</v>
      </c>
      <c r="H613" s="26">
        <v>307569.61</v>
      </c>
    </row>
    <row r="614" spans="1:8">
      <c r="A614" s="24">
        <v>255064</v>
      </c>
      <c r="B614" s="25" t="s">
        <v>51</v>
      </c>
      <c r="C614" s="39" t="str">
        <f t="shared" si="18"/>
        <v>205</v>
      </c>
      <c r="D614" s="39" t="str">
        <f t="shared" si="19"/>
        <v>20508</v>
      </c>
      <c r="E614" s="39">
        <f>IF(ISNA(VLOOKUP(F614,'2020功能科目'!A:B,2,FALSE)),"",VLOOKUP(F614,'2020功能科目'!A:B,2,FALSE))</f>
        <v>2050803</v>
      </c>
      <c r="F614" s="25" t="s">
        <v>378</v>
      </c>
      <c r="G614" s="26">
        <v>57600</v>
      </c>
      <c r="H614" s="26">
        <v>115200</v>
      </c>
    </row>
    <row r="615" spans="1:8">
      <c r="A615" s="24">
        <v>255064</v>
      </c>
      <c r="B615" s="25" t="s">
        <v>51</v>
      </c>
      <c r="C615" s="39" t="str">
        <f t="shared" si="18"/>
        <v>205</v>
      </c>
      <c r="D615" s="39" t="str">
        <f t="shared" si="19"/>
        <v>20509</v>
      </c>
      <c r="E615" s="39">
        <f>IF(ISNA(VLOOKUP(F615,'2020功能科目'!A:B,2,FALSE)),"",VLOOKUP(F615,'2020功能科目'!A:B,2,FALSE))</f>
        <v>2050903</v>
      </c>
      <c r="F615" s="25" t="s">
        <v>379</v>
      </c>
      <c r="G615" s="26">
        <v>2047476.55</v>
      </c>
      <c r="H615" s="26">
        <v>2300000</v>
      </c>
    </row>
    <row r="616" spans="1:8">
      <c r="A616" s="24">
        <v>255064</v>
      </c>
      <c r="B616" s="25" t="s">
        <v>51</v>
      </c>
      <c r="C616" s="39" t="str">
        <f t="shared" si="18"/>
        <v>205</v>
      </c>
      <c r="D616" s="39" t="str">
        <f t="shared" si="19"/>
        <v>20509</v>
      </c>
      <c r="E616" s="39">
        <f>IF(ISNA(VLOOKUP(F616,'2020功能科目'!A:B,2,FALSE)),"",VLOOKUP(F616,'2020功能科目'!A:B,2,FALSE))</f>
        <v>2050904</v>
      </c>
      <c r="F616" s="25" t="s">
        <v>380</v>
      </c>
      <c r="G616" s="26">
        <v>1428870</v>
      </c>
      <c r="H616" s="26">
        <v>1446920</v>
      </c>
    </row>
    <row r="617" spans="1:8">
      <c r="A617" s="24">
        <v>255064</v>
      </c>
      <c r="B617" s="25" t="s">
        <v>51</v>
      </c>
      <c r="C617" s="39" t="str">
        <f t="shared" si="18"/>
        <v>205</v>
      </c>
      <c r="D617" s="39" t="str">
        <f t="shared" si="19"/>
        <v>20509</v>
      </c>
      <c r="E617" s="39">
        <f>IF(ISNA(VLOOKUP(F617,'2020功能科目'!A:B,2,FALSE)),"",VLOOKUP(F617,'2020功能科目'!A:B,2,FALSE))</f>
        <v>2050999</v>
      </c>
      <c r="F617" s="25" t="s">
        <v>394</v>
      </c>
      <c r="G617" s="26">
        <v>0</v>
      </c>
      <c r="H617" s="26">
        <v>28562.59</v>
      </c>
    </row>
    <row r="618" spans="1:8">
      <c r="A618" s="24">
        <v>255064</v>
      </c>
      <c r="B618" s="25" t="s">
        <v>51</v>
      </c>
      <c r="C618" s="39" t="str">
        <f t="shared" si="18"/>
        <v>208</v>
      </c>
      <c r="D618" s="39" t="str">
        <f t="shared" si="19"/>
        <v>20805</v>
      </c>
      <c r="E618" s="39">
        <f>IF(ISNA(VLOOKUP(F618,'2020功能科目'!A:B,2,FALSE)),"",VLOOKUP(F618,'2020功能科目'!A:B,2,FALSE))</f>
        <v>2080502</v>
      </c>
      <c r="F618" s="25" t="s">
        <v>381</v>
      </c>
      <c r="G618" s="26">
        <v>1380572</v>
      </c>
      <c r="H618" s="26">
        <v>1191022</v>
      </c>
    </row>
    <row r="619" spans="1:8">
      <c r="A619" s="24">
        <v>255064</v>
      </c>
      <c r="B619" s="25" t="s">
        <v>51</v>
      </c>
      <c r="C619" s="39" t="str">
        <f t="shared" si="18"/>
        <v>208</v>
      </c>
      <c r="D619" s="39" t="str">
        <f t="shared" si="19"/>
        <v>20805</v>
      </c>
      <c r="E619" s="39">
        <f>IF(ISNA(VLOOKUP(F619,'2020功能科目'!A:B,2,FALSE)),"",VLOOKUP(F619,'2020功能科目'!A:B,2,FALSE))</f>
        <v>2080505</v>
      </c>
      <c r="F619" s="25" t="s">
        <v>382</v>
      </c>
      <c r="G619" s="26">
        <v>3192353.87</v>
      </c>
      <c r="H619" s="26">
        <v>3365506.56</v>
      </c>
    </row>
    <row r="620" spans="1:8">
      <c r="A620" s="24">
        <v>255064</v>
      </c>
      <c r="B620" s="25" t="s">
        <v>51</v>
      </c>
      <c r="C620" s="39" t="str">
        <f t="shared" si="18"/>
        <v>208</v>
      </c>
      <c r="D620" s="39" t="str">
        <f t="shared" si="19"/>
        <v>20805</v>
      </c>
      <c r="E620" s="39">
        <f>IF(ISNA(VLOOKUP(F620,'2020功能科目'!A:B,2,FALSE)),"",VLOOKUP(F620,'2020功能科目'!A:B,2,FALSE))</f>
        <v>2080506</v>
      </c>
      <c r="F620" s="25" t="s">
        <v>383</v>
      </c>
      <c r="G620" s="26">
        <v>1596297.19</v>
      </c>
      <c r="H620" s="26">
        <v>1682753.28</v>
      </c>
    </row>
    <row r="621" spans="1:8">
      <c r="A621" s="24">
        <v>255064</v>
      </c>
      <c r="B621" s="25" t="s">
        <v>51</v>
      </c>
      <c r="C621" s="39" t="str">
        <f t="shared" si="18"/>
        <v>208</v>
      </c>
      <c r="D621" s="39" t="str">
        <f t="shared" si="19"/>
        <v>20808</v>
      </c>
      <c r="E621" s="39">
        <f>IF(ISNA(VLOOKUP(F621,'2020功能科目'!A:B,2,FALSE)),"",VLOOKUP(F621,'2020功能科目'!A:B,2,FALSE))</f>
        <v>2080801</v>
      </c>
      <c r="F621" s="25" t="s">
        <v>384</v>
      </c>
      <c r="G621" s="26">
        <v>259038</v>
      </c>
      <c r="H621" s="26">
        <v>0</v>
      </c>
    </row>
    <row r="622" spans="1:8">
      <c r="A622" s="24">
        <v>255064</v>
      </c>
      <c r="B622" s="25" t="s">
        <v>51</v>
      </c>
      <c r="C622" s="39" t="str">
        <f t="shared" si="18"/>
        <v>210</v>
      </c>
      <c r="D622" s="39" t="str">
        <f t="shared" si="19"/>
        <v>21011</v>
      </c>
      <c r="E622" s="39">
        <f>IF(ISNA(VLOOKUP(F622,'2020功能科目'!A:B,2,FALSE)),"",VLOOKUP(F622,'2020功能科目'!A:B,2,FALSE))</f>
        <v>2101102</v>
      </c>
      <c r="F622" s="25" t="s">
        <v>385</v>
      </c>
      <c r="G622" s="26">
        <v>3544843.06</v>
      </c>
      <c r="H622" s="26">
        <v>2734474.08</v>
      </c>
    </row>
    <row r="623" spans="1:8">
      <c r="A623" s="24">
        <v>255064</v>
      </c>
      <c r="B623" s="25" t="s">
        <v>51</v>
      </c>
      <c r="C623" s="39" t="str">
        <f t="shared" si="18"/>
        <v>221</v>
      </c>
      <c r="D623" s="39" t="str">
        <f t="shared" si="19"/>
        <v>22102</v>
      </c>
      <c r="E623" s="39">
        <f>IF(ISNA(VLOOKUP(F623,'2020功能科目'!A:B,2,FALSE)),"",VLOOKUP(F623,'2020功能科目'!A:B,2,FALSE))</f>
        <v>2210201</v>
      </c>
      <c r="F623" s="25" t="s">
        <v>387</v>
      </c>
      <c r="G623" s="26">
        <v>3760415</v>
      </c>
      <c r="H623" s="26">
        <v>3522529.92</v>
      </c>
    </row>
    <row r="624" spans="1:8">
      <c r="A624" s="24">
        <v>255064</v>
      </c>
      <c r="B624" s="25" t="s">
        <v>51</v>
      </c>
      <c r="C624" s="39" t="str">
        <f t="shared" si="18"/>
        <v>221</v>
      </c>
      <c r="D624" s="39" t="str">
        <f t="shared" si="19"/>
        <v>22102</v>
      </c>
      <c r="E624" s="39">
        <f>IF(ISNA(VLOOKUP(F624,'2020功能科目'!A:B,2,FALSE)),"",VLOOKUP(F624,'2020功能科目'!A:B,2,FALSE))</f>
        <v>2210202</v>
      </c>
      <c r="F624" s="25" t="s">
        <v>388</v>
      </c>
      <c r="G624" s="26">
        <v>242860</v>
      </c>
      <c r="H624" s="26">
        <v>106080</v>
      </c>
    </row>
    <row r="625" spans="1:8">
      <c r="A625" s="24">
        <v>255064</v>
      </c>
      <c r="B625" s="25" t="s">
        <v>51</v>
      </c>
      <c r="C625" s="39" t="str">
        <f t="shared" si="18"/>
        <v>221</v>
      </c>
      <c r="D625" s="39" t="str">
        <f t="shared" si="19"/>
        <v>22102</v>
      </c>
      <c r="E625" s="39">
        <f>IF(ISNA(VLOOKUP(F625,'2020功能科目'!A:B,2,FALSE)),"",VLOOKUP(F625,'2020功能科目'!A:B,2,FALSE))</f>
        <v>2210203</v>
      </c>
      <c r="F625" s="25" t="s">
        <v>389</v>
      </c>
      <c r="G625" s="26">
        <v>3522637</v>
      </c>
      <c r="H625" s="26">
        <v>3566220</v>
      </c>
    </row>
    <row r="626" spans="1:8">
      <c r="A626" s="24">
        <v>255065</v>
      </c>
      <c r="B626" s="25" t="s">
        <v>52</v>
      </c>
      <c r="C626" s="39" t="str">
        <f t="shared" si="18"/>
        <v>205</v>
      </c>
      <c r="D626" s="39" t="str">
        <f t="shared" si="19"/>
        <v>20502</v>
      </c>
      <c r="E626" s="39">
        <f>IF(ISNA(VLOOKUP(F626,'2020功能科目'!A:B,2,FALSE)),"",VLOOKUP(F626,'2020功能科目'!A:B,2,FALSE))</f>
        <v>2050202</v>
      </c>
      <c r="F626" s="25" t="s">
        <v>375</v>
      </c>
      <c r="G626" s="26">
        <v>47764522.270000003</v>
      </c>
      <c r="H626" s="26">
        <v>39331001.670000002</v>
      </c>
    </row>
    <row r="627" spans="1:8">
      <c r="A627" s="24">
        <v>255065</v>
      </c>
      <c r="B627" s="25" t="s">
        <v>52</v>
      </c>
      <c r="C627" s="39" t="str">
        <f t="shared" si="18"/>
        <v>205</v>
      </c>
      <c r="D627" s="39" t="str">
        <f t="shared" si="19"/>
        <v>20502</v>
      </c>
      <c r="E627" s="39">
        <f>IF(ISNA(VLOOKUP(F627,'2020功能科目'!A:B,2,FALSE)),"",VLOOKUP(F627,'2020功能科目'!A:B,2,FALSE))</f>
        <v>2050299</v>
      </c>
      <c r="F627" s="25" t="s">
        <v>377</v>
      </c>
      <c r="G627" s="26">
        <v>188449.83</v>
      </c>
      <c r="H627" s="26">
        <v>71586.87</v>
      </c>
    </row>
    <row r="628" spans="1:8">
      <c r="A628" s="24">
        <v>255065</v>
      </c>
      <c r="B628" s="25" t="s">
        <v>52</v>
      </c>
      <c r="C628" s="39" t="str">
        <f t="shared" si="18"/>
        <v>205</v>
      </c>
      <c r="D628" s="39" t="str">
        <f t="shared" si="19"/>
        <v>20508</v>
      </c>
      <c r="E628" s="39">
        <f>IF(ISNA(VLOOKUP(F628,'2020功能科目'!A:B,2,FALSE)),"",VLOOKUP(F628,'2020功能科目'!A:B,2,FALSE))</f>
        <v>2050803</v>
      </c>
      <c r="F628" s="25" t="s">
        <v>378</v>
      </c>
      <c r="G628" s="26">
        <v>0</v>
      </c>
      <c r="H628" s="26">
        <v>117600</v>
      </c>
    </row>
    <row r="629" spans="1:8">
      <c r="A629" s="24">
        <v>255065</v>
      </c>
      <c r="B629" s="25" t="s">
        <v>52</v>
      </c>
      <c r="C629" s="39" t="str">
        <f t="shared" si="18"/>
        <v>205</v>
      </c>
      <c r="D629" s="39" t="str">
        <f t="shared" si="19"/>
        <v>20509</v>
      </c>
      <c r="E629" s="39">
        <f>IF(ISNA(VLOOKUP(F629,'2020功能科目'!A:B,2,FALSE)),"",VLOOKUP(F629,'2020功能科目'!A:B,2,FALSE))</f>
        <v>2050904</v>
      </c>
      <c r="F629" s="25" t="s">
        <v>380</v>
      </c>
      <c r="G629" s="26">
        <v>559400</v>
      </c>
      <c r="H629" s="26">
        <v>559400</v>
      </c>
    </row>
    <row r="630" spans="1:8">
      <c r="A630" s="24">
        <v>255065</v>
      </c>
      <c r="B630" s="25" t="s">
        <v>52</v>
      </c>
      <c r="C630" s="39" t="str">
        <f t="shared" si="18"/>
        <v>208</v>
      </c>
      <c r="D630" s="39" t="str">
        <f t="shared" si="19"/>
        <v>20805</v>
      </c>
      <c r="E630" s="39">
        <f>IF(ISNA(VLOOKUP(F630,'2020功能科目'!A:B,2,FALSE)),"",VLOOKUP(F630,'2020功能科目'!A:B,2,FALSE))</f>
        <v>2080502</v>
      </c>
      <c r="F630" s="25" t="s">
        <v>381</v>
      </c>
      <c r="G630" s="26">
        <v>1958935</v>
      </c>
      <c r="H630" s="26">
        <v>1649168</v>
      </c>
    </row>
    <row r="631" spans="1:8">
      <c r="A631" s="24">
        <v>255065</v>
      </c>
      <c r="B631" s="25" t="s">
        <v>52</v>
      </c>
      <c r="C631" s="39" t="str">
        <f t="shared" si="18"/>
        <v>208</v>
      </c>
      <c r="D631" s="39" t="str">
        <f t="shared" si="19"/>
        <v>20805</v>
      </c>
      <c r="E631" s="39">
        <f>IF(ISNA(VLOOKUP(F631,'2020功能科目'!A:B,2,FALSE)),"",VLOOKUP(F631,'2020功能科目'!A:B,2,FALSE))</f>
        <v>2080505</v>
      </c>
      <c r="F631" s="25" t="s">
        <v>382</v>
      </c>
      <c r="G631" s="26">
        <v>3450264.48</v>
      </c>
      <c r="H631" s="26">
        <v>3487343.04</v>
      </c>
    </row>
    <row r="632" spans="1:8">
      <c r="A632" s="24">
        <v>255065</v>
      </c>
      <c r="B632" s="25" t="s">
        <v>52</v>
      </c>
      <c r="C632" s="39" t="str">
        <f t="shared" si="18"/>
        <v>208</v>
      </c>
      <c r="D632" s="39" t="str">
        <f t="shared" si="19"/>
        <v>20805</v>
      </c>
      <c r="E632" s="39">
        <f>IF(ISNA(VLOOKUP(F632,'2020功能科目'!A:B,2,FALSE)),"",VLOOKUP(F632,'2020功能科目'!A:B,2,FALSE))</f>
        <v>2080506</v>
      </c>
      <c r="F632" s="25" t="s">
        <v>383</v>
      </c>
      <c r="G632" s="26">
        <v>1725132.24</v>
      </c>
      <c r="H632" s="26">
        <v>1743671.52</v>
      </c>
    </row>
    <row r="633" spans="1:8">
      <c r="A633" s="24">
        <v>255065</v>
      </c>
      <c r="B633" s="25" t="s">
        <v>52</v>
      </c>
      <c r="C633" s="39" t="str">
        <f t="shared" si="18"/>
        <v>210</v>
      </c>
      <c r="D633" s="39" t="str">
        <f t="shared" si="19"/>
        <v>21011</v>
      </c>
      <c r="E633" s="39">
        <f>IF(ISNA(VLOOKUP(F633,'2020功能科目'!A:B,2,FALSE)),"",VLOOKUP(F633,'2020功能科目'!A:B,2,FALSE))</f>
        <v>2101102</v>
      </c>
      <c r="F633" s="25" t="s">
        <v>385</v>
      </c>
      <c r="G633" s="26">
        <v>2753964.21</v>
      </c>
      <c r="H633" s="26">
        <v>2833466.22</v>
      </c>
    </row>
    <row r="634" spans="1:8">
      <c r="A634" s="24">
        <v>255065</v>
      </c>
      <c r="B634" s="25" t="s">
        <v>52</v>
      </c>
      <c r="C634" s="39" t="str">
        <f t="shared" si="18"/>
        <v>210</v>
      </c>
      <c r="D634" s="39" t="str">
        <f t="shared" si="19"/>
        <v>21011</v>
      </c>
      <c r="E634" s="39">
        <f>IF(ISNA(VLOOKUP(F634,'2020功能科目'!A:B,2,FALSE)),"",VLOOKUP(F634,'2020功能科目'!A:B,2,FALSE))</f>
        <v>2101199</v>
      </c>
      <c r="F634" s="25" t="s">
        <v>386</v>
      </c>
      <c r="G634" s="26">
        <v>262500</v>
      </c>
      <c r="H634" s="26">
        <v>270000</v>
      </c>
    </row>
    <row r="635" spans="1:8">
      <c r="A635" s="24">
        <v>255065</v>
      </c>
      <c r="B635" s="25" t="s">
        <v>52</v>
      </c>
      <c r="C635" s="39" t="str">
        <f t="shared" si="18"/>
        <v>221</v>
      </c>
      <c r="D635" s="39" t="str">
        <f t="shared" si="19"/>
        <v>22102</v>
      </c>
      <c r="E635" s="39">
        <f>IF(ISNA(VLOOKUP(F635,'2020功能科目'!A:B,2,FALSE)),"",VLOOKUP(F635,'2020功能科目'!A:B,2,FALSE))</f>
        <v>2210201</v>
      </c>
      <c r="F635" s="25" t="s">
        <v>387</v>
      </c>
      <c r="G635" s="26">
        <v>3545495</v>
      </c>
      <c r="H635" s="26">
        <v>3497507.28</v>
      </c>
    </row>
    <row r="636" spans="1:8">
      <c r="A636" s="24">
        <v>255065</v>
      </c>
      <c r="B636" s="25" t="s">
        <v>52</v>
      </c>
      <c r="C636" s="39" t="str">
        <f t="shared" si="18"/>
        <v>221</v>
      </c>
      <c r="D636" s="39" t="str">
        <f t="shared" si="19"/>
        <v>22102</v>
      </c>
      <c r="E636" s="39">
        <f>IF(ISNA(VLOOKUP(F636,'2020功能科目'!A:B,2,FALSE)),"",VLOOKUP(F636,'2020功能科目'!A:B,2,FALSE))</f>
        <v>2210202</v>
      </c>
      <c r="F636" s="25" t="s">
        <v>388</v>
      </c>
      <c r="G636" s="26">
        <v>232510</v>
      </c>
      <c r="H636" s="26">
        <v>234240</v>
      </c>
    </row>
    <row r="637" spans="1:8">
      <c r="A637" s="24">
        <v>255065</v>
      </c>
      <c r="B637" s="25" t="s">
        <v>52</v>
      </c>
      <c r="C637" s="39" t="str">
        <f t="shared" si="18"/>
        <v>221</v>
      </c>
      <c r="D637" s="39" t="str">
        <f t="shared" si="19"/>
        <v>22102</v>
      </c>
      <c r="E637" s="39">
        <f>IF(ISNA(VLOOKUP(F637,'2020功能科目'!A:B,2,FALSE)),"",VLOOKUP(F637,'2020功能科目'!A:B,2,FALSE))</f>
        <v>2210203</v>
      </c>
      <c r="F637" s="25" t="s">
        <v>389</v>
      </c>
      <c r="G637" s="26">
        <v>4005134</v>
      </c>
      <c r="H637" s="26">
        <v>3845484</v>
      </c>
    </row>
    <row r="638" spans="1:8">
      <c r="A638" s="24">
        <v>255066</v>
      </c>
      <c r="B638" s="25" t="s">
        <v>53</v>
      </c>
      <c r="C638" s="39" t="str">
        <f t="shared" si="18"/>
        <v>205</v>
      </c>
      <c r="D638" s="39" t="str">
        <f t="shared" si="19"/>
        <v>20502</v>
      </c>
      <c r="E638" s="39">
        <f>IF(ISNA(VLOOKUP(F638,'2020功能科目'!A:B,2,FALSE)),"",VLOOKUP(F638,'2020功能科目'!A:B,2,FALSE))</f>
        <v>2050202</v>
      </c>
      <c r="F638" s="25" t="s">
        <v>375</v>
      </c>
      <c r="G638" s="26">
        <v>46252261.719999999</v>
      </c>
      <c r="H638" s="26">
        <v>35644160.009999998</v>
      </c>
    </row>
    <row r="639" spans="1:8">
      <c r="A639" s="24">
        <v>255066</v>
      </c>
      <c r="B639" s="25" t="s">
        <v>53</v>
      </c>
      <c r="C639" s="39" t="str">
        <f t="shared" si="18"/>
        <v>205</v>
      </c>
      <c r="D639" s="39" t="str">
        <f t="shared" si="19"/>
        <v>20502</v>
      </c>
      <c r="E639" s="39">
        <f>IF(ISNA(VLOOKUP(F639,'2020功能科目'!A:B,2,FALSE)),"",VLOOKUP(F639,'2020功能科目'!A:B,2,FALSE))</f>
        <v>2050299</v>
      </c>
      <c r="F639" s="25" t="s">
        <v>377</v>
      </c>
      <c r="G639" s="26">
        <v>181533.16</v>
      </c>
      <c r="H639" s="26">
        <v>172517.69</v>
      </c>
    </row>
    <row r="640" spans="1:8">
      <c r="A640" s="24">
        <v>255066</v>
      </c>
      <c r="B640" s="25" t="s">
        <v>53</v>
      </c>
      <c r="C640" s="39" t="str">
        <f t="shared" si="18"/>
        <v>205</v>
      </c>
      <c r="D640" s="39" t="str">
        <f t="shared" si="19"/>
        <v>20508</v>
      </c>
      <c r="E640" s="39">
        <f>IF(ISNA(VLOOKUP(F640,'2020功能科目'!A:B,2,FALSE)),"",VLOOKUP(F640,'2020功能科目'!A:B,2,FALSE))</f>
        <v>2050803</v>
      </c>
      <c r="F640" s="25" t="s">
        <v>378</v>
      </c>
      <c r="G640" s="26">
        <v>0</v>
      </c>
      <c r="H640" s="26">
        <v>112800</v>
      </c>
    </row>
    <row r="641" spans="1:8">
      <c r="A641" s="24">
        <v>255066</v>
      </c>
      <c r="B641" s="25" t="s">
        <v>53</v>
      </c>
      <c r="C641" s="39" t="str">
        <f t="shared" si="18"/>
        <v>205</v>
      </c>
      <c r="D641" s="39" t="str">
        <f t="shared" si="19"/>
        <v>20509</v>
      </c>
      <c r="E641" s="39">
        <f>IF(ISNA(VLOOKUP(F641,'2020功能科目'!A:B,2,FALSE)),"",VLOOKUP(F641,'2020功能科目'!A:B,2,FALSE))</f>
        <v>2050903</v>
      </c>
      <c r="F641" s="25" t="s">
        <v>379</v>
      </c>
      <c r="G641" s="26">
        <v>4868562.59</v>
      </c>
      <c r="H641" s="26">
        <v>7858000</v>
      </c>
    </row>
    <row r="642" spans="1:8">
      <c r="A642" s="24">
        <v>255066</v>
      </c>
      <c r="B642" s="25" t="s">
        <v>53</v>
      </c>
      <c r="C642" s="39" t="str">
        <f t="shared" si="18"/>
        <v>205</v>
      </c>
      <c r="D642" s="39" t="str">
        <f t="shared" si="19"/>
        <v>20509</v>
      </c>
      <c r="E642" s="39">
        <f>IF(ISNA(VLOOKUP(F642,'2020功能科目'!A:B,2,FALSE)),"",VLOOKUP(F642,'2020功能科目'!A:B,2,FALSE))</f>
        <v>2050904</v>
      </c>
      <c r="F642" s="25" t="s">
        <v>380</v>
      </c>
      <c r="G642" s="26">
        <v>2190560</v>
      </c>
      <c r="H642" s="26">
        <v>2190560</v>
      </c>
    </row>
    <row r="643" spans="1:8">
      <c r="A643" s="24">
        <v>255066</v>
      </c>
      <c r="B643" s="25" t="s">
        <v>53</v>
      </c>
      <c r="C643" s="39" t="str">
        <f t="shared" ref="C643:C706" si="20">LEFT(D643,3)</f>
        <v>208</v>
      </c>
      <c r="D643" s="39" t="str">
        <f t="shared" ref="D643:D706" si="21">LEFT(E643,5)</f>
        <v>20805</v>
      </c>
      <c r="E643" s="39">
        <f>IF(ISNA(VLOOKUP(F643,'2020功能科目'!A:B,2,FALSE)),"",VLOOKUP(F643,'2020功能科目'!A:B,2,FALSE))</f>
        <v>2080502</v>
      </c>
      <c r="F643" s="25" t="s">
        <v>381</v>
      </c>
      <c r="G643" s="26">
        <v>3972908.1</v>
      </c>
      <c r="H643" s="26">
        <v>3051416.1</v>
      </c>
    </row>
    <row r="644" spans="1:8">
      <c r="A644" s="24">
        <v>255066</v>
      </c>
      <c r="B644" s="25" t="s">
        <v>53</v>
      </c>
      <c r="C644" s="39" t="str">
        <f t="shared" si="20"/>
        <v>208</v>
      </c>
      <c r="D644" s="39" t="str">
        <f t="shared" si="21"/>
        <v>20805</v>
      </c>
      <c r="E644" s="39">
        <f>IF(ISNA(VLOOKUP(F644,'2020功能科目'!A:B,2,FALSE)),"",VLOOKUP(F644,'2020功能科目'!A:B,2,FALSE))</f>
        <v>2080505</v>
      </c>
      <c r="F644" s="25" t="s">
        <v>382</v>
      </c>
      <c r="G644" s="26">
        <v>3367275.38</v>
      </c>
      <c r="H644" s="26">
        <v>3077700.48</v>
      </c>
    </row>
    <row r="645" spans="1:8">
      <c r="A645" s="24">
        <v>255066</v>
      </c>
      <c r="B645" s="25" t="s">
        <v>53</v>
      </c>
      <c r="C645" s="39" t="str">
        <f t="shared" si="20"/>
        <v>208</v>
      </c>
      <c r="D645" s="39" t="str">
        <f t="shared" si="21"/>
        <v>20805</v>
      </c>
      <c r="E645" s="39">
        <f>IF(ISNA(VLOOKUP(F645,'2020功能科目'!A:B,2,FALSE)),"",VLOOKUP(F645,'2020功能科目'!A:B,2,FALSE))</f>
        <v>2080506</v>
      </c>
      <c r="F645" s="25" t="s">
        <v>383</v>
      </c>
      <c r="G645" s="26">
        <v>1714072.29</v>
      </c>
      <c r="H645" s="26">
        <v>1538850.24</v>
      </c>
    </row>
    <row r="646" spans="1:8">
      <c r="A646" s="24">
        <v>255066</v>
      </c>
      <c r="B646" s="25" t="s">
        <v>53</v>
      </c>
      <c r="C646" s="39" t="str">
        <f t="shared" si="20"/>
        <v>210</v>
      </c>
      <c r="D646" s="39" t="str">
        <f t="shared" si="21"/>
        <v>21011</v>
      </c>
      <c r="E646" s="39">
        <f>IF(ISNA(VLOOKUP(F646,'2020功能科目'!A:B,2,FALSE)),"",VLOOKUP(F646,'2020功能科目'!A:B,2,FALSE))</f>
        <v>2101102</v>
      </c>
      <c r="F646" s="25" t="s">
        <v>385</v>
      </c>
      <c r="G646" s="26">
        <v>3242953.92</v>
      </c>
      <c r="H646" s="26">
        <v>2500631.64</v>
      </c>
    </row>
    <row r="647" spans="1:8">
      <c r="A647" s="24">
        <v>255066</v>
      </c>
      <c r="B647" s="25" t="s">
        <v>53</v>
      </c>
      <c r="C647" s="39" t="str">
        <f t="shared" si="20"/>
        <v>210</v>
      </c>
      <c r="D647" s="39" t="str">
        <f t="shared" si="21"/>
        <v>21011</v>
      </c>
      <c r="E647" s="39">
        <f>IF(ISNA(VLOOKUP(F647,'2020功能科目'!A:B,2,FALSE)),"",VLOOKUP(F647,'2020功能科目'!A:B,2,FALSE))</f>
        <v>2101199</v>
      </c>
      <c r="F647" s="25" t="s">
        <v>386</v>
      </c>
      <c r="G647" s="26">
        <v>360000</v>
      </c>
      <c r="H647" s="26">
        <v>360000</v>
      </c>
    </row>
    <row r="648" spans="1:8">
      <c r="A648" s="24">
        <v>255066</v>
      </c>
      <c r="B648" s="25" t="s">
        <v>53</v>
      </c>
      <c r="C648" s="39" t="str">
        <f t="shared" si="20"/>
        <v>221</v>
      </c>
      <c r="D648" s="39" t="str">
        <f t="shared" si="21"/>
        <v>22102</v>
      </c>
      <c r="E648" s="39">
        <f>IF(ISNA(VLOOKUP(F648,'2020功能科目'!A:B,2,FALSE)),"",VLOOKUP(F648,'2020功能科目'!A:B,2,FALSE))</f>
        <v>2210201</v>
      </c>
      <c r="F648" s="25" t="s">
        <v>387</v>
      </c>
      <c r="G648" s="26">
        <v>3925272</v>
      </c>
      <c r="H648" s="26">
        <v>3154275.36</v>
      </c>
    </row>
    <row r="649" spans="1:8">
      <c r="A649" s="24">
        <v>255066</v>
      </c>
      <c r="B649" s="25" t="s">
        <v>53</v>
      </c>
      <c r="C649" s="39" t="str">
        <f t="shared" si="20"/>
        <v>221</v>
      </c>
      <c r="D649" s="39" t="str">
        <f t="shared" si="21"/>
        <v>22102</v>
      </c>
      <c r="E649" s="39">
        <f>IF(ISNA(VLOOKUP(F649,'2020功能科目'!A:B,2,FALSE)),"",VLOOKUP(F649,'2020功能科目'!A:B,2,FALSE))</f>
        <v>2210202</v>
      </c>
      <c r="F649" s="25" t="s">
        <v>388</v>
      </c>
      <c r="G649" s="26">
        <v>328020</v>
      </c>
      <c r="H649" s="26">
        <v>330720</v>
      </c>
    </row>
    <row r="650" spans="1:8">
      <c r="A650" s="24">
        <v>255066</v>
      </c>
      <c r="B650" s="25" t="s">
        <v>53</v>
      </c>
      <c r="C650" s="39" t="str">
        <f t="shared" si="20"/>
        <v>221</v>
      </c>
      <c r="D650" s="39" t="str">
        <f t="shared" si="21"/>
        <v>22102</v>
      </c>
      <c r="E650" s="39">
        <f>IF(ISNA(VLOOKUP(F650,'2020功能科目'!A:B,2,FALSE)),"",VLOOKUP(F650,'2020功能科目'!A:B,2,FALSE))</f>
        <v>2210203</v>
      </c>
      <c r="F650" s="25" t="s">
        <v>389</v>
      </c>
      <c r="G650" s="26">
        <v>3375771</v>
      </c>
      <c r="H650" s="26">
        <v>3139752</v>
      </c>
    </row>
    <row r="651" spans="1:8">
      <c r="A651" s="24">
        <v>255067</v>
      </c>
      <c r="B651" s="25" t="s">
        <v>54</v>
      </c>
      <c r="C651" s="39" t="str">
        <f t="shared" si="20"/>
        <v>205</v>
      </c>
      <c r="D651" s="39" t="str">
        <f t="shared" si="21"/>
        <v>20502</v>
      </c>
      <c r="E651" s="39">
        <f>IF(ISNA(VLOOKUP(F651,'2020功能科目'!A:B,2,FALSE)),"",VLOOKUP(F651,'2020功能科目'!A:B,2,FALSE))</f>
        <v>2050202</v>
      </c>
      <c r="F651" s="25" t="s">
        <v>375</v>
      </c>
      <c r="G651" s="26">
        <v>63335355.780000001</v>
      </c>
      <c r="H651" s="26">
        <v>47560933.329999998</v>
      </c>
    </row>
    <row r="652" spans="1:8">
      <c r="A652" s="24">
        <v>255067</v>
      </c>
      <c r="B652" s="25" t="s">
        <v>54</v>
      </c>
      <c r="C652" s="39" t="str">
        <f t="shared" si="20"/>
        <v>205</v>
      </c>
      <c r="D652" s="39" t="str">
        <f t="shared" si="21"/>
        <v>20502</v>
      </c>
      <c r="E652" s="39">
        <f>IF(ISNA(VLOOKUP(F652,'2020功能科目'!A:B,2,FALSE)),"",VLOOKUP(F652,'2020功能科目'!A:B,2,FALSE))</f>
        <v>2050299</v>
      </c>
      <c r="F652" s="25" t="s">
        <v>377</v>
      </c>
      <c r="G652" s="26">
        <v>160487.75</v>
      </c>
      <c r="H652" s="26">
        <v>15584.99</v>
      </c>
    </row>
    <row r="653" spans="1:8">
      <c r="A653" s="24">
        <v>255067</v>
      </c>
      <c r="B653" s="25" t="s">
        <v>54</v>
      </c>
      <c r="C653" s="39" t="str">
        <f t="shared" si="20"/>
        <v>205</v>
      </c>
      <c r="D653" s="39" t="str">
        <f t="shared" si="21"/>
        <v>20508</v>
      </c>
      <c r="E653" s="39">
        <f>IF(ISNA(VLOOKUP(F653,'2020功能科目'!A:B,2,FALSE)),"",VLOOKUP(F653,'2020功能科目'!A:B,2,FALSE))</f>
        <v>2050803</v>
      </c>
      <c r="F653" s="25" t="s">
        <v>378</v>
      </c>
      <c r="G653" s="26">
        <v>680</v>
      </c>
      <c r="H653" s="26">
        <v>116800</v>
      </c>
    </row>
    <row r="654" spans="1:8">
      <c r="A654" s="24">
        <v>255067</v>
      </c>
      <c r="B654" s="25" t="s">
        <v>54</v>
      </c>
      <c r="C654" s="39" t="str">
        <f t="shared" si="20"/>
        <v>205</v>
      </c>
      <c r="D654" s="39" t="str">
        <f t="shared" si="21"/>
        <v>20509</v>
      </c>
      <c r="E654" s="39">
        <f>IF(ISNA(VLOOKUP(F654,'2020功能科目'!A:B,2,FALSE)),"",VLOOKUP(F654,'2020功能科目'!A:B,2,FALSE))</f>
        <v>2050903</v>
      </c>
      <c r="F654" s="25" t="s">
        <v>379</v>
      </c>
      <c r="G654" s="26">
        <v>175000</v>
      </c>
      <c r="H654" s="26">
        <v>250000</v>
      </c>
    </row>
    <row r="655" spans="1:8">
      <c r="A655" s="24">
        <v>255067</v>
      </c>
      <c r="B655" s="25" t="s">
        <v>54</v>
      </c>
      <c r="C655" s="39" t="str">
        <f t="shared" si="20"/>
        <v>205</v>
      </c>
      <c r="D655" s="39" t="str">
        <f t="shared" si="21"/>
        <v>20509</v>
      </c>
      <c r="E655" s="39">
        <f>IF(ISNA(VLOOKUP(F655,'2020功能科目'!A:B,2,FALSE)),"",VLOOKUP(F655,'2020功能科目'!A:B,2,FALSE))</f>
        <v>2050904</v>
      </c>
      <c r="F655" s="25" t="s">
        <v>380</v>
      </c>
      <c r="G655" s="26">
        <v>1097332</v>
      </c>
      <c r="H655" s="26">
        <v>1097332</v>
      </c>
    </row>
    <row r="656" spans="1:8">
      <c r="A656" s="24">
        <v>255067</v>
      </c>
      <c r="B656" s="25" t="s">
        <v>54</v>
      </c>
      <c r="C656" s="39" t="str">
        <f t="shared" si="20"/>
        <v>208</v>
      </c>
      <c r="D656" s="39" t="str">
        <f t="shared" si="21"/>
        <v>20805</v>
      </c>
      <c r="E656" s="39">
        <f>IF(ISNA(VLOOKUP(F656,'2020功能科目'!A:B,2,FALSE)),"",VLOOKUP(F656,'2020功能科目'!A:B,2,FALSE))</f>
        <v>2080502</v>
      </c>
      <c r="F656" s="25" t="s">
        <v>381</v>
      </c>
      <c r="G656" s="26">
        <v>3144430.1</v>
      </c>
      <c r="H656" s="26">
        <v>2566788.1</v>
      </c>
    </row>
    <row r="657" spans="1:8">
      <c r="A657" s="24">
        <v>255067</v>
      </c>
      <c r="B657" s="25" t="s">
        <v>54</v>
      </c>
      <c r="C657" s="39" t="str">
        <f t="shared" si="20"/>
        <v>208</v>
      </c>
      <c r="D657" s="39" t="str">
        <f t="shared" si="21"/>
        <v>20805</v>
      </c>
      <c r="E657" s="39">
        <f>IF(ISNA(VLOOKUP(F657,'2020功能科目'!A:B,2,FALSE)),"",VLOOKUP(F657,'2020功能科目'!A:B,2,FALSE))</f>
        <v>2080505</v>
      </c>
      <c r="F657" s="25" t="s">
        <v>382</v>
      </c>
      <c r="G657" s="26">
        <v>3437069</v>
      </c>
      <c r="H657" s="26">
        <v>3554836.96</v>
      </c>
    </row>
    <row r="658" spans="1:8">
      <c r="A658" s="24">
        <v>255067</v>
      </c>
      <c r="B658" s="25" t="s">
        <v>54</v>
      </c>
      <c r="C658" s="39" t="str">
        <f t="shared" si="20"/>
        <v>208</v>
      </c>
      <c r="D658" s="39" t="str">
        <f t="shared" si="21"/>
        <v>20805</v>
      </c>
      <c r="E658" s="39">
        <f>IF(ISNA(VLOOKUP(F658,'2020功能科目'!A:B,2,FALSE)),"",VLOOKUP(F658,'2020功能科目'!A:B,2,FALSE))</f>
        <v>2080506</v>
      </c>
      <c r="F658" s="25" t="s">
        <v>383</v>
      </c>
      <c r="G658" s="26">
        <v>1777418.48</v>
      </c>
      <c r="H658" s="26">
        <v>1777418.48</v>
      </c>
    </row>
    <row r="659" spans="1:8">
      <c r="A659" s="24">
        <v>255067</v>
      </c>
      <c r="B659" s="25" t="s">
        <v>54</v>
      </c>
      <c r="C659" s="39" t="str">
        <f t="shared" si="20"/>
        <v>210</v>
      </c>
      <c r="D659" s="39" t="str">
        <f t="shared" si="21"/>
        <v>21011</v>
      </c>
      <c r="E659" s="39">
        <f>IF(ISNA(VLOOKUP(F659,'2020功能科目'!A:B,2,FALSE)),"",VLOOKUP(F659,'2020功能科目'!A:B,2,FALSE))</f>
        <v>2101102</v>
      </c>
      <c r="F659" s="25" t="s">
        <v>385</v>
      </c>
      <c r="G659" s="26">
        <v>3238305.03</v>
      </c>
      <c r="H659" s="26">
        <v>2888305.03</v>
      </c>
    </row>
    <row r="660" spans="1:8">
      <c r="A660" s="24">
        <v>255067</v>
      </c>
      <c r="B660" s="25" t="s">
        <v>54</v>
      </c>
      <c r="C660" s="39" t="str">
        <f t="shared" si="20"/>
        <v>210</v>
      </c>
      <c r="D660" s="39" t="str">
        <f t="shared" si="21"/>
        <v>21011</v>
      </c>
      <c r="E660" s="39">
        <f>IF(ISNA(VLOOKUP(F660,'2020功能科目'!A:B,2,FALSE)),"",VLOOKUP(F660,'2020功能科目'!A:B,2,FALSE))</f>
        <v>2101199</v>
      </c>
      <c r="F660" s="25" t="s">
        <v>386</v>
      </c>
      <c r="G660" s="26">
        <v>247500</v>
      </c>
      <c r="H660" s="26">
        <v>270000</v>
      </c>
    </row>
    <row r="661" spans="1:8">
      <c r="A661" s="24">
        <v>255067</v>
      </c>
      <c r="B661" s="25" t="s">
        <v>54</v>
      </c>
      <c r="C661" s="39" t="str">
        <f t="shared" si="20"/>
        <v>221</v>
      </c>
      <c r="D661" s="39" t="str">
        <f t="shared" si="21"/>
        <v>22102</v>
      </c>
      <c r="E661" s="39">
        <f>IF(ISNA(VLOOKUP(F661,'2020功能科目'!A:B,2,FALSE)),"",VLOOKUP(F661,'2020功能科目'!A:B,2,FALSE))</f>
        <v>2210201</v>
      </c>
      <c r="F661" s="25" t="s">
        <v>387</v>
      </c>
      <c r="G661" s="26">
        <v>3533662</v>
      </c>
      <c r="H661" s="26">
        <v>3542127.72</v>
      </c>
    </row>
    <row r="662" spans="1:8">
      <c r="A662" s="24">
        <v>255067</v>
      </c>
      <c r="B662" s="25" t="s">
        <v>54</v>
      </c>
      <c r="C662" s="39" t="str">
        <f t="shared" si="20"/>
        <v>221</v>
      </c>
      <c r="D662" s="39" t="str">
        <f t="shared" si="21"/>
        <v>22102</v>
      </c>
      <c r="E662" s="39">
        <f>IF(ISNA(VLOOKUP(F662,'2020功能科目'!A:B,2,FALSE)),"",VLOOKUP(F662,'2020功能科目'!A:B,2,FALSE))</f>
        <v>2210202</v>
      </c>
      <c r="F662" s="25" t="s">
        <v>388</v>
      </c>
      <c r="G662" s="26">
        <v>320240</v>
      </c>
      <c r="H662" s="26">
        <v>319680</v>
      </c>
    </row>
    <row r="663" spans="1:8">
      <c r="A663" s="24">
        <v>255067</v>
      </c>
      <c r="B663" s="25" t="s">
        <v>54</v>
      </c>
      <c r="C663" s="39" t="str">
        <f t="shared" si="20"/>
        <v>221</v>
      </c>
      <c r="D663" s="39" t="str">
        <f t="shared" si="21"/>
        <v>22102</v>
      </c>
      <c r="E663" s="39">
        <f>IF(ISNA(VLOOKUP(F663,'2020功能科目'!A:B,2,FALSE)),"",VLOOKUP(F663,'2020功能科目'!A:B,2,FALSE))</f>
        <v>2210203</v>
      </c>
      <c r="F663" s="25" t="s">
        <v>389</v>
      </c>
      <c r="G663" s="26">
        <v>3511282</v>
      </c>
      <c r="H663" s="26">
        <v>3285396</v>
      </c>
    </row>
    <row r="664" spans="1:8">
      <c r="A664" s="24">
        <v>255068</v>
      </c>
      <c r="B664" s="25" t="s">
        <v>55</v>
      </c>
      <c r="C664" s="39" t="str">
        <f t="shared" si="20"/>
        <v>205</v>
      </c>
      <c r="D664" s="39" t="str">
        <f t="shared" si="21"/>
        <v>20502</v>
      </c>
      <c r="E664" s="39">
        <f>IF(ISNA(VLOOKUP(F664,'2020功能科目'!A:B,2,FALSE)),"",VLOOKUP(F664,'2020功能科目'!A:B,2,FALSE))</f>
        <v>2050202</v>
      </c>
      <c r="F664" s="25" t="s">
        <v>375</v>
      </c>
      <c r="G664" s="26">
        <v>26935162.66</v>
      </c>
      <c r="H664" s="26">
        <v>21035829.859999999</v>
      </c>
    </row>
    <row r="665" spans="1:8">
      <c r="A665" s="24">
        <v>255068</v>
      </c>
      <c r="B665" s="25" t="s">
        <v>55</v>
      </c>
      <c r="C665" s="39" t="str">
        <f t="shared" si="20"/>
        <v>205</v>
      </c>
      <c r="D665" s="39" t="str">
        <f t="shared" si="21"/>
        <v>20502</v>
      </c>
      <c r="E665" s="39">
        <f>IF(ISNA(VLOOKUP(F665,'2020功能科目'!A:B,2,FALSE)),"",VLOOKUP(F665,'2020功能科目'!A:B,2,FALSE))</f>
        <v>2050299</v>
      </c>
      <c r="F665" s="25" t="s">
        <v>377</v>
      </c>
      <c r="G665" s="26">
        <v>166378.32999999999</v>
      </c>
      <c r="H665" s="26">
        <v>253621.85</v>
      </c>
    </row>
    <row r="666" spans="1:8">
      <c r="A666" s="24">
        <v>255068</v>
      </c>
      <c r="B666" s="25" t="s">
        <v>55</v>
      </c>
      <c r="C666" s="39" t="str">
        <f t="shared" si="20"/>
        <v>205</v>
      </c>
      <c r="D666" s="39" t="str">
        <f t="shared" si="21"/>
        <v>20508</v>
      </c>
      <c r="E666" s="39">
        <f>IF(ISNA(VLOOKUP(F666,'2020功能科目'!A:B,2,FALSE)),"",VLOOKUP(F666,'2020功能科目'!A:B,2,FALSE))</f>
        <v>2050803</v>
      </c>
      <c r="F666" s="25" t="s">
        <v>378</v>
      </c>
      <c r="G666" s="26">
        <v>3200</v>
      </c>
      <c r="H666" s="26">
        <v>61600</v>
      </c>
    </row>
    <row r="667" spans="1:8">
      <c r="A667" s="24">
        <v>255068</v>
      </c>
      <c r="B667" s="25" t="s">
        <v>55</v>
      </c>
      <c r="C667" s="39" t="str">
        <f t="shared" si="20"/>
        <v>205</v>
      </c>
      <c r="D667" s="39" t="str">
        <f t="shared" si="21"/>
        <v>20509</v>
      </c>
      <c r="E667" s="39">
        <f>IF(ISNA(VLOOKUP(F667,'2020功能科目'!A:B,2,FALSE)),"",VLOOKUP(F667,'2020功能科目'!A:B,2,FALSE))</f>
        <v>2050904</v>
      </c>
      <c r="F667" s="25" t="s">
        <v>380</v>
      </c>
      <c r="G667" s="26">
        <v>399276</v>
      </c>
      <c r="H667" s="26">
        <v>406238</v>
      </c>
    </row>
    <row r="668" spans="1:8">
      <c r="A668" s="24">
        <v>255068</v>
      </c>
      <c r="B668" s="25" t="s">
        <v>55</v>
      </c>
      <c r="C668" s="39" t="str">
        <f t="shared" si="20"/>
        <v>208</v>
      </c>
      <c r="D668" s="39" t="str">
        <f t="shared" si="21"/>
        <v>20805</v>
      </c>
      <c r="E668" s="39">
        <f>IF(ISNA(VLOOKUP(F668,'2020功能科目'!A:B,2,FALSE)),"",VLOOKUP(F668,'2020功能科目'!A:B,2,FALSE))</f>
        <v>2080502</v>
      </c>
      <c r="F668" s="25" t="s">
        <v>381</v>
      </c>
      <c r="G668" s="26">
        <v>990799.1</v>
      </c>
      <c r="H668" s="26">
        <v>1072078.6000000001</v>
      </c>
    </row>
    <row r="669" spans="1:8">
      <c r="A669" s="24">
        <v>255068</v>
      </c>
      <c r="B669" s="25" t="s">
        <v>55</v>
      </c>
      <c r="C669" s="39" t="str">
        <f t="shared" si="20"/>
        <v>208</v>
      </c>
      <c r="D669" s="39" t="str">
        <f t="shared" si="21"/>
        <v>20805</v>
      </c>
      <c r="E669" s="39">
        <f>IF(ISNA(VLOOKUP(F669,'2020功能科目'!A:B,2,FALSE)),"",VLOOKUP(F669,'2020功能科目'!A:B,2,FALSE))</f>
        <v>2080505</v>
      </c>
      <c r="F669" s="25" t="s">
        <v>382</v>
      </c>
      <c r="G669" s="26">
        <v>1818863.91</v>
      </c>
      <c r="H669" s="26">
        <v>1888527.3600000001</v>
      </c>
    </row>
    <row r="670" spans="1:8">
      <c r="A670" s="24">
        <v>255068</v>
      </c>
      <c r="B670" s="25" t="s">
        <v>55</v>
      </c>
      <c r="C670" s="39" t="str">
        <f t="shared" si="20"/>
        <v>208</v>
      </c>
      <c r="D670" s="39" t="str">
        <f t="shared" si="21"/>
        <v>20805</v>
      </c>
      <c r="E670" s="39">
        <f>IF(ISNA(VLOOKUP(F670,'2020功能科目'!A:B,2,FALSE)),"",VLOOKUP(F670,'2020功能科目'!A:B,2,FALSE))</f>
        <v>2080506</v>
      </c>
      <c r="F670" s="25" t="s">
        <v>383</v>
      </c>
      <c r="G670" s="26">
        <v>909220.16</v>
      </c>
      <c r="H670" s="26">
        <v>944263.68000000005</v>
      </c>
    </row>
    <row r="671" spans="1:8">
      <c r="A671" s="24">
        <v>255068</v>
      </c>
      <c r="B671" s="25" t="s">
        <v>55</v>
      </c>
      <c r="C671" s="39" t="str">
        <f t="shared" si="20"/>
        <v>210</v>
      </c>
      <c r="D671" s="39" t="str">
        <f t="shared" si="21"/>
        <v>21011</v>
      </c>
      <c r="E671" s="39">
        <f>IF(ISNA(VLOOKUP(F671,'2020功能科目'!A:B,2,FALSE)),"",VLOOKUP(F671,'2020功能科目'!A:B,2,FALSE))</f>
        <v>2101102</v>
      </c>
      <c r="F671" s="25" t="s">
        <v>385</v>
      </c>
      <c r="G671" s="26">
        <v>1908835.73</v>
      </c>
      <c r="H671" s="26">
        <v>1534428.48</v>
      </c>
    </row>
    <row r="672" spans="1:8">
      <c r="A672" s="24">
        <v>255068</v>
      </c>
      <c r="B672" s="25" t="s">
        <v>55</v>
      </c>
      <c r="C672" s="39" t="str">
        <f t="shared" si="20"/>
        <v>210</v>
      </c>
      <c r="D672" s="39" t="str">
        <f t="shared" si="21"/>
        <v>21011</v>
      </c>
      <c r="E672" s="39">
        <f>IF(ISNA(VLOOKUP(F672,'2020功能科目'!A:B,2,FALSE)),"",VLOOKUP(F672,'2020功能科目'!A:B,2,FALSE))</f>
        <v>2101199</v>
      </c>
      <c r="F672" s="25" t="s">
        <v>386</v>
      </c>
      <c r="G672" s="26">
        <v>90000</v>
      </c>
      <c r="H672" s="26">
        <v>90000</v>
      </c>
    </row>
    <row r="673" spans="1:8">
      <c r="A673" s="24">
        <v>255068</v>
      </c>
      <c r="B673" s="25" t="s">
        <v>55</v>
      </c>
      <c r="C673" s="39" t="str">
        <f t="shared" si="20"/>
        <v>221</v>
      </c>
      <c r="D673" s="39" t="str">
        <f t="shared" si="21"/>
        <v>22102</v>
      </c>
      <c r="E673" s="39">
        <f>IF(ISNA(VLOOKUP(F673,'2020功能科目'!A:B,2,FALSE)),"",VLOOKUP(F673,'2020功能科目'!A:B,2,FALSE))</f>
        <v>2210201</v>
      </c>
      <c r="F673" s="25" t="s">
        <v>387</v>
      </c>
      <c r="G673" s="26">
        <v>2355060</v>
      </c>
      <c r="H673" s="26">
        <v>1878395.52</v>
      </c>
    </row>
    <row r="674" spans="1:8">
      <c r="A674" s="24">
        <v>255068</v>
      </c>
      <c r="B674" s="25" t="s">
        <v>55</v>
      </c>
      <c r="C674" s="39" t="str">
        <f t="shared" si="20"/>
        <v>221</v>
      </c>
      <c r="D674" s="39" t="str">
        <f t="shared" si="21"/>
        <v>22102</v>
      </c>
      <c r="E674" s="39">
        <f>IF(ISNA(VLOOKUP(F674,'2020功能科目'!A:B,2,FALSE)),"",VLOOKUP(F674,'2020功能科目'!A:B,2,FALSE))</f>
        <v>2210202</v>
      </c>
      <c r="F674" s="25" t="s">
        <v>388</v>
      </c>
      <c r="G674" s="26">
        <v>138880</v>
      </c>
      <c r="H674" s="26">
        <v>138480</v>
      </c>
    </row>
    <row r="675" spans="1:8">
      <c r="A675" s="24">
        <v>255068</v>
      </c>
      <c r="B675" s="25" t="s">
        <v>55</v>
      </c>
      <c r="C675" s="39" t="str">
        <f t="shared" si="20"/>
        <v>221</v>
      </c>
      <c r="D675" s="39" t="str">
        <f t="shared" si="21"/>
        <v>22102</v>
      </c>
      <c r="E675" s="39">
        <f>IF(ISNA(VLOOKUP(F675,'2020功能科目'!A:B,2,FALSE)),"",VLOOKUP(F675,'2020功能科目'!A:B,2,FALSE))</f>
        <v>2210203</v>
      </c>
      <c r="F675" s="25" t="s">
        <v>389</v>
      </c>
      <c r="G675" s="26">
        <v>1945750</v>
      </c>
      <c r="H675" s="26">
        <v>1920744</v>
      </c>
    </row>
    <row r="676" spans="1:8">
      <c r="A676" s="24">
        <v>255070</v>
      </c>
      <c r="B676" s="25" t="s">
        <v>56</v>
      </c>
      <c r="C676" s="39" t="str">
        <f t="shared" si="20"/>
        <v>205</v>
      </c>
      <c r="D676" s="39" t="str">
        <f t="shared" si="21"/>
        <v>20502</v>
      </c>
      <c r="E676" s="39">
        <f>IF(ISNA(VLOOKUP(F676,'2020功能科目'!A:B,2,FALSE)),"",VLOOKUP(F676,'2020功能科目'!A:B,2,FALSE))</f>
        <v>2050202</v>
      </c>
      <c r="F676" s="25" t="s">
        <v>375</v>
      </c>
      <c r="G676" s="26">
        <v>24866986.949999999</v>
      </c>
      <c r="H676" s="26">
        <v>20894618.210000001</v>
      </c>
    </row>
    <row r="677" spans="1:8">
      <c r="A677" s="24">
        <v>255070</v>
      </c>
      <c r="B677" s="25" t="s">
        <v>56</v>
      </c>
      <c r="C677" s="39" t="str">
        <f t="shared" si="20"/>
        <v>205</v>
      </c>
      <c r="D677" s="39" t="str">
        <f t="shared" si="21"/>
        <v>20502</v>
      </c>
      <c r="E677" s="39">
        <f>IF(ISNA(VLOOKUP(F677,'2020功能科目'!A:B,2,FALSE)),"",VLOOKUP(F677,'2020功能科目'!A:B,2,FALSE))</f>
        <v>2050299</v>
      </c>
      <c r="F677" s="25" t="s">
        <v>377</v>
      </c>
      <c r="G677" s="26">
        <v>94600</v>
      </c>
      <c r="H677" s="26">
        <v>0</v>
      </c>
    </row>
    <row r="678" spans="1:8">
      <c r="A678" s="24">
        <v>255070</v>
      </c>
      <c r="B678" s="25" t="s">
        <v>56</v>
      </c>
      <c r="C678" s="39" t="str">
        <f t="shared" si="20"/>
        <v>205</v>
      </c>
      <c r="D678" s="39" t="str">
        <f t="shared" si="21"/>
        <v>20508</v>
      </c>
      <c r="E678" s="39">
        <f>IF(ISNA(VLOOKUP(F678,'2020功能科目'!A:B,2,FALSE)),"",VLOOKUP(F678,'2020功能科目'!A:B,2,FALSE))</f>
        <v>2050803</v>
      </c>
      <c r="F678" s="25" t="s">
        <v>378</v>
      </c>
      <c r="G678" s="26">
        <v>0</v>
      </c>
      <c r="H678" s="26">
        <v>62400</v>
      </c>
    </row>
    <row r="679" spans="1:8">
      <c r="A679" s="24">
        <v>255070</v>
      </c>
      <c r="B679" s="25" t="s">
        <v>56</v>
      </c>
      <c r="C679" s="39" t="str">
        <f t="shared" si="20"/>
        <v>205</v>
      </c>
      <c r="D679" s="39" t="str">
        <f t="shared" si="21"/>
        <v>20509</v>
      </c>
      <c r="E679" s="39">
        <f>IF(ISNA(VLOOKUP(F679,'2020功能科目'!A:B,2,FALSE)),"",VLOOKUP(F679,'2020功能科目'!A:B,2,FALSE))</f>
        <v>2050903</v>
      </c>
      <c r="F679" s="25" t="s">
        <v>379</v>
      </c>
      <c r="G679" s="26">
        <v>247897.48</v>
      </c>
      <c r="H679" s="26">
        <v>250000</v>
      </c>
    </row>
    <row r="680" spans="1:8">
      <c r="A680" s="24">
        <v>255070</v>
      </c>
      <c r="B680" s="25" t="s">
        <v>56</v>
      </c>
      <c r="C680" s="39" t="str">
        <f t="shared" si="20"/>
        <v>205</v>
      </c>
      <c r="D680" s="39" t="str">
        <f t="shared" si="21"/>
        <v>20509</v>
      </c>
      <c r="E680" s="39">
        <f>IF(ISNA(VLOOKUP(F680,'2020功能科目'!A:B,2,FALSE)),"",VLOOKUP(F680,'2020功能科目'!A:B,2,FALSE))</f>
        <v>2050904</v>
      </c>
      <c r="F680" s="25" t="s">
        <v>380</v>
      </c>
      <c r="G680" s="26">
        <v>65088.21</v>
      </c>
      <c r="H680" s="26">
        <v>65088.21</v>
      </c>
    </row>
    <row r="681" spans="1:8">
      <c r="A681" s="24">
        <v>255070</v>
      </c>
      <c r="B681" s="25" t="s">
        <v>56</v>
      </c>
      <c r="C681" s="39" t="str">
        <f t="shared" si="20"/>
        <v>208</v>
      </c>
      <c r="D681" s="39" t="str">
        <f t="shared" si="21"/>
        <v>20805</v>
      </c>
      <c r="E681" s="39">
        <f>IF(ISNA(VLOOKUP(F681,'2020功能科目'!A:B,2,FALSE)),"",VLOOKUP(F681,'2020功能科目'!A:B,2,FALSE))</f>
        <v>2080502</v>
      </c>
      <c r="F681" s="25" t="s">
        <v>381</v>
      </c>
      <c r="G681" s="26">
        <v>1566265.6</v>
      </c>
      <c r="H681" s="26">
        <v>1029997.6</v>
      </c>
    </row>
    <row r="682" spans="1:8">
      <c r="A682" s="24">
        <v>255070</v>
      </c>
      <c r="B682" s="25" t="s">
        <v>56</v>
      </c>
      <c r="C682" s="39" t="str">
        <f t="shared" si="20"/>
        <v>208</v>
      </c>
      <c r="D682" s="39" t="str">
        <f t="shared" si="21"/>
        <v>20805</v>
      </c>
      <c r="E682" s="39">
        <f>IF(ISNA(VLOOKUP(F682,'2020功能科目'!A:B,2,FALSE)),"",VLOOKUP(F682,'2020功能科目'!A:B,2,FALSE))</f>
        <v>2080505</v>
      </c>
      <c r="F682" s="25" t="s">
        <v>382</v>
      </c>
      <c r="G682" s="26">
        <v>1368195.66</v>
      </c>
      <c r="H682" s="26">
        <v>1829341.44</v>
      </c>
    </row>
    <row r="683" spans="1:8">
      <c r="A683" s="24">
        <v>255070</v>
      </c>
      <c r="B683" s="25" t="s">
        <v>56</v>
      </c>
      <c r="C683" s="39" t="str">
        <f t="shared" si="20"/>
        <v>208</v>
      </c>
      <c r="D683" s="39" t="str">
        <f t="shared" si="21"/>
        <v>20805</v>
      </c>
      <c r="E683" s="39">
        <f>IF(ISNA(VLOOKUP(F683,'2020功能科目'!A:B,2,FALSE)),"",VLOOKUP(F683,'2020功能科目'!A:B,2,FALSE))</f>
        <v>2080506</v>
      </c>
      <c r="F683" s="25" t="s">
        <v>383</v>
      </c>
      <c r="G683" s="26">
        <v>683248.36</v>
      </c>
      <c r="H683" s="26">
        <v>914670.72</v>
      </c>
    </row>
    <row r="684" spans="1:8">
      <c r="A684" s="24">
        <v>255070</v>
      </c>
      <c r="B684" s="25" t="s">
        <v>56</v>
      </c>
      <c r="C684" s="39" t="str">
        <f t="shared" si="20"/>
        <v>210</v>
      </c>
      <c r="D684" s="39" t="str">
        <f t="shared" si="21"/>
        <v>21011</v>
      </c>
      <c r="E684" s="39">
        <f>IF(ISNA(VLOOKUP(F684,'2020功能科目'!A:B,2,FALSE)),"",VLOOKUP(F684,'2020功能科目'!A:B,2,FALSE))</f>
        <v>2101102</v>
      </c>
      <c r="F684" s="25" t="s">
        <v>385</v>
      </c>
      <c r="G684" s="26">
        <v>1595703.18</v>
      </c>
      <c r="H684" s="26">
        <v>1486339.92</v>
      </c>
    </row>
    <row r="685" spans="1:8">
      <c r="A685" s="24">
        <v>255070</v>
      </c>
      <c r="B685" s="25" t="s">
        <v>56</v>
      </c>
      <c r="C685" s="39" t="str">
        <f t="shared" si="20"/>
        <v>210</v>
      </c>
      <c r="D685" s="39" t="str">
        <f t="shared" si="21"/>
        <v>21011</v>
      </c>
      <c r="E685" s="39">
        <f>IF(ISNA(VLOOKUP(F685,'2020功能科目'!A:B,2,FALSE)),"",VLOOKUP(F685,'2020功能科目'!A:B,2,FALSE))</f>
        <v>2101199</v>
      </c>
      <c r="F685" s="25" t="s">
        <v>386</v>
      </c>
      <c r="G685" s="26">
        <v>120000</v>
      </c>
      <c r="H685" s="26">
        <v>180000</v>
      </c>
    </row>
    <row r="686" spans="1:8">
      <c r="A686" s="24">
        <v>255070</v>
      </c>
      <c r="B686" s="25" t="s">
        <v>56</v>
      </c>
      <c r="C686" s="39" t="str">
        <f t="shared" si="20"/>
        <v>221</v>
      </c>
      <c r="D686" s="39" t="str">
        <f t="shared" si="21"/>
        <v>22102</v>
      </c>
      <c r="E686" s="39">
        <f>IF(ISNA(VLOOKUP(F686,'2020功能科目'!A:B,2,FALSE)),"",VLOOKUP(F686,'2020功能科目'!A:B,2,FALSE))</f>
        <v>2210201</v>
      </c>
      <c r="F686" s="25" t="s">
        <v>387</v>
      </c>
      <c r="G686" s="26">
        <v>1839816</v>
      </c>
      <c r="H686" s="26">
        <v>1840006.08</v>
      </c>
    </row>
    <row r="687" spans="1:8">
      <c r="A687" s="24">
        <v>255070</v>
      </c>
      <c r="B687" s="25" t="s">
        <v>56</v>
      </c>
      <c r="C687" s="39" t="str">
        <f t="shared" si="20"/>
        <v>221</v>
      </c>
      <c r="D687" s="39" t="str">
        <f t="shared" si="21"/>
        <v>22102</v>
      </c>
      <c r="E687" s="39">
        <f>IF(ISNA(VLOOKUP(F687,'2020功能科目'!A:B,2,FALSE)),"",VLOOKUP(F687,'2020功能科目'!A:B,2,FALSE))</f>
        <v>2210202</v>
      </c>
      <c r="F687" s="25" t="s">
        <v>388</v>
      </c>
      <c r="G687" s="26">
        <v>127120</v>
      </c>
      <c r="H687" s="26">
        <v>128760</v>
      </c>
    </row>
    <row r="688" spans="1:8">
      <c r="A688" s="24">
        <v>255070</v>
      </c>
      <c r="B688" s="25" t="s">
        <v>56</v>
      </c>
      <c r="C688" s="39" t="str">
        <f t="shared" si="20"/>
        <v>221</v>
      </c>
      <c r="D688" s="39" t="str">
        <f t="shared" si="21"/>
        <v>22102</v>
      </c>
      <c r="E688" s="39">
        <f>IF(ISNA(VLOOKUP(F688,'2020功能科目'!A:B,2,FALSE)),"",VLOOKUP(F688,'2020功能科目'!A:B,2,FALSE))</f>
        <v>2210203</v>
      </c>
      <c r="F688" s="25" t="s">
        <v>389</v>
      </c>
      <c r="G688" s="26">
        <v>1760942</v>
      </c>
      <c r="H688" s="26">
        <v>1763856</v>
      </c>
    </row>
    <row r="689" spans="1:8">
      <c r="A689" s="24">
        <v>255072</v>
      </c>
      <c r="B689" s="25" t="s">
        <v>57</v>
      </c>
      <c r="C689" s="39" t="str">
        <f t="shared" si="20"/>
        <v>205</v>
      </c>
      <c r="D689" s="39" t="str">
        <f t="shared" si="21"/>
        <v>20502</v>
      </c>
      <c r="E689" s="39">
        <f>IF(ISNA(VLOOKUP(F689,'2020功能科目'!A:B,2,FALSE)),"",VLOOKUP(F689,'2020功能科目'!A:B,2,FALSE))</f>
        <v>2050202</v>
      </c>
      <c r="F689" s="25" t="s">
        <v>375</v>
      </c>
      <c r="G689" s="26">
        <v>47768217.350000001</v>
      </c>
      <c r="H689" s="26">
        <v>39470377.200000003</v>
      </c>
    </row>
    <row r="690" spans="1:8">
      <c r="A690" s="24">
        <v>255072</v>
      </c>
      <c r="B690" s="25" t="s">
        <v>57</v>
      </c>
      <c r="C690" s="39" t="str">
        <f t="shared" si="20"/>
        <v>205</v>
      </c>
      <c r="D690" s="39" t="str">
        <f t="shared" si="21"/>
        <v>20502</v>
      </c>
      <c r="E690" s="39">
        <f>IF(ISNA(VLOOKUP(F690,'2020功能科目'!A:B,2,FALSE)),"",VLOOKUP(F690,'2020功能科目'!A:B,2,FALSE))</f>
        <v>2050299</v>
      </c>
      <c r="F690" s="25" t="s">
        <v>377</v>
      </c>
      <c r="G690" s="26">
        <v>230837.91</v>
      </c>
      <c r="H690" s="26">
        <v>296976.40999999997</v>
      </c>
    </row>
    <row r="691" spans="1:8">
      <c r="A691" s="24">
        <v>255072</v>
      </c>
      <c r="B691" s="25" t="s">
        <v>57</v>
      </c>
      <c r="C691" s="39" t="str">
        <f t="shared" si="20"/>
        <v>205</v>
      </c>
      <c r="D691" s="39" t="str">
        <f t="shared" si="21"/>
        <v>20508</v>
      </c>
      <c r="E691" s="39">
        <f>IF(ISNA(VLOOKUP(F691,'2020功能科目'!A:B,2,FALSE)),"",VLOOKUP(F691,'2020功能科目'!A:B,2,FALSE))</f>
        <v>2050803</v>
      </c>
      <c r="F691" s="25" t="s">
        <v>378</v>
      </c>
      <c r="G691" s="26">
        <v>0</v>
      </c>
      <c r="H691" s="26">
        <v>116000</v>
      </c>
    </row>
    <row r="692" spans="1:8">
      <c r="A692" s="24">
        <v>255072</v>
      </c>
      <c r="B692" s="25" t="s">
        <v>57</v>
      </c>
      <c r="C692" s="39" t="str">
        <f t="shared" si="20"/>
        <v>205</v>
      </c>
      <c r="D692" s="39" t="str">
        <f t="shared" si="21"/>
        <v>20509</v>
      </c>
      <c r="E692" s="39">
        <f>IF(ISNA(VLOOKUP(F692,'2020功能科目'!A:B,2,FALSE)),"",VLOOKUP(F692,'2020功能科目'!A:B,2,FALSE))</f>
        <v>2050903</v>
      </c>
      <c r="F692" s="25" t="s">
        <v>379</v>
      </c>
      <c r="G692" s="26">
        <v>245878.29</v>
      </c>
      <c r="H692" s="26">
        <v>250000</v>
      </c>
    </row>
    <row r="693" spans="1:8">
      <c r="A693" s="24">
        <v>255072</v>
      </c>
      <c r="B693" s="25" t="s">
        <v>57</v>
      </c>
      <c r="C693" s="39" t="str">
        <f t="shared" si="20"/>
        <v>205</v>
      </c>
      <c r="D693" s="39" t="str">
        <f t="shared" si="21"/>
        <v>20509</v>
      </c>
      <c r="E693" s="39">
        <f>IF(ISNA(VLOOKUP(F693,'2020功能科目'!A:B,2,FALSE)),"",VLOOKUP(F693,'2020功能科目'!A:B,2,FALSE))</f>
        <v>2050904</v>
      </c>
      <c r="F693" s="25" t="s">
        <v>380</v>
      </c>
      <c r="G693" s="26">
        <v>206568</v>
      </c>
      <c r="H693" s="26">
        <v>254568</v>
      </c>
    </row>
    <row r="694" spans="1:8">
      <c r="A694" s="24">
        <v>255072</v>
      </c>
      <c r="B694" s="25" t="s">
        <v>57</v>
      </c>
      <c r="C694" s="39" t="str">
        <f t="shared" si="20"/>
        <v>208</v>
      </c>
      <c r="D694" s="39" t="str">
        <f t="shared" si="21"/>
        <v>20805</v>
      </c>
      <c r="E694" s="39">
        <f>IF(ISNA(VLOOKUP(F694,'2020功能科目'!A:B,2,FALSE)),"",VLOOKUP(F694,'2020功能科目'!A:B,2,FALSE))</f>
        <v>2080502</v>
      </c>
      <c r="F694" s="25" t="s">
        <v>381</v>
      </c>
      <c r="G694" s="26">
        <v>3368958.53</v>
      </c>
      <c r="H694" s="26">
        <v>2593112.5499999998</v>
      </c>
    </row>
    <row r="695" spans="1:8">
      <c r="A695" s="24">
        <v>255072</v>
      </c>
      <c r="B695" s="25" t="s">
        <v>57</v>
      </c>
      <c r="C695" s="39" t="str">
        <f t="shared" si="20"/>
        <v>208</v>
      </c>
      <c r="D695" s="39" t="str">
        <f t="shared" si="21"/>
        <v>20805</v>
      </c>
      <c r="E695" s="39">
        <f>IF(ISNA(VLOOKUP(F695,'2020功能科目'!A:B,2,FALSE)),"",VLOOKUP(F695,'2020功能科目'!A:B,2,FALSE))</f>
        <v>2080505</v>
      </c>
      <c r="F695" s="25" t="s">
        <v>382</v>
      </c>
      <c r="G695" s="26">
        <v>3571952.64</v>
      </c>
      <c r="H695" s="26">
        <v>3503375.96</v>
      </c>
    </row>
    <row r="696" spans="1:8">
      <c r="A696" s="24">
        <v>255072</v>
      </c>
      <c r="B696" s="25" t="s">
        <v>57</v>
      </c>
      <c r="C696" s="39" t="str">
        <f t="shared" si="20"/>
        <v>208</v>
      </c>
      <c r="D696" s="39" t="str">
        <f t="shared" si="21"/>
        <v>20805</v>
      </c>
      <c r="E696" s="39">
        <f>IF(ISNA(VLOOKUP(F696,'2020功能科目'!A:B,2,FALSE)),"",VLOOKUP(F696,'2020功能科目'!A:B,2,FALSE))</f>
        <v>2080506</v>
      </c>
      <c r="F696" s="25" t="s">
        <v>383</v>
      </c>
      <c r="G696" s="26">
        <v>1786382.72</v>
      </c>
      <c r="H696" s="26">
        <v>1751687.98</v>
      </c>
    </row>
    <row r="697" spans="1:8">
      <c r="A697" s="24">
        <v>255072</v>
      </c>
      <c r="B697" s="25" t="s">
        <v>57</v>
      </c>
      <c r="C697" s="39" t="str">
        <f t="shared" si="20"/>
        <v>210</v>
      </c>
      <c r="D697" s="39" t="str">
        <f t="shared" si="21"/>
        <v>21011</v>
      </c>
      <c r="E697" s="39">
        <f>IF(ISNA(VLOOKUP(F697,'2020功能科目'!A:B,2,FALSE)),"",VLOOKUP(F697,'2020功能科目'!A:B,2,FALSE))</f>
        <v>2101102</v>
      </c>
      <c r="F697" s="25" t="s">
        <v>385</v>
      </c>
      <c r="G697" s="26">
        <v>3452303.76</v>
      </c>
      <c r="H697" s="26">
        <v>2846492.97</v>
      </c>
    </row>
    <row r="698" spans="1:8">
      <c r="A698" s="24">
        <v>255072</v>
      </c>
      <c r="B698" s="25" t="s">
        <v>57</v>
      </c>
      <c r="C698" s="39" t="str">
        <f t="shared" si="20"/>
        <v>210</v>
      </c>
      <c r="D698" s="39" t="str">
        <f t="shared" si="21"/>
        <v>21011</v>
      </c>
      <c r="E698" s="39">
        <f>IF(ISNA(VLOOKUP(F698,'2020功能科目'!A:B,2,FALSE)),"",VLOOKUP(F698,'2020功能科目'!A:B,2,FALSE))</f>
        <v>2101199</v>
      </c>
      <c r="F698" s="25" t="s">
        <v>386</v>
      </c>
      <c r="G698" s="26">
        <v>360000</v>
      </c>
      <c r="H698" s="26">
        <v>360000</v>
      </c>
    </row>
    <row r="699" spans="1:8">
      <c r="A699" s="24">
        <v>255072</v>
      </c>
      <c r="B699" s="25" t="s">
        <v>57</v>
      </c>
      <c r="C699" s="39" t="str">
        <f t="shared" si="20"/>
        <v>221</v>
      </c>
      <c r="D699" s="39" t="str">
        <f t="shared" si="21"/>
        <v>22102</v>
      </c>
      <c r="E699" s="39">
        <f>IF(ISNA(VLOOKUP(F699,'2020功能科目'!A:B,2,FALSE)),"",VLOOKUP(F699,'2020功能科目'!A:B,2,FALSE))</f>
        <v>2210201</v>
      </c>
      <c r="F699" s="25" t="s">
        <v>387</v>
      </c>
      <c r="G699" s="26">
        <v>4137266</v>
      </c>
      <c r="H699" s="26">
        <v>3497531.97</v>
      </c>
    </row>
    <row r="700" spans="1:8">
      <c r="A700" s="24">
        <v>255072</v>
      </c>
      <c r="B700" s="25" t="s">
        <v>57</v>
      </c>
      <c r="C700" s="39" t="str">
        <f t="shared" si="20"/>
        <v>221</v>
      </c>
      <c r="D700" s="39" t="str">
        <f t="shared" si="21"/>
        <v>22102</v>
      </c>
      <c r="E700" s="39">
        <f>IF(ISNA(VLOOKUP(F700,'2020功能科目'!A:B,2,FALSE)),"",VLOOKUP(F700,'2020功能科目'!A:B,2,FALSE))</f>
        <v>2210202</v>
      </c>
      <c r="F700" s="25" t="s">
        <v>388</v>
      </c>
      <c r="G700" s="26">
        <v>174920</v>
      </c>
      <c r="H700" s="26">
        <v>178680</v>
      </c>
    </row>
    <row r="701" spans="1:8">
      <c r="A701" s="24">
        <v>255072</v>
      </c>
      <c r="B701" s="25" t="s">
        <v>57</v>
      </c>
      <c r="C701" s="39" t="str">
        <f t="shared" si="20"/>
        <v>221</v>
      </c>
      <c r="D701" s="39" t="str">
        <f t="shared" si="21"/>
        <v>22102</v>
      </c>
      <c r="E701" s="39">
        <f>IF(ISNA(VLOOKUP(F701,'2020功能科目'!A:B,2,FALSE)),"",VLOOKUP(F701,'2020功能科目'!A:B,2,FALSE))</f>
        <v>2210203</v>
      </c>
      <c r="F701" s="25" t="s">
        <v>389</v>
      </c>
      <c r="G701" s="26">
        <v>3287264</v>
      </c>
      <c r="H701" s="26">
        <v>3130500</v>
      </c>
    </row>
    <row r="702" spans="1:8">
      <c r="A702" s="24">
        <v>255073</v>
      </c>
      <c r="B702" s="25" t="s">
        <v>58</v>
      </c>
      <c r="C702" s="39" t="str">
        <f t="shared" si="20"/>
        <v>205</v>
      </c>
      <c r="D702" s="39" t="str">
        <f t="shared" si="21"/>
        <v>20502</v>
      </c>
      <c r="E702" s="39">
        <f>IF(ISNA(VLOOKUP(F702,'2020功能科目'!A:B,2,FALSE)),"",VLOOKUP(F702,'2020功能科目'!A:B,2,FALSE))</f>
        <v>2050202</v>
      </c>
      <c r="F702" s="25" t="s">
        <v>375</v>
      </c>
      <c r="G702" s="26">
        <v>18570087.850000001</v>
      </c>
      <c r="H702" s="26">
        <v>13742374.869999999</v>
      </c>
    </row>
    <row r="703" spans="1:8">
      <c r="A703" s="24">
        <v>255073</v>
      </c>
      <c r="B703" s="25" t="s">
        <v>58</v>
      </c>
      <c r="C703" s="39" t="str">
        <f t="shared" si="20"/>
        <v>205</v>
      </c>
      <c r="D703" s="39" t="str">
        <f t="shared" si="21"/>
        <v>20502</v>
      </c>
      <c r="E703" s="39">
        <f>IF(ISNA(VLOOKUP(F703,'2020功能科目'!A:B,2,FALSE)),"",VLOOKUP(F703,'2020功能科目'!A:B,2,FALSE))</f>
        <v>2050299</v>
      </c>
      <c r="F703" s="25" t="s">
        <v>377</v>
      </c>
      <c r="G703" s="26">
        <v>71679.460000000006</v>
      </c>
      <c r="H703" s="26">
        <v>115290.02</v>
      </c>
    </row>
    <row r="704" spans="1:8">
      <c r="A704" s="24">
        <v>255073</v>
      </c>
      <c r="B704" s="25" t="s">
        <v>58</v>
      </c>
      <c r="C704" s="39" t="str">
        <f t="shared" si="20"/>
        <v>205</v>
      </c>
      <c r="D704" s="39" t="str">
        <f t="shared" si="21"/>
        <v>20508</v>
      </c>
      <c r="E704" s="39">
        <f>IF(ISNA(VLOOKUP(F704,'2020功能科目'!A:B,2,FALSE)),"",VLOOKUP(F704,'2020功能科目'!A:B,2,FALSE))</f>
        <v>2050803</v>
      </c>
      <c r="F704" s="25" t="s">
        <v>378</v>
      </c>
      <c r="G704" s="26">
        <v>0</v>
      </c>
      <c r="H704" s="26">
        <v>42400</v>
      </c>
    </row>
    <row r="705" spans="1:8">
      <c r="A705" s="24">
        <v>255073</v>
      </c>
      <c r="B705" s="25" t="s">
        <v>58</v>
      </c>
      <c r="C705" s="39" t="str">
        <f t="shared" si="20"/>
        <v>205</v>
      </c>
      <c r="D705" s="39" t="str">
        <f t="shared" si="21"/>
        <v>20509</v>
      </c>
      <c r="E705" s="39">
        <f>IF(ISNA(VLOOKUP(F705,'2020功能科目'!A:B,2,FALSE)),"",VLOOKUP(F705,'2020功能科目'!A:B,2,FALSE))</f>
        <v>2050904</v>
      </c>
      <c r="F705" s="25" t="s">
        <v>380</v>
      </c>
      <c r="G705" s="26">
        <v>741276</v>
      </c>
      <c r="H705" s="26">
        <v>741276</v>
      </c>
    </row>
    <row r="706" spans="1:8">
      <c r="A706" s="24">
        <v>255073</v>
      </c>
      <c r="B706" s="25" t="s">
        <v>58</v>
      </c>
      <c r="C706" s="39" t="str">
        <f t="shared" si="20"/>
        <v>208</v>
      </c>
      <c r="D706" s="39" t="str">
        <f t="shared" si="21"/>
        <v>20805</v>
      </c>
      <c r="E706" s="39">
        <f>IF(ISNA(VLOOKUP(F706,'2020功能科目'!A:B,2,FALSE)),"",VLOOKUP(F706,'2020功能科目'!A:B,2,FALSE))</f>
        <v>2080502</v>
      </c>
      <c r="F706" s="25" t="s">
        <v>381</v>
      </c>
      <c r="G706" s="26">
        <v>808724.6</v>
      </c>
      <c r="H706" s="26">
        <v>503486</v>
      </c>
    </row>
    <row r="707" spans="1:8">
      <c r="A707" s="24">
        <v>255073</v>
      </c>
      <c r="B707" s="25" t="s">
        <v>58</v>
      </c>
      <c r="C707" s="39" t="str">
        <f t="shared" ref="C707:C770" si="22">LEFT(D707,3)</f>
        <v>208</v>
      </c>
      <c r="D707" s="39" t="str">
        <f t="shared" ref="D707:D770" si="23">LEFT(E707,5)</f>
        <v>20805</v>
      </c>
      <c r="E707" s="39">
        <f>IF(ISNA(VLOOKUP(F707,'2020功能科目'!A:B,2,FALSE)),"",VLOOKUP(F707,'2020功能科目'!A:B,2,FALSE))</f>
        <v>2080505</v>
      </c>
      <c r="F707" s="25" t="s">
        <v>382</v>
      </c>
      <c r="G707" s="26">
        <v>1175634.07</v>
      </c>
      <c r="H707" s="26">
        <v>1151721.28</v>
      </c>
    </row>
    <row r="708" spans="1:8">
      <c r="A708" s="24">
        <v>255073</v>
      </c>
      <c r="B708" s="25" t="s">
        <v>58</v>
      </c>
      <c r="C708" s="39" t="str">
        <f t="shared" si="22"/>
        <v>208</v>
      </c>
      <c r="D708" s="39" t="str">
        <f t="shared" si="23"/>
        <v>20805</v>
      </c>
      <c r="E708" s="39">
        <f>IF(ISNA(VLOOKUP(F708,'2020功能科目'!A:B,2,FALSE)),"",VLOOKUP(F708,'2020功能科目'!A:B,2,FALSE))</f>
        <v>2080506</v>
      </c>
      <c r="F708" s="25" t="s">
        <v>383</v>
      </c>
      <c r="G708" s="26">
        <v>587789.19999999995</v>
      </c>
      <c r="H708" s="26">
        <v>575860.64</v>
      </c>
    </row>
    <row r="709" spans="1:8">
      <c r="A709" s="24">
        <v>255073</v>
      </c>
      <c r="B709" s="25" t="s">
        <v>58</v>
      </c>
      <c r="C709" s="39" t="str">
        <f t="shared" si="22"/>
        <v>210</v>
      </c>
      <c r="D709" s="39" t="str">
        <f t="shared" si="23"/>
        <v>21011</v>
      </c>
      <c r="E709" s="39">
        <f>IF(ISNA(VLOOKUP(F709,'2020功能科目'!A:B,2,FALSE)),"",VLOOKUP(F709,'2020功能科目'!A:B,2,FALSE))</f>
        <v>2101102</v>
      </c>
      <c r="F709" s="25" t="s">
        <v>385</v>
      </c>
      <c r="G709" s="26">
        <v>1173030.74</v>
      </c>
      <c r="H709" s="26">
        <v>935773.54</v>
      </c>
    </row>
    <row r="710" spans="1:8">
      <c r="A710" s="24">
        <v>255073</v>
      </c>
      <c r="B710" s="25" t="s">
        <v>58</v>
      </c>
      <c r="C710" s="39" t="str">
        <f t="shared" si="22"/>
        <v>221</v>
      </c>
      <c r="D710" s="39" t="str">
        <f t="shared" si="23"/>
        <v>22102</v>
      </c>
      <c r="E710" s="39">
        <f>IF(ISNA(VLOOKUP(F710,'2020功能科目'!A:B,2,FALSE)),"",VLOOKUP(F710,'2020功能科目'!A:B,2,FALSE))</f>
        <v>2210201</v>
      </c>
      <c r="F710" s="25" t="s">
        <v>387</v>
      </c>
      <c r="G710" s="26">
        <v>1522981</v>
      </c>
      <c r="H710" s="26">
        <v>1181790.96</v>
      </c>
    </row>
    <row r="711" spans="1:8">
      <c r="A711" s="24">
        <v>255073</v>
      </c>
      <c r="B711" s="25" t="s">
        <v>58</v>
      </c>
      <c r="C711" s="39" t="str">
        <f t="shared" si="22"/>
        <v>221</v>
      </c>
      <c r="D711" s="39" t="str">
        <f t="shared" si="23"/>
        <v>22102</v>
      </c>
      <c r="E711" s="39">
        <f>IF(ISNA(VLOOKUP(F711,'2020功能科目'!A:B,2,FALSE)),"",VLOOKUP(F711,'2020功能科目'!A:B,2,FALSE))</f>
        <v>2210202</v>
      </c>
      <c r="F711" s="25" t="s">
        <v>388</v>
      </c>
      <c r="G711" s="26">
        <v>93440</v>
      </c>
      <c r="H711" s="26">
        <v>94680</v>
      </c>
    </row>
    <row r="712" spans="1:8">
      <c r="A712" s="24">
        <v>255073</v>
      </c>
      <c r="B712" s="25" t="s">
        <v>58</v>
      </c>
      <c r="C712" s="39" t="str">
        <f t="shared" si="22"/>
        <v>221</v>
      </c>
      <c r="D712" s="39" t="str">
        <f t="shared" si="23"/>
        <v>22102</v>
      </c>
      <c r="E712" s="39">
        <f>IF(ISNA(VLOOKUP(F712,'2020功能科目'!A:B,2,FALSE)),"",VLOOKUP(F712,'2020功能科目'!A:B,2,FALSE))</f>
        <v>2210203</v>
      </c>
      <c r="F712" s="25" t="s">
        <v>389</v>
      </c>
      <c r="G712" s="26">
        <v>1218350</v>
      </c>
      <c r="H712" s="26">
        <v>1161552</v>
      </c>
    </row>
    <row r="713" spans="1:8">
      <c r="A713" s="24">
        <v>255074</v>
      </c>
      <c r="B713" s="25" t="s">
        <v>59</v>
      </c>
      <c r="C713" s="39" t="str">
        <f t="shared" si="22"/>
        <v>205</v>
      </c>
      <c r="D713" s="39" t="str">
        <f t="shared" si="23"/>
        <v>20502</v>
      </c>
      <c r="E713" s="39">
        <f>IF(ISNA(VLOOKUP(F713,'2020功能科目'!A:B,2,FALSE)),"",VLOOKUP(F713,'2020功能科目'!A:B,2,FALSE))</f>
        <v>2050202</v>
      </c>
      <c r="F713" s="25" t="s">
        <v>375</v>
      </c>
      <c r="G713" s="26">
        <v>25692097.649999999</v>
      </c>
      <c r="H713" s="26">
        <v>17810430.899999999</v>
      </c>
    </row>
    <row r="714" spans="1:8">
      <c r="A714" s="24">
        <v>255074</v>
      </c>
      <c r="B714" s="25" t="s">
        <v>59</v>
      </c>
      <c r="C714" s="39" t="str">
        <f t="shared" si="22"/>
        <v>205</v>
      </c>
      <c r="D714" s="39" t="str">
        <f t="shared" si="23"/>
        <v>20502</v>
      </c>
      <c r="E714" s="39">
        <f>IF(ISNA(VLOOKUP(F714,'2020功能科目'!A:B,2,FALSE)),"",VLOOKUP(F714,'2020功能科目'!A:B,2,FALSE))</f>
        <v>2050299</v>
      </c>
      <c r="F714" s="25" t="s">
        <v>377</v>
      </c>
      <c r="G714" s="26">
        <v>123907.93</v>
      </c>
      <c r="H714" s="26">
        <v>165862.81</v>
      </c>
    </row>
    <row r="715" spans="1:8">
      <c r="A715" s="24">
        <v>255074</v>
      </c>
      <c r="B715" s="25" t="s">
        <v>59</v>
      </c>
      <c r="C715" s="39" t="str">
        <f t="shared" si="22"/>
        <v>205</v>
      </c>
      <c r="D715" s="39" t="str">
        <f t="shared" si="23"/>
        <v>20508</v>
      </c>
      <c r="E715" s="39">
        <f>IF(ISNA(VLOOKUP(F715,'2020功能科目'!A:B,2,FALSE)),"",VLOOKUP(F715,'2020功能科目'!A:B,2,FALSE))</f>
        <v>2050803</v>
      </c>
      <c r="F715" s="25" t="s">
        <v>378</v>
      </c>
      <c r="G715" s="26">
        <v>0</v>
      </c>
      <c r="H715" s="26">
        <v>56000</v>
      </c>
    </row>
    <row r="716" spans="1:8">
      <c r="A716" s="24">
        <v>255074</v>
      </c>
      <c r="B716" s="25" t="s">
        <v>59</v>
      </c>
      <c r="C716" s="39" t="str">
        <f t="shared" si="22"/>
        <v>205</v>
      </c>
      <c r="D716" s="39" t="str">
        <f t="shared" si="23"/>
        <v>20509</v>
      </c>
      <c r="E716" s="39">
        <f>IF(ISNA(VLOOKUP(F716,'2020功能科目'!A:B,2,FALSE)),"",VLOOKUP(F716,'2020功能科目'!A:B,2,FALSE))</f>
        <v>2050903</v>
      </c>
      <c r="F716" s="25" t="s">
        <v>379</v>
      </c>
      <c r="G716" s="26">
        <v>0</v>
      </c>
      <c r="H716" s="26">
        <v>100000</v>
      </c>
    </row>
    <row r="717" spans="1:8">
      <c r="A717" s="24">
        <v>255074</v>
      </c>
      <c r="B717" s="25" t="s">
        <v>59</v>
      </c>
      <c r="C717" s="39" t="str">
        <f t="shared" si="22"/>
        <v>205</v>
      </c>
      <c r="D717" s="39" t="str">
        <f t="shared" si="23"/>
        <v>20509</v>
      </c>
      <c r="E717" s="39">
        <f>IF(ISNA(VLOOKUP(F717,'2020功能科目'!A:B,2,FALSE)),"",VLOOKUP(F717,'2020功能科目'!A:B,2,FALSE))</f>
        <v>2050904</v>
      </c>
      <c r="F717" s="25" t="s">
        <v>380</v>
      </c>
      <c r="G717" s="26">
        <v>408200</v>
      </c>
      <c r="H717" s="26">
        <v>408200</v>
      </c>
    </row>
    <row r="718" spans="1:8">
      <c r="A718" s="24">
        <v>255074</v>
      </c>
      <c r="B718" s="25" t="s">
        <v>59</v>
      </c>
      <c r="C718" s="39" t="str">
        <f t="shared" si="22"/>
        <v>208</v>
      </c>
      <c r="D718" s="39" t="str">
        <f t="shared" si="23"/>
        <v>20805</v>
      </c>
      <c r="E718" s="39">
        <f>IF(ISNA(VLOOKUP(F718,'2020功能科目'!A:B,2,FALSE)),"",VLOOKUP(F718,'2020功能科目'!A:B,2,FALSE))</f>
        <v>2080502</v>
      </c>
      <c r="F718" s="25" t="s">
        <v>381</v>
      </c>
      <c r="G718" s="26">
        <v>957672.08</v>
      </c>
      <c r="H718" s="26">
        <v>812924.5</v>
      </c>
    </row>
    <row r="719" spans="1:8">
      <c r="A719" s="24">
        <v>255074</v>
      </c>
      <c r="B719" s="25" t="s">
        <v>59</v>
      </c>
      <c r="C719" s="39" t="str">
        <f t="shared" si="22"/>
        <v>208</v>
      </c>
      <c r="D719" s="39" t="str">
        <f t="shared" si="23"/>
        <v>20805</v>
      </c>
      <c r="E719" s="39">
        <f>IF(ISNA(VLOOKUP(F719,'2020功能科目'!A:B,2,FALSE)),"",VLOOKUP(F719,'2020功能科目'!A:B,2,FALSE))</f>
        <v>2080505</v>
      </c>
      <c r="F719" s="25" t="s">
        <v>382</v>
      </c>
      <c r="G719" s="26">
        <v>1652950.08</v>
      </c>
      <c r="H719" s="26">
        <v>1518813.76</v>
      </c>
    </row>
    <row r="720" spans="1:8">
      <c r="A720" s="24">
        <v>255074</v>
      </c>
      <c r="B720" s="25" t="s">
        <v>59</v>
      </c>
      <c r="C720" s="39" t="str">
        <f t="shared" si="22"/>
        <v>208</v>
      </c>
      <c r="D720" s="39" t="str">
        <f t="shared" si="23"/>
        <v>20805</v>
      </c>
      <c r="E720" s="39">
        <f>IF(ISNA(VLOOKUP(F720,'2020功能科目'!A:B,2,FALSE)),"",VLOOKUP(F720,'2020功能科目'!A:B,2,FALSE))</f>
        <v>2080506</v>
      </c>
      <c r="F720" s="25" t="s">
        <v>383</v>
      </c>
      <c r="G720" s="26">
        <v>826475.04</v>
      </c>
      <c r="H720" s="26">
        <v>759406.88</v>
      </c>
    </row>
    <row r="721" spans="1:8">
      <c r="A721" s="24">
        <v>255074</v>
      </c>
      <c r="B721" s="25" t="s">
        <v>59</v>
      </c>
      <c r="C721" s="39" t="str">
        <f t="shared" si="22"/>
        <v>210</v>
      </c>
      <c r="D721" s="39" t="str">
        <f t="shared" si="23"/>
        <v>21011</v>
      </c>
      <c r="E721" s="39">
        <f>IF(ISNA(VLOOKUP(F721,'2020功能科目'!A:B,2,FALSE)),"",VLOOKUP(F721,'2020功能科目'!A:B,2,FALSE))</f>
        <v>2101102</v>
      </c>
      <c r="F721" s="25" t="s">
        <v>385</v>
      </c>
      <c r="G721" s="26">
        <v>1669978.73</v>
      </c>
      <c r="H721" s="26">
        <v>1234036.18</v>
      </c>
    </row>
    <row r="722" spans="1:8">
      <c r="A722" s="24">
        <v>255074</v>
      </c>
      <c r="B722" s="25" t="s">
        <v>59</v>
      </c>
      <c r="C722" s="39" t="str">
        <f t="shared" si="22"/>
        <v>210</v>
      </c>
      <c r="D722" s="39" t="str">
        <f t="shared" si="23"/>
        <v>21011</v>
      </c>
      <c r="E722" s="39">
        <f>IF(ISNA(VLOOKUP(F722,'2020功能科目'!A:B,2,FALSE)),"",VLOOKUP(F722,'2020功能科目'!A:B,2,FALSE))</f>
        <v>2101199</v>
      </c>
      <c r="F722" s="25" t="s">
        <v>386</v>
      </c>
      <c r="G722" s="26">
        <v>180000</v>
      </c>
      <c r="H722" s="26">
        <v>180000</v>
      </c>
    </row>
    <row r="723" spans="1:8">
      <c r="A723" s="24">
        <v>255074</v>
      </c>
      <c r="B723" s="25" t="s">
        <v>59</v>
      </c>
      <c r="C723" s="39" t="str">
        <f t="shared" si="22"/>
        <v>221</v>
      </c>
      <c r="D723" s="39" t="str">
        <f t="shared" si="23"/>
        <v>22102</v>
      </c>
      <c r="E723" s="39">
        <f>IF(ISNA(VLOOKUP(F723,'2020功能科目'!A:B,2,FALSE)),"",VLOOKUP(F723,'2020功能科目'!A:B,2,FALSE))</f>
        <v>2210201</v>
      </c>
      <c r="F723" s="25" t="s">
        <v>387</v>
      </c>
      <c r="G723" s="26">
        <v>2096811</v>
      </c>
      <c r="H723" s="26">
        <v>1559110.32</v>
      </c>
    </row>
    <row r="724" spans="1:8">
      <c r="A724" s="24">
        <v>255074</v>
      </c>
      <c r="B724" s="25" t="s">
        <v>59</v>
      </c>
      <c r="C724" s="39" t="str">
        <f t="shared" si="22"/>
        <v>221</v>
      </c>
      <c r="D724" s="39" t="str">
        <f t="shared" si="23"/>
        <v>22102</v>
      </c>
      <c r="E724" s="39">
        <f>IF(ISNA(VLOOKUP(F724,'2020功能科目'!A:B,2,FALSE)),"",VLOOKUP(F724,'2020功能科目'!A:B,2,FALSE))</f>
        <v>2210202</v>
      </c>
      <c r="F724" s="25" t="s">
        <v>388</v>
      </c>
      <c r="G724" s="26">
        <v>103080</v>
      </c>
      <c r="H724" s="26">
        <v>103080</v>
      </c>
    </row>
    <row r="725" spans="1:8">
      <c r="A725" s="24">
        <v>255074</v>
      </c>
      <c r="B725" s="25" t="s">
        <v>59</v>
      </c>
      <c r="C725" s="39" t="str">
        <f t="shared" si="22"/>
        <v>221</v>
      </c>
      <c r="D725" s="39" t="str">
        <f t="shared" si="23"/>
        <v>22102</v>
      </c>
      <c r="E725" s="39">
        <f>IF(ISNA(VLOOKUP(F725,'2020功能科目'!A:B,2,FALSE)),"",VLOOKUP(F725,'2020功能科目'!A:B,2,FALSE))</f>
        <v>2210203</v>
      </c>
      <c r="F725" s="25" t="s">
        <v>389</v>
      </c>
      <c r="G725" s="26">
        <v>1763590</v>
      </c>
      <c r="H725" s="26">
        <v>1648392</v>
      </c>
    </row>
    <row r="726" spans="1:8">
      <c r="A726" s="24">
        <v>255075</v>
      </c>
      <c r="B726" s="25" t="s">
        <v>60</v>
      </c>
      <c r="C726" s="39" t="str">
        <f t="shared" si="22"/>
        <v>205</v>
      </c>
      <c r="D726" s="39" t="str">
        <f t="shared" si="23"/>
        <v>20502</v>
      </c>
      <c r="E726" s="39">
        <f>IF(ISNA(VLOOKUP(F726,'2020功能科目'!A:B,2,FALSE)),"",VLOOKUP(F726,'2020功能科目'!A:B,2,FALSE))</f>
        <v>2050202</v>
      </c>
      <c r="F726" s="25" t="s">
        <v>375</v>
      </c>
      <c r="G726" s="26">
        <v>33055128.309999999</v>
      </c>
      <c r="H726" s="26">
        <v>24871780.690000001</v>
      </c>
    </row>
    <row r="727" spans="1:8">
      <c r="A727" s="24">
        <v>255075</v>
      </c>
      <c r="B727" s="25" t="s">
        <v>60</v>
      </c>
      <c r="C727" s="39" t="str">
        <f t="shared" si="22"/>
        <v>205</v>
      </c>
      <c r="D727" s="39" t="str">
        <f t="shared" si="23"/>
        <v>20502</v>
      </c>
      <c r="E727" s="39">
        <f>IF(ISNA(VLOOKUP(F727,'2020功能科目'!A:B,2,FALSE)),"",VLOOKUP(F727,'2020功能科目'!A:B,2,FALSE))</f>
        <v>2050299</v>
      </c>
      <c r="F727" s="25" t="s">
        <v>377</v>
      </c>
      <c r="G727" s="26">
        <v>184698.54</v>
      </c>
      <c r="H727" s="26">
        <v>593604.42000000004</v>
      </c>
    </row>
    <row r="728" spans="1:8">
      <c r="A728" s="24">
        <v>255075</v>
      </c>
      <c r="B728" s="25" t="s">
        <v>60</v>
      </c>
      <c r="C728" s="39" t="str">
        <f t="shared" si="22"/>
        <v>205</v>
      </c>
      <c r="D728" s="39" t="str">
        <f t="shared" si="23"/>
        <v>20508</v>
      </c>
      <c r="E728" s="39">
        <f>IF(ISNA(VLOOKUP(F728,'2020功能科目'!A:B,2,FALSE)),"",VLOOKUP(F728,'2020功能科目'!A:B,2,FALSE))</f>
        <v>2050803</v>
      </c>
      <c r="F728" s="25" t="s">
        <v>378</v>
      </c>
      <c r="G728" s="26">
        <v>0</v>
      </c>
      <c r="H728" s="26">
        <v>74400</v>
      </c>
    </row>
    <row r="729" spans="1:8">
      <c r="A729" s="24">
        <v>255075</v>
      </c>
      <c r="B729" s="25" t="s">
        <v>60</v>
      </c>
      <c r="C729" s="39" t="str">
        <f t="shared" si="22"/>
        <v>205</v>
      </c>
      <c r="D729" s="39" t="str">
        <f t="shared" si="23"/>
        <v>20509</v>
      </c>
      <c r="E729" s="39">
        <f>IF(ISNA(VLOOKUP(F729,'2020功能科目'!A:B,2,FALSE)),"",VLOOKUP(F729,'2020功能科目'!A:B,2,FALSE))</f>
        <v>2050903</v>
      </c>
      <c r="F729" s="25" t="s">
        <v>379</v>
      </c>
      <c r="G729" s="26">
        <v>847000</v>
      </c>
      <c r="H729" s="26">
        <v>1057000</v>
      </c>
    </row>
    <row r="730" spans="1:8">
      <c r="A730" s="24">
        <v>255075</v>
      </c>
      <c r="B730" s="25" t="s">
        <v>60</v>
      </c>
      <c r="C730" s="39" t="str">
        <f t="shared" si="22"/>
        <v>205</v>
      </c>
      <c r="D730" s="39" t="str">
        <f t="shared" si="23"/>
        <v>20509</v>
      </c>
      <c r="E730" s="39">
        <f>IF(ISNA(VLOOKUP(F730,'2020功能科目'!A:B,2,FALSE)),"",VLOOKUP(F730,'2020功能科目'!A:B,2,FALSE))</f>
        <v>2050904</v>
      </c>
      <c r="F730" s="25" t="s">
        <v>380</v>
      </c>
      <c r="G730" s="26">
        <v>1135736.21</v>
      </c>
      <c r="H730" s="26">
        <v>1135736.21</v>
      </c>
    </row>
    <row r="731" spans="1:8">
      <c r="A731" s="24">
        <v>255075</v>
      </c>
      <c r="B731" s="25" t="s">
        <v>60</v>
      </c>
      <c r="C731" s="39" t="str">
        <f t="shared" si="22"/>
        <v>208</v>
      </c>
      <c r="D731" s="39" t="str">
        <f t="shared" si="23"/>
        <v>20805</v>
      </c>
      <c r="E731" s="39">
        <f>IF(ISNA(VLOOKUP(F731,'2020功能科目'!A:B,2,FALSE)),"",VLOOKUP(F731,'2020功能科目'!A:B,2,FALSE))</f>
        <v>2080502</v>
      </c>
      <c r="F731" s="25" t="s">
        <v>381</v>
      </c>
      <c r="G731" s="26">
        <v>2572160.36</v>
      </c>
      <c r="H731" s="26">
        <v>1944648.7</v>
      </c>
    </row>
    <row r="732" spans="1:8">
      <c r="A732" s="24">
        <v>255075</v>
      </c>
      <c r="B732" s="25" t="s">
        <v>60</v>
      </c>
      <c r="C732" s="39" t="str">
        <f t="shared" si="22"/>
        <v>208</v>
      </c>
      <c r="D732" s="39" t="str">
        <f t="shared" si="23"/>
        <v>20805</v>
      </c>
      <c r="E732" s="39">
        <f>IF(ISNA(VLOOKUP(F732,'2020功能科目'!A:B,2,FALSE)),"",VLOOKUP(F732,'2020功能科目'!A:B,2,FALSE))</f>
        <v>2080505</v>
      </c>
      <c r="F732" s="25" t="s">
        <v>382</v>
      </c>
      <c r="G732" s="26">
        <v>2241309.7599999998</v>
      </c>
      <c r="H732" s="26">
        <v>2178903.04</v>
      </c>
    </row>
    <row r="733" spans="1:8">
      <c r="A733" s="24">
        <v>255075</v>
      </c>
      <c r="B733" s="25" t="s">
        <v>60</v>
      </c>
      <c r="C733" s="39" t="str">
        <f t="shared" si="22"/>
        <v>208</v>
      </c>
      <c r="D733" s="39" t="str">
        <f t="shared" si="23"/>
        <v>20805</v>
      </c>
      <c r="E733" s="39">
        <f>IF(ISNA(VLOOKUP(F733,'2020功能科目'!A:B,2,FALSE)),"",VLOOKUP(F733,'2020功能科目'!A:B,2,FALSE))</f>
        <v>2080506</v>
      </c>
      <c r="F733" s="25" t="s">
        <v>383</v>
      </c>
      <c r="G733" s="26">
        <v>1120665.8</v>
      </c>
      <c r="H733" s="26">
        <v>1089451.52</v>
      </c>
    </row>
    <row r="734" spans="1:8">
      <c r="A734" s="24">
        <v>255075</v>
      </c>
      <c r="B734" s="25" t="s">
        <v>60</v>
      </c>
      <c r="C734" s="39" t="str">
        <f t="shared" si="22"/>
        <v>210</v>
      </c>
      <c r="D734" s="39" t="str">
        <f t="shared" si="23"/>
        <v>21011</v>
      </c>
      <c r="E734" s="39">
        <f>IF(ISNA(VLOOKUP(F734,'2020功能科目'!A:B,2,FALSE)),"",VLOOKUP(F734,'2020功能科目'!A:B,2,FALSE))</f>
        <v>2101102</v>
      </c>
      <c r="F734" s="25" t="s">
        <v>385</v>
      </c>
      <c r="G734" s="26">
        <v>2286435.71</v>
      </c>
      <c r="H734" s="26">
        <v>1770358.72</v>
      </c>
    </row>
    <row r="735" spans="1:8">
      <c r="A735" s="24">
        <v>255075</v>
      </c>
      <c r="B735" s="25" t="s">
        <v>60</v>
      </c>
      <c r="C735" s="39" t="str">
        <f t="shared" si="22"/>
        <v>210</v>
      </c>
      <c r="D735" s="39" t="str">
        <f t="shared" si="23"/>
        <v>21011</v>
      </c>
      <c r="E735" s="39">
        <f>IF(ISNA(VLOOKUP(F735,'2020功能科目'!A:B,2,FALSE)),"",VLOOKUP(F735,'2020功能科目'!A:B,2,FALSE))</f>
        <v>2101199</v>
      </c>
      <c r="F735" s="25" t="s">
        <v>386</v>
      </c>
      <c r="G735" s="26">
        <v>90000</v>
      </c>
      <c r="H735" s="26">
        <v>90000</v>
      </c>
    </row>
    <row r="736" spans="1:8">
      <c r="A736" s="24">
        <v>255075</v>
      </c>
      <c r="B736" s="25" t="s">
        <v>60</v>
      </c>
      <c r="C736" s="39" t="str">
        <f t="shared" si="22"/>
        <v>221</v>
      </c>
      <c r="D736" s="39" t="str">
        <f t="shared" si="23"/>
        <v>22102</v>
      </c>
      <c r="E736" s="39">
        <f>IF(ISNA(VLOOKUP(F736,'2020功能科目'!A:B,2,FALSE)),"",VLOOKUP(F736,'2020功能科目'!A:B,2,FALSE))</f>
        <v>2210201</v>
      </c>
      <c r="F736" s="25" t="s">
        <v>387</v>
      </c>
      <c r="G736" s="26">
        <v>2631855</v>
      </c>
      <c r="H736" s="26">
        <v>2192177.2799999998</v>
      </c>
    </row>
    <row r="737" spans="1:8">
      <c r="A737" s="24">
        <v>255075</v>
      </c>
      <c r="B737" s="25" t="s">
        <v>60</v>
      </c>
      <c r="C737" s="39" t="str">
        <f t="shared" si="22"/>
        <v>221</v>
      </c>
      <c r="D737" s="39" t="str">
        <f t="shared" si="23"/>
        <v>22102</v>
      </c>
      <c r="E737" s="39">
        <f>IF(ISNA(VLOOKUP(F737,'2020功能科目'!A:B,2,FALSE)),"",VLOOKUP(F737,'2020功能科目'!A:B,2,FALSE))</f>
        <v>2210202</v>
      </c>
      <c r="F737" s="25" t="s">
        <v>388</v>
      </c>
      <c r="G737" s="26">
        <v>242400</v>
      </c>
      <c r="H737" s="26">
        <v>244920</v>
      </c>
    </row>
    <row r="738" spans="1:8">
      <c r="A738" s="24">
        <v>255075</v>
      </c>
      <c r="B738" s="25" t="s">
        <v>60</v>
      </c>
      <c r="C738" s="39" t="str">
        <f t="shared" si="22"/>
        <v>221</v>
      </c>
      <c r="D738" s="39" t="str">
        <f t="shared" si="23"/>
        <v>22102</v>
      </c>
      <c r="E738" s="39">
        <f>IF(ISNA(VLOOKUP(F738,'2020功能科目'!A:B,2,FALSE)),"",VLOOKUP(F738,'2020功能科目'!A:B,2,FALSE))</f>
        <v>2210203</v>
      </c>
      <c r="F738" s="25" t="s">
        <v>389</v>
      </c>
      <c r="G738" s="26">
        <v>2563620</v>
      </c>
      <c r="H738" s="26">
        <v>2255784</v>
      </c>
    </row>
    <row r="739" spans="1:8">
      <c r="A739" s="24">
        <v>255076</v>
      </c>
      <c r="B739" s="25" t="s">
        <v>61</v>
      </c>
      <c r="C739" s="39" t="str">
        <f t="shared" si="22"/>
        <v>205</v>
      </c>
      <c r="D739" s="39" t="str">
        <f t="shared" si="23"/>
        <v>20502</v>
      </c>
      <c r="E739" s="39">
        <f>IF(ISNA(VLOOKUP(F739,'2020功能科目'!A:B,2,FALSE)),"",VLOOKUP(F739,'2020功能科目'!A:B,2,FALSE))</f>
        <v>2050201</v>
      </c>
      <c r="F739" s="25" t="s">
        <v>374</v>
      </c>
      <c r="G739" s="26">
        <v>43206441.310000002</v>
      </c>
      <c r="H739" s="26">
        <v>36106641.82</v>
      </c>
    </row>
    <row r="740" spans="1:8">
      <c r="A740" s="24">
        <v>255076</v>
      </c>
      <c r="B740" s="25" t="s">
        <v>61</v>
      </c>
      <c r="C740" s="39" t="str">
        <f t="shared" si="22"/>
        <v>205</v>
      </c>
      <c r="D740" s="39" t="str">
        <f t="shared" si="23"/>
        <v>20508</v>
      </c>
      <c r="E740" s="39">
        <f>IF(ISNA(VLOOKUP(F740,'2020功能科目'!A:B,2,FALSE)),"",VLOOKUP(F740,'2020功能科目'!A:B,2,FALSE))</f>
        <v>2050803</v>
      </c>
      <c r="F740" s="25" t="s">
        <v>378</v>
      </c>
      <c r="G740" s="26">
        <v>7218</v>
      </c>
      <c r="H740" s="26">
        <v>117600</v>
      </c>
    </row>
    <row r="741" spans="1:8">
      <c r="A741" s="24">
        <v>255076</v>
      </c>
      <c r="B741" s="25" t="s">
        <v>61</v>
      </c>
      <c r="C741" s="39" t="str">
        <f t="shared" si="22"/>
        <v>205</v>
      </c>
      <c r="D741" s="39" t="str">
        <f t="shared" si="23"/>
        <v>20509</v>
      </c>
      <c r="E741" s="39">
        <f>IF(ISNA(VLOOKUP(F741,'2020功能科目'!A:B,2,FALSE)),"",VLOOKUP(F741,'2020功能科目'!A:B,2,FALSE))</f>
        <v>2050999</v>
      </c>
      <c r="F741" s="25" t="s">
        <v>394</v>
      </c>
      <c r="G741" s="26">
        <v>248771.82</v>
      </c>
      <c r="H741" s="26">
        <v>249180</v>
      </c>
    </row>
    <row r="742" spans="1:8">
      <c r="A742" s="24">
        <v>255076</v>
      </c>
      <c r="B742" s="25" t="s">
        <v>61</v>
      </c>
      <c r="C742" s="39" t="str">
        <f t="shared" si="22"/>
        <v>208</v>
      </c>
      <c r="D742" s="39" t="str">
        <f t="shared" si="23"/>
        <v>20805</v>
      </c>
      <c r="E742" s="39">
        <f>IF(ISNA(VLOOKUP(F742,'2020功能科目'!A:B,2,FALSE)),"",VLOOKUP(F742,'2020功能科目'!A:B,2,FALSE))</f>
        <v>2080502</v>
      </c>
      <c r="F742" s="25" t="s">
        <v>381</v>
      </c>
      <c r="G742" s="26">
        <v>2029495.6</v>
      </c>
      <c r="H742" s="26">
        <v>1327994.6000000001</v>
      </c>
    </row>
    <row r="743" spans="1:8">
      <c r="A743" s="24">
        <v>255076</v>
      </c>
      <c r="B743" s="25" t="s">
        <v>61</v>
      </c>
      <c r="C743" s="39" t="str">
        <f t="shared" si="22"/>
        <v>208</v>
      </c>
      <c r="D743" s="39" t="str">
        <f t="shared" si="23"/>
        <v>20805</v>
      </c>
      <c r="E743" s="39">
        <f>IF(ISNA(VLOOKUP(F743,'2020功能科目'!A:B,2,FALSE)),"",VLOOKUP(F743,'2020功能科目'!A:B,2,FALSE))</f>
        <v>2080505</v>
      </c>
      <c r="F743" s="25" t="s">
        <v>382</v>
      </c>
      <c r="G743" s="26">
        <v>3020198.64</v>
      </c>
      <c r="H743" s="26">
        <v>3173768.32</v>
      </c>
    </row>
    <row r="744" spans="1:8">
      <c r="A744" s="24">
        <v>255076</v>
      </c>
      <c r="B744" s="25" t="s">
        <v>61</v>
      </c>
      <c r="C744" s="39" t="str">
        <f t="shared" si="22"/>
        <v>208</v>
      </c>
      <c r="D744" s="39" t="str">
        <f t="shared" si="23"/>
        <v>20805</v>
      </c>
      <c r="E744" s="39">
        <f>IF(ISNA(VLOOKUP(F744,'2020功能科目'!A:B,2,FALSE)),"",VLOOKUP(F744,'2020功能科目'!A:B,2,FALSE))</f>
        <v>2080506</v>
      </c>
      <c r="F744" s="25" t="s">
        <v>383</v>
      </c>
      <c r="G744" s="26">
        <v>1510099.32</v>
      </c>
      <c r="H744" s="26">
        <v>1586884.16</v>
      </c>
    </row>
    <row r="745" spans="1:8">
      <c r="A745" s="24">
        <v>255076</v>
      </c>
      <c r="B745" s="25" t="s">
        <v>61</v>
      </c>
      <c r="C745" s="39" t="str">
        <f t="shared" si="22"/>
        <v>210</v>
      </c>
      <c r="D745" s="39" t="str">
        <f t="shared" si="23"/>
        <v>21011</v>
      </c>
      <c r="E745" s="39">
        <f>IF(ISNA(VLOOKUP(F745,'2020功能科目'!A:B,2,FALSE)),"",VLOOKUP(F745,'2020功能科目'!A:B,2,FALSE))</f>
        <v>2101102</v>
      </c>
      <c r="F745" s="25" t="s">
        <v>385</v>
      </c>
      <c r="G745" s="26">
        <v>2985216.61</v>
      </c>
      <c r="H745" s="26">
        <v>2578686.7599999998</v>
      </c>
    </row>
    <row r="746" spans="1:8">
      <c r="A746" s="24">
        <v>255076</v>
      </c>
      <c r="B746" s="25" t="s">
        <v>61</v>
      </c>
      <c r="C746" s="39" t="str">
        <f t="shared" si="22"/>
        <v>210</v>
      </c>
      <c r="D746" s="39" t="str">
        <f t="shared" si="23"/>
        <v>21011</v>
      </c>
      <c r="E746" s="39">
        <f>IF(ISNA(VLOOKUP(F746,'2020功能科目'!A:B,2,FALSE)),"",VLOOKUP(F746,'2020功能科目'!A:B,2,FALSE))</f>
        <v>2101199</v>
      </c>
      <c r="F746" s="25" t="s">
        <v>386</v>
      </c>
      <c r="G746" s="26">
        <v>90000</v>
      </c>
      <c r="H746" s="26">
        <v>90000</v>
      </c>
    </row>
    <row r="747" spans="1:8">
      <c r="A747" s="24">
        <v>255076</v>
      </c>
      <c r="B747" s="25" t="s">
        <v>61</v>
      </c>
      <c r="C747" s="39" t="str">
        <f t="shared" si="22"/>
        <v>221</v>
      </c>
      <c r="D747" s="39" t="str">
        <f t="shared" si="23"/>
        <v>22102</v>
      </c>
      <c r="E747" s="39">
        <f>IF(ISNA(VLOOKUP(F747,'2020功能科目'!A:B,2,FALSE)),"",VLOOKUP(F747,'2020功能科目'!A:B,2,FALSE))</f>
        <v>2210201</v>
      </c>
      <c r="F747" s="25" t="s">
        <v>387</v>
      </c>
      <c r="G747" s="26">
        <v>3561143</v>
      </c>
      <c r="H747" s="26">
        <v>3262326.24</v>
      </c>
    </row>
    <row r="748" spans="1:8">
      <c r="A748" s="24">
        <v>255076</v>
      </c>
      <c r="B748" s="25" t="s">
        <v>61</v>
      </c>
      <c r="C748" s="39" t="str">
        <f t="shared" si="22"/>
        <v>221</v>
      </c>
      <c r="D748" s="39" t="str">
        <f t="shared" si="23"/>
        <v>22102</v>
      </c>
      <c r="E748" s="39">
        <f>IF(ISNA(VLOOKUP(F748,'2020功能科目'!A:B,2,FALSE)),"",VLOOKUP(F748,'2020功能科目'!A:B,2,FALSE))</f>
        <v>2210202</v>
      </c>
      <c r="F748" s="25" t="s">
        <v>388</v>
      </c>
      <c r="G748" s="26">
        <v>233640</v>
      </c>
      <c r="H748" s="26">
        <v>236040</v>
      </c>
    </row>
    <row r="749" spans="1:8">
      <c r="A749" s="24">
        <v>255076</v>
      </c>
      <c r="B749" s="25" t="s">
        <v>61</v>
      </c>
      <c r="C749" s="39" t="str">
        <f t="shared" si="22"/>
        <v>221</v>
      </c>
      <c r="D749" s="39" t="str">
        <f t="shared" si="23"/>
        <v>22102</v>
      </c>
      <c r="E749" s="39">
        <f>IF(ISNA(VLOOKUP(F749,'2020功能科目'!A:B,2,FALSE)),"",VLOOKUP(F749,'2020功能科目'!A:B,2,FALSE))</f>
        <v>2210203</v>
      </c>
      <c r="F749" s="25" t="s">
        <v>389</v>
      </c>
      <c r="G749" s="26">
        <v>3187379</v>
      </c>
      <c r="H749" s="26">
        <v>3162444</v>
      </c>
    </row>
    <row r="750" spans="1:8">
      <c r="A750" s="24">
        <v>255077</v>
      </c>
      <c r="B750" s="25" t="s">
        <v>62</v>
      </c>
      <c r="C750" s="39" t="str">
        <f t="shared" si="22"/>
        <v>205</v>
      </c>
      <c r="D750" s="39" t="str">
        <f t="shared" si="23"/>
        <v>20502</v>
      </c>
      <c r="E750" s="39">
        <f>IF(ISNA(VLOOKUP(F750,'2020功能科目'!A:B,2,FALSE)),"",VLOOKUP(F750,'2020功能科目'!A:B,2,FALSE))</f>
        <v>2050201</v>
      </c>
      <c r="F750" s="25" t="s">
        <v>374</v>
      </c>
      <c r="G750" s="26">
        <v>20499284.079999998</v>
      </c>
      <c r="H750" s="26">
        <v>17743438.5</v>
      </c>
    </row>
    <row r="751" spans="1:8">
      <c r="A751" s="24">
        <v>255077</v>
      </c>
      <c r="B751" s="25" t="s">
        <v>62</v>
      </c>
      <c r="C751" s="39" t="str">
        <f t="shared" si="22"/>
        <v>205</v>
      </c>
      <c r="D751" s="39" t="str">
        <f t="shared" si="23"/>
        <v>20508</v>
      </c>
      <c r="E751" s="39">
        <f>IF(ISNA(VLOOKUP(F751,'2020功能科目'!A:B,2,FALSE)),"",VLOOKUP(F751,'2020功能科目'!A:B,2,FALSE))</f>
        <v>2050803</v>
      </c>
      <c r="F751" s="25" t="s">
        <v>378</v>
      </c>
      <c r="G751" s="26">
        <v>11726.86</v>
      </c>
      <c r="H751" s="26">
        <v>57600</v>
      </c>
    </row>
    <row r="752" spans="1:8">
      <c r="A752" s="24">
        <v>255077</v>
      </c>
      <c r="B752" s="25" t="s">
        <v>62</v>
      </c>
      <c r="C752" s="39" t="str">
        <f t="shared" si="22"/>
        <v>205</v>
      </c>
      <c r="D752" s="39" t="str">
        <f t="shared" si="23"/>
        <v>20509</v>
      </c>
      <c r="E752" s="39">
        <f>IF(ISNA(VLOOKUP(F752,'2020功能科目'!A:B,2,FALSE)),"",VLOOKUP(F752,'2020功能科目'!A:B,2,FALSE))</f>
        <v>2050999</v>
      </c>
      <c r="F752" s="25" t="s">
        <v>394</v>
      </c>
      <c r="G752" s="26">
        <v>182212</v>
      </c>
      <c r="H752" s="26">
        <v>187312</v>
      </c>
    </row>
    <row r="753" spans="1:8">
      <c r="A753" s="24">
        <v>255077</v>
      </c>
      <c r="B753" s="25" t="s">
        <v>62</v>
      </c>
      <c r="C753" s="39" t="str">
        <f t="shared" si="22"/>
        <v>208</v>
      </c>
      <c r="D753" s="39" t="str">
        <f t="shared" si="23"/>
        <v>20805</v>
      </c>
      <c r="E753" s="39">
        <f>IF(ISNA(VLOOKUP(F753,'2020功能科目'!A:B,2,FALSE)),"",VLOOKUP(F753,'2020功能科目'!A:B,2,FALSE))</f>
        <v>2080502</v>
      </c>
      <c r="F753" s="25" t="s">
        <v>381</v>
      </c>
      <c r="G753" s="26">
        <v>899055.9</v>
      </c>
      <c r="H753" s="26">
        <v>889477.9</v>
      </c>
    </row>
    <row r="754" spans="1:8">
      <c r="A754" s="24">
        <v>255077</v>
      </c>
      <c r="B754" s="25" t="s">
        <v>62</v>
      </c>
      <c r="C754" s="39" t="str">
        <f t="shared" si="22"/>
        <v>208</v>
      </c>
      <c r="D754" s="39" t="str">
        <f t="shared" si="23"/>
        <v>20805</v>
      </c>
      <c r="E754" s="39">
        <f>IF(ISNA(VLOOKUP(F754,'2020功能科目'!A:B,2,FALSE)),"",VLOOKUP(F754,'2020功能科目'!A:B,2,FALSE))</f>
        <v>2080505</v>
      </c>
      <c r="F754" s="25" t="s">
        <v>382</v>
      </c>
      <c r="G754" s="26">
        <v>1398818.88</v>
      </c>
      <c r="H754" s="26">
        <v>1492942.72</v>
      </c>
    </row>
    <row r="755" spans="1:8">
      <c r="A755" s="24">
        <v>255077</v>
      </c>
      <c r="B755" s="25" t="s">
        <v>62</v>
      </c>
      <c r="C755" s="39" t="str">
        <f t="shared" si="22"/>
        <v>208</v>
      </c>
      <c r="D755" s="39" t="str">
        <f t="shared" si="23"/>
        <v>20805</v>
      </c>
      <c r="E755" s="39">
        <f>IF(ISNA(VLOOKUP(F755,'2020功能科目'!A:B,2,FALSE)),"",VLOOKUP(F755,'2020功能科目'!A:B,2,FALSE))</f>
        <v>2080506</v>
      </c>
      <c r="F755" s="25" t="s">
        <v>383</v>
      </c>
      <c r="G755" s="26">
        <v>699409.44</v>
      </c>
      <c r="H755" s="26">
        <v>746471.36</v>
      </c>
    </row>
    <row r="756" spans="1:8">
      <c r="A756" s="24">
        <v>255077</v>
      </c>
      <c r="B756" s="25" t="s">
        <v>62</v>
      </c>
      <c r="C756" s="39" t="str">
        <f t="shared" si="22"/>
        <v>210</v>
      </c>
      <c r="D756" s="39" t="str">
        <f t="shared" si="23"/>
        <v>21011</v>
      </c>
      <c r="E756" s="39">
        <f>IF(ISNA(VLOOKUP(F756,'2020功能科目'!A:B,2,FALSE)),"",VLOOKUP(F756,'2020功能科目'!A:B,2,FALSE))</f>
        <v>2101102</v>
      </c>
      <c r="F756" s="25" t="s">
        <v>385</v>
      </c>
      <c r="G756" s="26">
        <v>1436288.44</v>
      </c>
      <c r="H756" s="26">
        <v>1213015.96</v>
      </c>
    </row>
    <row r="757" spans="1:8">
      <c r="A757" s="24">
        <v>255077</v>
      </c>
      <c r="B757" s="25" t="s">
        <v>62</v>
      </c>
      <c r="C757" s="39" t="str">
        <f t="shared" si="22"/>
        <v>210</v>
      </c>
      <c r="D757" s="39" t="str">
        <f t="shared" si="23"/>
        <v>21011</v>
      </c>
      <c r="E757" s="39">
        <f>IF(ISNA(VLOOKUP(F757,'2020功能科目'!A:B,2,FALSE)),"",VLOOKUP(F757,'2020功能科目'!A:B,2,FALSE))</f>
        <v>2101199</v>
      </c>
      <c r="F757" s="25" t="s">
        <v>386</v>
      </c>
      <c r="G757" s="26">
        <v>90000</v>
      </c>
      <c r="H757" s="26">
        <v>90000</v>
      </c>
    </row>
    <row r="758" spans="1:8">
      <c r="A758" s="24">
        <v>255077</v>
      </c>
      <c r="B758" s="25" t="s">
        <v>62</v>
      </c>
      <c r="C758" s="39" t="str">
        <f t="shared" si="22"/>
        <v>221</v>
      </c>
      <c r="D758" s="39" t="str">
        <f t="shared" si="23"/>
        <v>22102</v>
      </c>
      <c r="E758" s="39">
        <f>IF(ISNA(VLOOKUP(F758,'2020功能科目'!A:B,2,FALSE)),"",VLOOKUP(F758,'2020功能科目'!A:B,2,FALSE))</f>
        <v>2210201</v>
      </c>
      <c r="F758" s="25" t="s">
        <v>387</v>
      </c>
      <c r="G758" s="26">
        <v>1736451</v>
      </c>
      <c r="H758" s="26">
        <v>1551707.04</v>
      </c>
    </row>
    <row r="759" spans="1:8">
      <c r="A759" s="24">
        <v>255077</v>
      </c>
      <c r="B759" s="25" t="s">
        <v>62</v>
      </c>
      <c r="C759" s="39" t="str">
        <f t="shared" si="22"/>
        <v>221</v>
      </c>
      <c r="D759" s="39" t="str">
        <f t="shared" si="23"/>
        <v>22102</v>
      </c>
      <c r="E759" s="39">
        <f>IF(ISNA(VLOOKUP(F759,'2020功能科目'!A:B,2,FALSE)),"",VLOOKUP(F759,'2020功能科目'!A:B,2,FALSE))</f>
        <v>2210202</v>
      </c>
      <c r="F759" s="25" t="s">
        <v>388</v>
      </c>
      <c r="G759" s="26">
        <v>127840</v>
      </c>
      <c r="H759" s="26">
        <v>127080</v>
      </c>
    </row>
    <row r="760" spans="1:8">
      <c r="A760" s="24">
        <v>255077</v>
      </c>
      <c r="B760" s="25" t="s">
        <v>62</v>
      </c>
      <c r="C760" s="39" t="str">
        <f t="shared" si="22"/>
        <v>221</v>
      </c>
      <c r="D760" s="39" t="str">
        <f t="shared" si="23"/>
        <v>22102</v>
      </c>
      <c r="E760" s="39">
        <f>IF(ISNA(VLOOKUP(F760,'2020功能科目'!A:B,2,FALSE)),"",VLOOKUP(F760,'2020功能科目'!A:B,2,FALSE))</f>
        <v>2210203</v>
      </c>
      <c r="F760" s="25" t="s">
        <v>389</v>
      </c>
      <c r="G760" s="26">
        <v>1715713</v>
      </c>
      <c r="H760" s="26">
        <v>1688736</v>
      </c>
    </row>
    <row r="761" spans="1:8">
      <c r="A761" s="24">
        <v>255078</v>
      </c>
      <c r="B761" s="25" t="s">
        <v>63</v>
      </c>
      <c r="C761" s="39" t="str">
        <f t="shared" si="22"/>
        <v>205</v>
      </c>
      <c r="D761" s="39" t="str">
        <f t="shared" si="23"/>
        <v>20502</v>
      </c>
      <c r="E761" s="39">
        <f>IF(ISNA(VLOOKUP(F761,'2020功能科目'!A:B,2,FALSE)),"",VLOOKUP(F761,'2020功能科目'!A:B,2,FALSE))</f>
        <v>2050201</v>
      </c>
      <c r="F761" s="25" t="s">
        <v>374</v>
      </c>
      <c r="G761" s="26">
        <v>41038613.020000003</v>
      </c>
      <c r="H761" s="26">
        <v>36662253.520000003</v>
      </c>
    </row>
    <row r="762" spans="1:8">
      <c r="A762" s="24">
        <v>255078</v>
      </c>
      <c r="B762" s="25" t="s">
        <v>63</v>
      </c>
      <c r="C762" s="39" t="str">
        <f t="shared" si="22"/>
        <v>205</v>
      </c>
      <c r="D762" s="39" t="str">
        <f t="shared" si="23"/>
        <v>20508</v>
      </c>
      <c r="E762" s="39">
        <f>IF(ISNA(VLOOKUP(F762,'2020功能科目'!A:B,2,FALSE)),"",VLOOKUP(F762,'2020功能科目'!A:B,2,FALSE))</f>
        <v>2050803</v>
      </c>
      <c r="F762" s="25" t="s">
        <v>378</v>
      </c>
      <c r="G762" s="26">
        <v>25552</v>
      </c>
      <c r="H762" s="26">
        <v>118400</v>
      </c>
    </row>
    <row r="763" spans="1:8">
      <c r="A763" s="24">
        <v>255078</v>
      </c>
      <c r="B763" s="25" t="s">
        <v>63</v>
      </c>
      <c r="C763" s="39" t="str">
        <f t="shared" si="22"/>
        <v>205</v>
      </c>
      <c r="D763" s="39" t="str">
        <f t="shared" si="23"/>
        <v>20509</v>
      </c>
      <c r="E763" s="39">
        <f>IF(ISNA(VLOOKUP(F763,'2020功能科目'!A:B,2,FALSE)),"",VLOOKUP(F763,'2020功能科目'!A:B,2,FALSE))</f>
        <v>2050999</v>
      </c>
      <c r="F763" s="25" t="s">
        <v>394</v>
      </c>
      <c r="G763" s="26">
        <v>1499032.66</v>
      </c>
      <c r="H763" s="26">
        <v>1505000</v>
      </c>
    </row>
    <row r="764" spans="1:8">
      <c r="A764" s="24">
        <v>255078</v>
      </c>
      <c r="B764" s="25" t="s">
        <v>63</v>
      </c>
      <c r="C764" s="39" t="str">
        <f t="shared" si="22"/>
        <v>208</v>
      </c>
      <c r="D764" s="39" t="str">
        <f t="shared" si="23"/>
        <v>20805</v>
      </c>
      <c r="E764" s="39">
        <f>IF(ISNA(VLOOKUP(F764,'2020功能科目'!A:B,2,FALSE)),"",VLOOKUP(F764,'2020功能科目'!A:B,2,FALSE))</f>
        <v>2080502</v>
      </c>
      <c r="F764" s="25" t="s">
        <v>381</v>
      </c>
      <c r="G764" s="26">
        <v>1733224</v>
      </c>
      <c r="H764" s="26">
        <v>1505782</v>
      </c>
    </row>
    <row r="765" spans="1:8">
      <c r="A765" s="24">
        <v>255078</v>
      </c>
      <c r="B765" s="25" t="s">
        <v>63</v>
      </c>
      <c r="C765" s="39" t="str">
        <f t="shared" si="22"/>
        <v>208</v>
      </c>
      <c r="D765" s="39" t="str">
        <f t="shared" si="23"/>
        <v>20805</v>
      </c>
      <c r="E765" s="39">
        <f>IF(ISNA(VLOOKUP(F765,'2020功能科目'!A:B,2,FALSE)),"",VLOOKUP(F765,'2020功能科目'!A:B,2,FALSE))</f>
        <v>2080505</v>
      </c>
      <c r="F765" s="25" t="s">
        <v>382</v>
      </c>
      <c r="G765" s="26">
        <v>2954955.38</v>
      </c>
      <c r="H765" s="26">
        <v>3149089.6</v>
      </c>
    </row>
    <row r="766" spans="1:8">
      <c r="A766" s="24">
        <v>255078</v>
      </c>
      <c r="B766" s="25" t="s">
        <v>63</v>
      </c>
      <c r="C766" s="39" t="str">
        <f t="shared" si="22"/>
        <v>208</v>
      </c>
      <c r="D766" s="39" t="str">
        <f t="shared" si="23"/>
        <v>20805</v>
      </c>
      <c r="E766" s="39">
        <f>IF(ISNA(VLOOKUP(F766,'2020功能科目'!A:B,2,FALSE)),"",VLOOKUP(F766,'2020功能科目'!A:B,2,FALSE))</f>
        <v>2080506</v>
      </c>
      <c r="F766" s="25" t="s">
        <v>383</v>
      </c>
      <c r="G766" s="26">
        <v>1477442.24</v>
      </c>
      <c r="H766" s="26">
        <v>1574544.8</v>
      </c>
    </row>
    <row r="767" spans="1:8">
      <c r="A767" s="24">
        <v>255078</v>
      </c>
      <c r="B767" s="25" t="s">
        <v>63</v>
      </c>
      <c r="C767" s="39" t="str">
        <f t="shared" si="22"/>
        <v>210</v>
      </c>
      <c r="D767" s="39" t="str">
        <f t="shared" si="23"/>
        <v>21011</v>
      </c>
      <c r="E767" s="39">
        <f>IF(ISNA(VLOOKUP(F767,'2020功能科目'!A:B,2,FALSE)),"",VLOOKUP(F767,'2020功能科目'!A:B,2,FALSE))</f>
        <v>2101102</v>
      </c>
      <c r="F767" s="25" t="s">
        <v>385</v>
      </c>
      <c r="G767" s="26">
        <v>2923071.66</v>
      </c>
      <c r="H767" s="26">
        <v>2558635.2999999998</v>
      </c>
    </row>
    <row r="768" spans="1:8">
      <c r="A768" s="24">
        <v>255078</v>
      </c>
      <c r="B768" s="25" t="s">
        <v>63</v>
      </c>
      <c r="C768" s="39" t="str">
        <f t="shared" si="22"/>
        <v>210</v>
      </c>
      <c r="D768" s="39" t="str">
        <f t="shared" si="23"/>
        <v>21011</v>
      </c>
      <c r="E768" s="39">
        <f>IF(ISNA(VLOOKUP(F768,'2020功能科目'!A:B,2,FALSE)),"",VLOOKUP(F768,'2020功能科目'!A:B,2,FALSE))</f>
        <v>2101199</v>
      </c>
      <c r="F768" s="25" t="s">
        <v>386</v>
      </c>
      <c r="G768" s="26">
        <v>90000</v>
      </c>
      <c r="H768" s="26">
        <v>90000</v>
      </c>
    </row>
    <row r="769" spans="1:8">
      <c r="A769" s="24">
        <v>255078</v>
      </c>
      <c r="B769" s="25" t="s">
        <v>63</v>
      </c>
      <c r="C769" s="39" t="str">
        <f t="shared" si="22"/>
        <v>221</v>
      </c>
      <c r="D769" s="39" t="str">
        <f t="shared" si="23"/>
        <v>22102</v>
      </c>
      <c r="E769" s="39">
        <f>IF(ISNA(VLOOKUP(F769,'2020功能科目'!A:B,2,FALSE)),"",VLOOKUP(F769,'2020功能科目'!A:B,2,FALSE))</f>
        <v>2210201</v>
      </c>
      <c r="F769" s="25" t="s">
        <v>387</v>
      </c>
      <c r="G769" s="26">
        <v>3485108</v>
      </c>
      <c r="H769" s="26">
        <v>3249817.2</v>
      </c>
    </row>
    <row r="770" spans="1:8">
      <c r="A770" s="24">
        <v>255078</v>
      </c>
      <c r="B770" s="25" t="s">
        <v>63</v>
      </c>
      <c r="C770" s="39" t="str">
        <f t="shared" si="22"/>
        <v>221</v>
      </c>
      <c r="D770" s="39" t="str">
        <f t="shared" si="23"/>
        <v>22102</v>
      </c>
      <c r="E770" s="39">
        <f>IF(ISNA(VLOOKUP(F770,'2020功能科目'!A:B,2,FALSE)),"",VLOOKUP(F770,'2020功能科目'!A:B,2,FALSE))</f>
        <v>2210202</v>
      </c>
      <c r="F770" s="25" t="s">
        <v>388</v>
      </c>
      <c r="G770" s="26">
        <v>248985</v>
      </c>
      <c r="H770" s="26">
        <v>250680</v>
      </c>
    </row>
    <row r="771" spans="1:8">
      <c r="A771" s="24">
        <v>255078</v>
      </c>
      <c r="B771" s="25" t="s">
        <v>63</v>
      </c>
      <c r="C771" s="39" t="str">
        <f t="shared" ref="C771:C834" si="24">LEFT(D771,3)</f>
        <v>221</v>
      </c>
      <c r="D771" s="39" t="str">
        <f t="shared" ref="D771:D834" si="25">LEFT(E771,5)</f>
        <v>22102</v>
      </c>
      <c r="E771" s="39">
        <f>IF(ISNA(VLOOKUP(F771,'2020功能科目'!A:B,2,FALSE)),"",VLOOKUP(F771,'2020功能科目'!A:B,2,FALSE))</f>
        <v>2210203</v>
      </c>
      <c r="F771" s="25" t="s">
        <v>389</v>
      </c>
      <c r="G771" s="26">
        <v>3331739</v>
      </c>
      <c r="H771" s="26">
        <v>3250725</v>
      </c>
    </row>
    <row r="772" spans="1:8">
      <c r="A772" s="24">
        <v>255079</v>
      </c>
      <c r="B772" s="25" t="s">
        <v>64</v>
      </c>
      <c r="C772" s="39" t="str">
        <f t="shared" si="24"/>
        <v>205</v>
      </c>
      <c r="D772" s="39" t="str">
        <f t="shared" si="25"/>
        <v>20502</v>
      </c>
      <c r="E772" s="39">
        <f>IF(ISNA(VLOOKUP(F772,'2020功能科目'!A:B,2,FALSE)),"",VLOOKUP(F772,'2020功能科目'!A:B,2,FALSE))</f>
        <v>2050201</v>
      </c>
      <c r="F772" s="25" t="s">
        <v>374</v>
      </c>
      <c r="G772" s="26">
        <v>16044363.609999999</v>
      </c>
      <c r="H772" s="26">
        <v>13623771.68</v>
      </c>
    </row>
    <row r="773" spans="1:8">
      <c r="A773" s="24">
        <v>255079</v>
      </c>
      <c r="B773" s="25" t="s">
        <v>64</v>
      </c>
      <c r="C773" s="39" t="str">
        <f t="shared" si="24"/>
        <v>205</v>
      </c>
      <c r="D773" s="39" t="str">
        <f t="shared" si="25"/>
        <v>20508</v>
      </c>
      <c r="E773" s="39">
        <f>IF(ISNA(VLOOKUP(F773,'2020功能科目'!A:B,2,FALSE)),"",VLOOKUP(F773,'2020功能科目'!A:B,2,FALSE))</f>
        <v>2050803</v>
      </c>
      <c r="F773" s="25" t="s">
        <v>378</v>
      </c>
      <c r="G773" s="26">
        <v>1200</v>
      </c>
      <c r="H773" s="26">
        <v>38400</v>
      </c>
    </row>
    <row r="774" spans="1:8">
      <c r="A774" s="24">
        <v>255079</v>
      </c>
      <c r="B774" s="25" t="s">
        <v>64</v>
      </c>
      <c r="C774" s="39" t="str">
        <f t="shared" si="24"/>
        <v>205</v>
      </c>
      <c r="D774" s="39" t="str">
        <f t="shared" si="25"/>
        <v>20509</v>
      </c>
      <c r="E774" s="39">
        <f>IF(ISNA(VLOOKUP(F774,'2020功能科目'!A:B,2,FALSE)),"",VLOOKUP(F774,'2020功能科目'!A:B,2,FALSE))</f>
        <v>2050999</v>
      </c>
      <c r="F774" s="25" t="s">
        <v>394</v>
      </c>
      <c r="G774" s="26">
        <v>217000</v>
      </c>
      <c r="H774" s="26">
        <v>217000</v>
      </c>
    </row>
    <row r="775" spans="1:8">
      <c r="A775" s="24">
        <v>255079</v>
      </c>
      <c r="B775" s="25" t="s">
        <v>64</v>
      </c>
      <c r="C775" s="39" t="str">
        <f t="shared" si="24"/>
        <v>208</v>
      </c>
      <c r="D775" s="39" t="str">
        <f t="shared" si="25"/>
        <v>20805</v>
      </c>
      <c r="E775" s="39">
        <f>IF(ISNA(VLOOKUP(F775,'2020功能科目'!A:B,2,FALSE)),"",VLOOKUP(F775,'2020功能科目'!A:B,2,FALSE))</f>
        <v>2080502</v>
      </c>
      <c r="F775" s="25" t="s">
        <v>381</v>
      </c>
      <c r="G775" s="26">
        <v>261470</v>
      </c>
      <c r="H775" s="26">
        <v>241204</v>
      </c>
    </row>
    <row r="776" spans="1:8">
      <c r="A776" s="24">
        <v>255079</v>
      </c>
      <c r="B776" s="25" t="s">
        <v>64</v>
      </c>
      <c r="C776" s="39" t="str">
        <f t="shared" si="24"/>
        <v>208</v>
      </c>
      <c r="D776" s="39" t="str">
        <f t="shared" si="25"/>
        <v>20805</v>
      </c>
      <c r="E776" s="39">
        <f>IF(ISNA(VLOOKUP(F776,'2020功能科目'!A:B,2,FALSE)),"",VLOOKUP(F776,'2020功能科目'!A:B,2,FALSE))</f>
        <v>2080505</v>
      </c>
      <c r="F776" s="25" t="s">
        <v>382</v>
      </c>
      <c r="G776" s="26">
        <v>925220.32</v>
      </c>
      <c r="H776" s="26">
        <v>1082050.8799999999</v>
      </c>
    </row>
    <row r="777" spans="1:8">
      <c r="A777" s="24">
        <v>255079</v>
      </c>
      <c r="B777" s="25" t="s">
        <v>64</v>
      </c>
      <c r="C777" s="39" t="str">
        <f t="shared" si="24"/>
        <v>208</v>
      </c>
      <c r="D777" s="39" t="str">
        <f t="shared" si="25"/>
        <v>20805</v>
      </c>
      <c r="E777" s="39">
        <f>IF(ISNA(VLOOKUP(F777,'2020功能科目'!A:B,2,FALSE)),"",VLOOKUP(F777,'2020功能科目'!A:B,2,FALSE))</f>
        <v>2080506</v>
      </c>
      <c r="F777" s="25" t="s">
        <v>383</v>
      </c>
      <c r="G777" s="26">
        <v>462610.16</v>
      </c>
      <c r="H777" s="26">
        <v>541025.43999999994</v>
      </c>
    </row>
    <row r="778" spans="1:8">
      <c r="A778" s="24">
        <v>255079</v>
      </c>
      <c r="B778" s="25" t="s">
        <v>64</v>
      </c>
      <c r="C778" s="39" t="str">
        <f t="shared" si="24"/>
        <v>210</v>
      </c>
      <c r="D778" s="39" t="str">
        <f t="shared" si="25"/>
        <v>21011</v>
      </c>
      <c r="E778" s="39">
        <f>IF(ISNA(VLOOKUP(F778,'2020功能科目'!A:B,2,FALSE)),"",VLOOKUP(F778,'2020功能科目'!A:B,2,FALSE))</f>
        <v>2101102</v>
      </c>
      <c r="F778" s="25" t="s">
        <v>385</v>
      </c>
      <c r="G778" s="26">
        <v>939645.4</v>
      </c>
      <c r="H778" s="26">
        <v>879166.34</v>
      </c>
    </row>
    <row r="779" spans="1:8">
      <c r="A779" s="24">
        <v>255079</v>
      </c>
      <c r="B779" s="25" t="s">
        <v>64</v>
      </c>
      <c r="C779" s="39" t="str">
        <f t="shared" si="24"/>
        <v>221</v>
      </c>
      <c r="D779" s="39" t="str">
        <f t="shared" si="25"/>
        <v>22102</v>
      </c>
      <c r="E779" s="39">
        <f>IF(ISNA(VLOOKUP(F779,'2020功能科目'!A:B,2,FALSE)),"",VLOOKUP(F779,'2020功能科目'!A:B,2,FALSE))</f>
        <v>2210201</v>
      </c>
      <c r="F779" s="25" t="s">
        <v>387</v>
      </c>
      <c r="G779" s="26">
        <v>1069838</v>
      </c>
      <c r="H779" s="26">
        <v>1099538.1599999999</v>
      </c>
    </row>
    <row r="780" spans="1:8">
      <c r="A780" s="24">
        <v>255079</v>
      </c>
      <c r="B780" s="25" t="s">
        <v>64</v>
      </c>
      <c r="C780" s="39" t="str">
        <f t="shared" si="24"/>
        <v>221</v>
      </c>
      <c r="D780" s="39" t="str">
        <f t="shared" si="25"/>
        <v>22102</v>
      </c>
      <c r="E780" s="39">
        <f>IF(ISNA(VLOOKUP(F780,'2020功能科目'!A:B,2,FALSE)),"",VLOOKUP(F780,'2020功能科目'!A:B,2,FALSE))</f>
        <v>2210202</v>
      </c>
      <c r="F780" s="25" t="s">
        <v>388</v>
      </c>
      <c r="G780" s="26">
        <v>68460</v>
      </c>
      <c r="H780" s="26">
        <v>66960</v>
      </c>
    </row>
    <row r="781" spans="1:8">
      <c r="A781" s="24">
        <v>255079</v>
      </c>
      <c r="B781" s="25" t="s">
        <v>64</v>
      </c>
      <c r="C781" s="39" t="str">
        <f t="shared" si="24"/>
        <v>221</v>
      </c>
      <c r="D781" s="39" t="str">
        <f t="shared" si="25"/>
        <v>22102</v>
      </c>
      <c r="E781" s="39">
        <f>IF(ISNA(VLOOKUP(F781,'2020功能科目'!A:B,2,FALSE)),"",VLOOKUP(F781,'2020功能科目'!A:B,2,FALSE))</f>
        <v>2210203</v>
      </c>
      <c r="F781" s="25" t="s">
        <v>389</v>
      </c>
      <c r="G781" s="26">
        <v>1081244</v>
      </c>
      <c r="H781" s="26">
        <v>1032672</v>
      </c>
    </row>
    <row r="782" spans="1:8">
      <c r="A782" s="24">
        <v>255080</v>
      </c>
      <c r="B782" s="25" t="s">
        <v>65</v>
      </c>
      <c r="C782" s="39" t="str">
        <f t="shared" si="24"/>
        <v>205</v>
      </c>
      <c r="D782" s="39" t="str">
        <f t="shared" si="25"/>
        <v>20502</v>
      </c>
      <c r="E782" s="39">
        <f>IF(ISNA(VLOOKUP(F782,'2020功能科目'!A:B,2,FALSE)),"",VLOOKUP(F782,'2020功能科目'!A:B,2,FALSE))</f>
        <v>2050201</v>
      </c>
      <c r="F782" s="25" t="s">
        <v>374</v>
      </c>
      <c r="G782" s="26">
        <v>22658228.82</v>
      </c>
      <c r="H782" s="26">
        <v>18629759.579999998</v>
      </c>
    </row>
    <row r="783" spans="1:8">
      <c r="A783" s="24">
        <v>255080</v>
      </c>
      <c r="B783" s="25" t="s">
        <v>65</v>
      </c>
      <c r="C783" s="39" t="str">
        <f t="shared" si="24"/>
        <v>205</v>
      </c>
      <c r="D783" s="39" t="str">
        <f t="shared" si="25"/>
        <v>20508</v>
      </c>
      <c r="E783" s="39">
        <f>IF(ISNA(VLOOKUP(F783,'2020功能科目'!A:B,2,FALSE)),"",VLOOKUP(F783,'2020功能科目'!A:B,2,FALSE))</f>
        <v>2050803</v>
      </c>
      <c r="F783" s="25" t="s">
        <v>378</v>
      </c>
      <c r="G783" s="26">
        <v>30800</v>
      </c>
      <c r="H783" s="26">
        <v>61600</v>
      </c>
    </row>
    <row r="784" spans="1:8">
      <c r="A784" s="24">
        <v>255080</v>
      </c>
      <c r="B784" s="25" t="s">
        <v>65</v>
      </c>
      <c r="C784" s="39" t="str">
        <f t="shared" si="24"/>
        <v>205</v>
      </c>
      <c r="D784" s="39" t="str">
        <f t="shared" si="25"/>
        <v>20509</v>
      </c>
      <c r="E784" s="39">
        <f>IF(ISNA(VLOOKUP(F784,'2020功能科目'!A:B,2,FALSE)),"",VLOOKUP(F784,'2020功能科目'!A:B,2,FALSE))</f>
        <v>2050999</v>
      </c>
      <c r="F784" s="25" t="s">
        <v>394</v>
      </c>
      <c r="G784" s="26">
        <v>140000</v>
      </c>
      <c r="H784" s="26">
        <v>140000</v>
      </c>
    </row>
    <row r="785" spans="1:8">
      <c r="A785" s="24">
        <v>255080</v>
      </c>
      <c r="B785" s="25" t="s">
        <v>65</v>
      </c>
      <c r="C785" s="39" t="str">
        <f t="shared" si="24"/>
        <v>208</v>
      </c>
      <c r="D785" s="39" t="str">
        <f t="shared" si="25"/>
        <v>20805</v>
      </c>
      <c r="E785" s="39">
        <f>IF(ISNA(VLOOKUP(F785,'2020功能科目'!A:B,2,FALSE)),"",VLOOKUP(F785,'2020功能科目'!A:B,2,FALSE))</f>
        <v>2080502</v>
      </c>
      <c r="F785" s="25" t="s">
        <v>381</v>
      </c>
      <c r="G785" s="26">
        <v>319079.09999999998</v>
      </c>
      <c r="H785" s="26">
        <v>316700</v>
      </c>
    </row>
    <row r="786" spans="1:8">
      <c r="A786" s="24">
        <v>255080</v>
      </c>
      <c r="B786" s="25" t="s">
        <v>65</v>
      </c>
      <c r="C786" s="39" t="str">
        <f t="shared" si="24"/>
        <v>208</v>
      </c>
      <c r="D786" s="39" t="str">
        <f t="shared" si="25"/>
        <v>20805</v>
      </c>
      <c r="E786" s="39">
        <f>IF(ISNA(VLOOKUP(F786,'2020功能科目'!A:B,2,FALSE)),"",VLOOKUP(F786,'2020功能科目'!A:B,2,FALSE))</f>
        <v>2080505</v>
      </c>
      <c r="F786" s="25" t="s">
        <v>382</v>
      </c>
      <c r="G786" s="26">
        <v>1600415.04</v>
      </c>
      <c r="H786" s="26">
        <v>1640125.76</v>
      </c>
    </row>
    <row r="787" spans="1:8">
      <c r="A787" s="24">
        <v>255080</v>
      </c>
      <c r="B787" s="25" t="s">
        <v>65</v>
      </c>
      <c r="C787" s="39" t="str">
        <f t="shared" si="24"/>
        <v>208</v>
      </c>
      <c r="D787" s="39" t="str">
        <f t="shared" si="25"/>
        <v>20805</v>
      </c>
      <c r="E787" s="39">
        <f>IF(ISNA(VLOOKUP(F787,'2020功能科目'!A:B,2,FALSE)),"",VLOOKUP(F787,'2020功能科目'!A:B,2,FALSE))</f>
        <v>2080506</v>
      </c>
      <c r="F787" s="25" t="s">
        <v>383</v>
      </c>
      <c r="G787" s="26">
        <v>800207.52</v>
      </c>
      <c r="H787" s="26">
        <v>820062.88</v>
      </c>
    </row>
    <row r="788" spans="1:8">
      <c r="A788" s="24">
        <v>255080</v>
      </c>
      <c r="B788" s="25" t="s">
        <v>65</v>
      </c>
      <c r="C788" s="39" t="str">
        <f t="shared" si="24"/>
        <v>210</v>
      </c>
      <c r="D788" s="39" t="str">
        <f t="shared" si="25"/>
        <v>21011</v>
      </c>
      <c r="E788" s="39">
        <f>IF(ISNA(VLOOKUP(F788,'2020功能科目'!A:B,2,FALSE)),"",VLOOKUP(F788,'2020功能科目'!A:B,2,FALSE))</f>
        <v>2101102</v>
      </c>
      <c r="F788" s="25" t="s">
        <v>385</v>
      </c>
      <c r="G788" s="26">
        <v>1498039.83</v>
      </c>
      <c r="H788" s="26">
        <v>1332602.18</v>
      </c>
    </row>
    <row r="789" spans="1:8">
      <c r="A789" s="24">
        <v>255080</v>
      </c>
      <c r="B789" s="25" t="s">
        <v>65</v>
      </c>
      <c r="C789" s="39" t="str">
        <f t="shared" si="24"/>
        <v>221</v>
      </c>
      <c r="D789" s="39" t="str">
        <f t="shared" si="25"/>
        <v>22102</v>
      </c>
      <c r="E789" s="39">
        <f>IF(ISNA(VLOOKUP(F789,'2020功能科目'!A:B,2,FALSE)),"",VLOOKUP(F789,'2020功能科目'!A:B,2,FALSE))</f>
        <v>2210201</v>
      </c>
      <c r="F789" s="25" t="s">
        <v>387</v>
      </c>
      <c r="G789" s="26">
        <v>1713103</v>
      </c>
      <c r="H789" s="26">
        <v>1692094.32</v>
      </c>
    </row>
    <row r="790" spans="1:8">
      <c r="A790" s="24">
        <v>255080</v>
      </c>
      <c r="B790" s="25" t="s">
        <v>65</v>
      </c>
      <c r="C790" s="39" t="str">
        <f t="shared" si="24"/>
        <v>221</v>
      </c>
      <c r="D790" s="39" t="str">
        <f t="shared" si="25"/>
        <v>22102</v>
      </c>
      <c r="E790" s="39">
        <f>IF(ISNA(VLOOKUP(F790,'2020功能科目'!A:B,2,FALSE)),"",VLOOKUP(F790,'2020功能科目'!A:B,2,FALSE))</f>
        <v>2210202</v>
      </c>
      <c r="F790" s="25" t="s">
        <v>388</v>
      </c>
      <c r="G790" s="26">
        <v>96980</v>
      </c>
      <c r="H790" s="26">
        <v>97080</v>
      </c>
    </row>
    <row r="791" spans="1:8">
      <c r="A791" s="24">
        <v>255080</v>
      </c>
      <c r="B791" s="25" t="s">
        <v>65</v>
      </c>
      <c r="C791" s="39" t="str">
        <f t="shared" si="24"/>
        <v>221</v>
      </c>
      <c r="D791" s="39" t="str">
        <f t="shared" si="25"/>
        <v>22102</v>
      </c>
      <c r="E791" s="39">
        <f>IF(ISNA(VLOOKUP(F791,'2020功能科目'!A:B,2,FALSE)),"",VLOOKUP(F791,'2020功能科目'!A:B,2,FALSE))</f>
        <v>2210203</v>
      </c>
      <c r="F791" s="25" t="s">
        <v>389</v>
      </c>
      <c r="G791" s="26">
        <v>1852432</v>
      </c>
      <c r="H791" s="26">
        <v>1808448</v>
      </c>
    </row>
    <row r="792" spans="1:8">
      <c r="A792" s="24">
        <v>255081</v>
      </c>
      <c r="B792" s="25" t="s">
        <v>66</v>
      </c>
      <c r="C792" s="39" t="str">
        <f t="shared" si="24"/>
        <v>205</v>
      </c>
      <c r="D792" s="39" t="str">
        <f t="shared" si="25"/>
        <v>20502</v>
      </c>
      <c r="E792" s="39">
        <f>IF(ISNA(VLOOKUP(F792,'2020功能科目'!A:B,2,FALSE)),"",VLOOKUP(F792,'2020功能科目'!A:B,2,FALSE))</f>
        <v>2050201</v>
      </c>
      <c r="F792" s="25" t="s">
        <v>374</v>
      </c>
      <c r="G792" s="26">
        <v>18161599.949999999</v>
      </c>
      <c r="H792" s="26">
        <v>14897812.300000001</v>
      </c>
    </row>
    <row r="793" spans="1:8">
      <c r="A793" s="24">
        <v>255081</v>
      </c>
      <c r="B793" s="25" t="s">
        <v>66</v>
      </c>
      <c r="C793" s="39" t="str">
        <f t="shared" si="24"/>
        <v>205</v>
      </c>
      <c r="D793" s="39" t="str">
        <f t="shared" si="25"/>
        <v>20508</v>
      </c>
      <c r="E793" s="39">
        <f>IF(ISNA(VLOOKUP(F793,'2020功能科目'!A:B,2,FALSE)),"",VLOOKUP(F793,'2020功能科目'!A:B,2,FALSE))</f>
        <v>2050803</v>
      </c>
      <c r="F793" s="25" t="s">
        <v>378</v>
      </c>
      <c r="G793" s="26">
        <v>1600</v>
      </c>
      <c r="H793" s="26">
        <v>52800</v>
      </c>
    </row>
    <row r="794" spans="1:8">
      <c r="A794" s="24">
        <v>255081</v>
      </c>
      <c r="B794" s="25" t="s">
        <v>66</v>
      </c>
      <c r="C794" s="39" t="str">
        <f t="shared" si="24"/>
        <v>205</v>
      </c>
      <c r="D794" s="39" t="str">
        <f t="shared" si="25"/>
        <v>20509</v>
      </c>
      <c r="E794" s="39">
        <f>IF(ISNA(VLOOKUP(F794,'2020功能科目'!A:B,2,FALSE)),"",VLOOKUP(F794,'2020功能科目'!A:B,2,FALSE))</f>
        <v>2050999</v>
      </c>
      <c r="F794" s="25" t="s">
        <v>394</v>
      </c>
      <c r="G794" s="26">
        <v>705885</v>
      </c>
      <c r="H794" s="26">
        <v>706840</v>
      </c>
    </row>
    <row r="795" spans="1:8">
      <c r="A795" s="24">
        <v>255081</v>
      </c>
      <c r="B795" s="25" t="s">
        <v>66</v>
      </c>
      <c r="C795" s="39" t="str">
        <f t="shared" si="24"/>
        <v>208</v>
      </c>
      <c r="D795" s="39" t="str">
        <f t="shared" si="25"/>
        <v>20805</v>
      </c>
      <c r="E795" s="39">
        <f>IF(ISNA(VLOOKUP(F795,'2020功能科目'!A:B,2,FALSE)),"",VLOOKUP(F795,'2020功能科目'!A:B,2,FALSE))</f>
        <v>2080502</v>
      </c>
      <c r="F795" s="25" t="s">
        <v>381</v>
      </c>
      <c r="G795" s="26">
        <v>511399.95</v>
      </c>
      <c r="H795" s="26">
        <v>502750</v>
      </c>
    </row>
    <row r="796" spans="1:8">
      <c r="A796" s="24">
        <v>255081</v>
      </c>
      <c r="B796" s="25" t="s">
        <v>66</v>
      </c>
      <c r="C796" s="39" t="str">
        <f t="shared" si="24"/>
        <v>208</v>
      </c>
      <c r="D796" s="39" t="str">
        <f t="shared" si="25"/>
        <v>20805</v>
      </c>
      <c r="E796" s="39">
        <f>IF(ISNA(VLOOKUP(F796,'2020功能科目'!A:B,2,FALSE)),"",VLOOKUP(F796,'2020功能科目'!A:B,2,FALSE))</f>
        <v>2080505</v>
      </c>
      <c r="F796" s="25" t="s">
        <v>382</v>
      </c>
      <c r="G796" s="26">
        <v>1294410.56</v>
      </c>
      <c r="H796" s="26">
        <v>1246285.1200000001</v>
      </c>
    </row>
    <row r="797" spans="1:8">
      <c r="A797" s="24">
        <v>255081</v>
      </c>
      <c r="B797" s="25" t="s">
        <v>66</v>
      </c>
      <c r="C797" s="39" t="str">
        <f t="shared" si="24"/>
        <v>208</v>
      </c>
      <c r="D797" s="39" t="str">
        <f t="shared" si="25"/>
        <v>20805</v>
      </c>
      <c r="E797" s="39">
        <f>IF(ISNA(VLOOKUP(F797,'2020功能科目'!A:B,2,FALSE)),"",VLOOKUP(F797,'2020功能科目'!A:B,2,FALSE))</f>
        <v>2080506</v>
      </c>
      <c r="F797" s="25" t="s">
        <v>383</v>
      </c>
      <c r="G797" s="26">
        <v>647205.28</v>
      </c>
      <c r="H797" s="26">
        <v>623142.56000000006</v>
      </c>
    </row>
    <row r="798" spans="1:8">
      <c r="A798" s="24">
        <v>255081</v>
      </c>
      <c r="B798" s="25" t="s">
        <v>66</v>
      </c>
      <c r="C798" s="39" t="str">
        <f t="shared" si="24"/>
        <v>210</v>
      </c>
      <c r="D798" s="39" t="str">
        <f t="shared" si="25"/>
        <v>21011</v>
      </c>
      <c r="E798" s="39">
        <f>IF(ISNA(VLOOKUP(F798,'2020功能科目'!A:B,2,FALSE)),"",VLOOKUP(F798,'2020功能科目'!A:B,2,FALSE))</f>
        <v>2101102</v>
      </c>
      <c r="F798" s="25" t="s">
        <v>385</v>
      </c>
      <c r="G798" s="26">
        <v>1126124.17</v>
      </c>
      <c r="H798" s="26">
        <v>1012606.66</v>
      </c>
    </row>
    <row r="799" spans="1:8">
      <c r="A799" s="24">
        <v>255081</v>
      </c>
      <c r="B799" s="25" t="s">
        <v>66</v>
      </c>
      <c r="C799" s="39" t="str">
        <f t="shared" si="24"/>
        <v>210</v>
      </c>
      <c r="D799" s="39" t="str">
        <f t="shared" si="25"/>
        <v>21011</v>
      </c>
      <c r="E799" s="39">
        <f>IF(ISNA(VLOOKUP(F799,'2020功能科目'!A:B,2,FALSE)),"",VLOOKUP(F799,'2020功能科目'!A:B,2,FALSE))</f>
        <v>2101199</v>
      </c>
      <c r="F799" s="25" t="s">
        <v>386</v>
      </c>
      <c r="G799" s="26">
        <v>90000</v>
      </c>
      <c r="H799" s="26">
        <v>90000</v>
      </c>
    </row>
    <row r="800" spans="1:8">
      <c r="A800" s="24">
        <v>255081</v>
      </c>
      <c r="B800" s="25" t="s">
        <v>66</v>
      </c>
      <c r="C800" s="39" t="str">
        <f t="shared" si="24"/>
        <v>221</v>
      </c>
      <c r="D800" s="39" t="str">
        <f t="shared" si="25"/>
        <v>22102</v>
      </c>
      <c r="E800" s="39">
        <f>IF(ISNA(VLOOKUP(F800,'2020功能科目'!A:B,2,FALSE)),"",VLOOKUP(F800,'2020功能科目'!A:B,2,FALSE))</f>
        <v>2210201</v>
      </c>
      <c r="F800" s="25" t="s">
        <v>387</v>
      </c>
      <c r="G800" s="26">
        <v>1615692</v>
      </c>
      <c r="H800" s="26">
        <v>1330713.8400000001</v>
      </c>
    </row>
    <row r="801" spans="1:8">
      <c r="A801" s="24">
        <v>255081</v>
      </c>
      <c r="B801" s="25" t="s">
        <v>66</v>
      </c>
      <c r="C801" s="39" t="str">
        <f t="shared" si="24"/>
        <v>221</v>
      </c>
      <c r="D801" s="39" t="str">
        <f t="shared" si="25"/>
        <v>22102</v>
      </c>
      <c r="E801" s="39">
        <f>IF(ISNA(VLOOKUP(F801,'2020功能科目'!A:B,2,FALSE)),"",VLOOKUP(F801,'2020功能科目'!A:B,2,FALSE))</f>
        <v>2210202</v>
      </c>
      <c r="F801" s="25" t="s">
        <v>388</v>
      </c>
      <c r="G801" s="26">
        <v>90040</v>
      </c>
      <c r="H801" s="26">
        <v>89640</v>
      </c>
    </row>
    <row r="802" spans="1:8">
      <c r="A802" s="24">
        <v>255081</v>
      </c>
      <c r="B802" s="25" t="s">
        <v>66</v>
      </c>
      <c r="C802" s="39" t="str">
        <f t="shared" si="24"/>
        <v>221</v>
      </c>
      <c r="D802" s="39" t="str">
        <f t="shared" si="25"/>
        <v>22102</v>
      </c>
      <c r="E802" s="39">
        <f>IF(ISNA(VLOOKUP(F802,'2020功能科目'!A:B,2,FALSE)),"",VLOOKUP(F802,'2020功能科目'!A:B,2,FALSE))</f>
        <v>2210203</v>
      </c>
      <c r="F802" s="25" t="s">
        <v>389</v>
      </c>
      <c r="G802" s="26">
        <v>1747893</v>
      </c>
      <c r="H802" s="26">
        <v>1478988</v>
      </c>
    </row>
    <row r="803" spans="1:8">
      <c r="A803" s="24">
        <v>255082</v>
      </c>
      <c r="B803" s="25" t="s">
        <v>67</v>
      </c>
      <c r="C803" s="39" t="str">
        <f t="shared" si="24"/>
        <v>205</v>
      </c>
      <c r="D803" s="39" t="str">
        <f t="shared" si="25"/>
        <v>20502</v>
      </c>
      <c r="E803" s="39">
        <f>IF(ISNA(VLOOKUP(F803,'2020功能科目'!A:B,2,FALSE)),"",VLOOKUP(F803,'2020功能科目'!A:B,2,FALSE))</f>
        <v>2050201</v>
      </c>
      <c r="F803" s="25" t="s">
        <v>374</v>
      </c>
      <c r="G803" s="26">
        <v>13791455.6</v>
      </c>
      <c r="H803" s="26">
        <v>11167324.300000001</v>
      </c>
    </row>
    <row r="804" spans="1:8">
      <c r="A804" s="24">
        <v>255082</v>
      </c>
      <c r="B804" s="25" t="s">
        <v>67</v>
      </c>
      <c r="C804" s="39" t="str">
        <f t="shared" si="24"/>
        <v>205</v>
      </c>
      <c r="D804" s="39" t="str">
        <f t="shared" si="25"/>
        <v>20508</v>
      </c>
      <c r="E804" s="39">
        <f>IF(ISNA(VLOOKUP(F804,'2020功能科目'!A:B,2,FALSE)),"",VLOOKUP(F804,'2020功能科目'!A:B,2,FALSE))</f>
        <v>2050803</v>
      </c>
      <c r="F804" s="25" t="s">
        <v>378</v>
      </c>
      <c r="G804" s="26">
        <v>4800</v>
      </c>
      <c r="H804" s="26">
        <v>36000</v>
      </c>
    </row>
    <row r="805" spans="1:8">
      <c r="A805" s="24">
        <v>255082</v>
      </c>
      <c r="B805" s="25" t="s">
        <v>67</v>
      </c>
      <c r="C805" s="39" t="str">
        <f t="shared" si="24"/>
        <v>205</v>
      </c>
      <c r="D805" s="39" t="str">
        <f t="shared" si="25"/>
        <v>20509</v>
      </c>
      <c r="E805" s="39">
        <f>IF(ISNA(VLOOKUP(F805,'2020功能科目'!A:B,2,FALSE)),"",VLOOKUP(F805,'2020功能科目'!A:B,2,FALSE))</f>
        <v>2050999</v>
      </c>
      <c r="F805" s="25" t="s">
        <v>394</v>
      </c>
      <c r="G805" s="26">
        <v>90728.18</v>
      </c>
      <c r="H805" s="26">
        <v>91000</v>
      </c>
    </row>
    <row r="806" spans="1:8">
      <c r="A806" s="24">
        <v>255082</v>
      </c>
      <c r="B806" s="25" t="s">
        <v>67</v>
      </c>
      <c r="C806" s="39" t="str">
        <f t="shared" si="24"/>
        <v>208</v>
      </c>
      <c r="D806" s="39" t="str">
        <f t="shared" si="25"/>
        <v>20805</v>
      </c>
      <c r="E806" s="39">
        <f>IF(ISNA(VLOOKUP(F806,'2020功能科目'!A:B,2,FALSE)),"",VLOOKUP(F806,'2020功能科目'!A:B,2,FALSE))</f>
        <v>2080502</v>
      </c>
      <c r="F806" s="25" t="s">
        <v>381</v>
      </c>
      <c r="G806" s="26">
        <v>1827063.5</v>
      </c>
      <c r="H806" s="26">
        <v>1060752</v>
      </c>
    </row>
    <row r="807" spans="1:8">
      <c r="A807" s="24">
        <v>255082</v>
      </c>
      <c r="B807" s="25" t="s">
        <v>67</v>
      </c>
      <c r="C807" s="39" t="str">
        <f t="shared" si="24"/>
        <v>208</v>
      </c>
      <c r="D807" s="39" t="str">
        <f t="shared" si="25"/>
        <v>20805</v>
      </c>
      <c r="E807" s="39">
        <f>IF(ISNA(VLOOKUP(F807,'2020功能科目'!A:B,2,FALSE)),"",VLOOKUP(F807,'2020功能科目'!A:B,2,FALSE))</f>
        <v>2080505</v>
      </c>
      <c r="F807" s="25" t="s">
        <v>382</v>
      </c>
      <c r="G807" s="26">
        <v>847540.96</v>
      </c>
      <c r="H807" s="26">
        <v>1043562.88</v>
      </c>
    </row>
    <row r="808" spans="1:8">
      <c r="A808" s="24">
        <v>255082</v>
      </c>
      <c r="B808" s="25" t="s">
        <v>67</v>
      </c>
      <c r="C808" s="39" t="str">
        <f t="shared" si="24"/>
        <v>208</v>
      </c>
      <c r="D808" s="39" t="str">
        <f t="shared" si="25"/>
        <v>20805</v>
      </c>
      <c r="E808" s="39">
        <f>IF(ISNA(VLOOKUP(F808,'2020功能科目'!A:B,2,FALSE)),"",VLOOKUP(F808,'2020功能科目'!A:B,2,FALSE))</f>
        <v>2080506</v>
      </c>
      <c r="F808" s="25" t="s">
        <v>383</v>
      </c>
      <c r="G808" s="26">
        <v>423770.48</v>
      </c>
      <c r="H808" s="26">
        <v>521781.44</v>
      </c>
    </row>
    <row r="809" spans="1:8">
      <c r="A809" s="24">
        <v>255082</v>
      </c>
      <c r="B809" s="25" t="s">
        <v>67</v>
      </c>
      <c r="C809" s="39" t="str">
        <f t="shared" si="24"/>
        <v>210</v>
      </c>
      <c r="D809" s="39" t="str">
        <f t="shared" si="25"/>
        <v>21011</v>
      </c>
      <c r="E809" s="39">
        <f>IF(ISNA(VLOOKUP(F809,'2020功能科目'!A:B,2,FALSE)),"",VLOOKUP(F809,'2020功能科目'!A:B,2,FALSE))</f>
        <v>2101102</v>
      </c>
      <c r="F809" s="25" t="s">
        <v>385</v>
      </c>
      <c r="G809" s="26">
        <v>823364.91</v>
      </c>
      <c r="H809" s="26">
        <v>847894.84</v>
      </c>
    </row>
    <row r="810" spans="1:8">
      <c r="A810" s="24">
        <v>255082</v>
      </c>
      <c r="B810" s="25" t="s">
        <v>67</v>
      </c>
      <c r="C810" s="39" t="str">
        <f t="shared" si="24"/>
        <v>221</v>
      </c>
      <c r="D810" s="39" t="str">
        <f t="shared" si="25"/>
        <v>22102</v>
      </c>
      <c r="E810" s="39">
        <f>IF(ISNA(VLOOKUP(F810,'2020功能科目'!A:B,2,FALSE)),"",VLOOKUP(F810,'2020功能科目'!A:B,2,FALSE))</f>
        <v>2210201</v>
      </c>
      <c r="F810" s="25" t="s">
        <v>387</v>
      </c>
      <c r="G810" s="26">
        <v>1168824</v>
      </c>
      <c r="H810" s="26">
        <v>1052672.1599999999</v>
      </c>
    </row>
    <row r="811" spans="1:8">
      <c r="A811" s="24">
        <v>255082</v>
      </c>
      <c r="B811" s="25" t="s">
        <v>67</v>
      </c>
      <c r="C811" s="39" t="str">
        <f t="shared" si="24"/>
        <v>221</v>
      </c>
      <c r="D811" s="39" t="str">
        <f t="shared" si="25"/>
        <v>22102</v>
      </c>
      <c r="E811" s="39">
        <f>IF(ISNA(VLOOKUP(F811,'2020功能科目'!A:B,2,FALSE)),"",VLOOKUP(F811,'2020功能科目'!A:B,2,FALSE))</f>
        <v>2210202</v>
      </c>
      <c r="F811" s="25" t="s">
        <v>388</v>
      </c>
      <c r="G811" s="26">
        <v>138490</v>
      </c>
      <c r="H811" s="26">
        <v>141000</v>
      </c>
    </row>
    <row r="812" spans="1:8">
      <c r="A812" s="24">
        <v>255082</v>
      </c>
      <c r="B812" s="25" t="s">
        <v>67</v>
      </c>
      <c r="C812" s="39" t="str">
        <f t="shared" si="24"/>
        <v>221</v>
      </c>
      <c r="D812" s="39" t="str">
        <f t="shared" si="25"/>
        <v>22102</v>
      </c>
      <c r="E812" s="39">
        <f>IF(ISNA(VLOOKUP(F812,'2020功能科目'!A:B,2,FALSE)),"",VLOOKUP(F812,'2020功能科目'!A:B,2,FALSE))</f>
        <v>2210203</v>
      </c>
      <c r="F812" s="25" t="s">
        <v>389</v>
      </c>
      <c r="G812" s="26">
        <v>1160386</v>
      </c>
      <c r="H812" s="26">
        <v>1150740</v>
      </c>
    </row>
    <row r="813" spans="1:8">
      <c r="A813" s="24">
        <v>255083</v>
      </c>
      <c r="B813" s="25" t="s">
        <v>68</v>
      </c>
      <c r="C813" s="39" t="str">
        <f t="shared" si="24"/>
        <v>205</v>
      </c>
      <c r="D813" s="39" t="str">
        <f t="shared" si="25"/>
        <v>20502</v>
      </c>
      <c r="E813" s="39">
        <f>IF(ISNA(VLOOKUP(F813,'2020功能科目'!A:B,2,FALSE)),"",VLOOKUP(F813,'2020功能科目'!A:B,2,FALSE))</f>
        <v>2050201</v>
      </c>
      <c r="F813" s="25" t="s">
        <v>374</v>
      </c>
      <c r="G813" s="26">
        <v>18313757.280000001</v>
      </c>
      <c r="H813" s="26">
        <v>15063554.289999999</v>
      </c>
    </row>
    <row r="814" spans="1:8">
      <c r="A814" s="24">
        <v>255083</v>
      </c>
      <c r="B814" s="25" t="s">
        <v>68</v>
      </c>
      <c r="C814" s="39" t="str">
        <f t="shared" si="24"/>
        <v>205</v>
      </c>
      <c r="D814" s="39" t="str">
        <f t="shared" si="25"/>
        <v>20508</v>
      </c>
      <c r="E814" s="39">
        <f>IF(ISNA(VLOOKUP(F814,'2020功能科目'!A:B,2,FALSE)),"",VLOOKUP(F814,'2020功能科目'!A:B,2,FALSE))</f>
        <v>2050803</v>
      </c>
      <c r="F814" s="25" t="s">
        <v>378</v>
      </c>
      <c r="G814" s="26">
        <v>26210</v>
      </c>
      <c r="H814" s="26">
        <v>52800</v>
      </c>
    </row>
    <row r="815" spans="1:8">
      <c r="A815" s="24">
        <v>255083</v>
      </c>
      <c r="B815" s="25" t="s">
        <v>68</v>
      </c>
      <c r="C815" s="39" t="str">
        <f t="shared" si="24"/>
        <v>205</v>
      </c>
      <c r="D815" s="39" t="str">
        <f t="shared" si="25"/>
        <v>20509</v>
      </c>
      <c r="E815" s="39">
        <f>IF(ISNA(VLOOKUP(F815,'2020功能科目'!A:B,2,FALSE)),"",VLOOKUP(F815,'2020功能科目'!A:B,2,FALSE))</f>
        <v>2050999</v>
      </c>
      <c r="F815" s="25" t="s">
        <v>394</v>
      </c>
      <c r="G815" s="26">
        <v>658896</v>
      </c>
      <c r="H815" s="26">
        <v>662000</v>
      </c>
    </row>
    <row r="816" spans="1:8">
      <c r="A816" s="24">
        <v>255083</v>
      </c>
      <c r="B816" s="25" t="s">
        <v>68</v>
      </c>
      <c r="C816" s="39" t="str">
        <f t="shared" si="24"/>
        <v>208</v>
      </c>
      <c r="D816" s="39" t="str">
        <f t="shared" si="25"/>
        <v>20805</v>
      </c>
      <c r="E816" s="39">
        <f>IF(ISNA(VLOOKUP(F816,'2020功能科目'!A:B,2,FALSE)),"",VLOOKUP(F816,'2020功能科目'!A:B,2,FALSE))</f>
        <v>2080502</v>
      </c>
      <c r="F816" s="25" t="s">
        <v>381</v>
      </c>
      <c r="G816" s="26">
        <v>258068</v>
      </c>
      <c r="H816" s="26">
        <v>258590</v>
      </c>
    </row>
    <row r="817" spans="1:8">
      <c r="A817" s="24">
        <v>255083</v>
      </c>
      <c r="B817" s="25" t="s">
        <v>68</v>
      </c>
      <c r="C817" s="39" t="str">
        <f t="shared" si="24"/>
        <v>208</v>
      </c>
      <c r="D817" s="39" t="str">
        <f t="shared" si="25"/>
        <v>20805</v>
      </c>
      <c r="E817" s="39">
        <f>IF(ISNA(VLOOKUP(F817,'2020功能科目'!A:B,2,FALSE)),"",VLOOKUP(F817,'2020功能科目'!A:B,2,FALSE))</f>
        <v>2080505</v>
      </c>
      <c r="F817" s="25" t="s">
        <v>382</v>
      </c>
      <c r="G817" s="26">
        <v>1226902.8899999999</v>
      </c>
      <c r="H817" s="26">
        <v>1254455.29</v>
      </c>
    </row>
    <row r="818" spans="1:8">
      <c r="A818" s="24">
        <v>255083</v>
      </c>
      <c r="B818" s="25" t="s">
        <v>68</v>
      </c>
      <c r="C818" s="39" t="str">
        <f t="shared" si="24"/>
        <v>208</v>
      </c>
      <c r="D818" s="39" t="str">
        <f t="shared" si="25"/>
        <v>20805</v>
      </c>
      <c r="E818" s="39">
        <f>IF(ISNA(VLOOKUP(F818,'2020功能科目'!A:B,2,FALSE)),"",VLOOKUP(F818,'2020功能科目'!A:B,2,FALSE))</f>
        <v>2080506</v>
      </c>
      <c r="F818" s="25" t="s">
        <v>383</v>
      </c>
      <c r="G818" s="26">
        <v>613451.44999999995</v>
      </c>
      <c r="H818" s="26">
        <v>627227.64</v>
      </c>
    </row>
    <row r="819" spans="1:8">
      <c r="A819" s="24">
        <v>255083</v>
      </c>
      <c r="B819" s="25" t="s">
        <v>68</v>
      </c>
      <c r="C819" s="39" t="str">
        <f t="shared" si="24"/>
        <v>210</v>
      </c>
      <c r="D819" s="39" t="str">
        <f t="shared" si="25"/>
        <v>21011</v>
      </c>
      <c r="E819" s="39">
        <f>IF(ISNA(VLOOKUP(F819,'2020功能科目'!A:B,2,FALSE)),"",VLOOKUP(F819,'2020功能科目'!A:B,2,FALSE))</f>
        <v>2101102</v>
      </c>
      <c r="F819" s="25" t="s">
        <v>385</v>
      </c>
      <c r="G819" s="26">
        <v>960197.21</v>
      </c>
      <c r="H819" s="26">
        <v>1019244.92</v>
      </c>
    </row>
    <row r="820" spans="1:8">
      <c r="A820" s="24">
        <v>255083</v>
      </c>
      <c r="B820" s="25" t="s">
        <v>68</v>
      </c>
      <c r="C820" s="39" t="str">
        <f t="shared" si="24"/>
        <v>221</v>
      </c>
      <c r="D820" s="39" t="str">
        <f t="shared" si="25"/>
        <v>22102</v>
      </c>
      <c r="E820" s="39">
        <f>IF(ISNA(VLOOKUP(F820,'2020功能科目'!A:B,2,FALSE)),"",VLOOKUP(F820,'2020功能科目'!A:B,2,FALSE))</f>
        <v>2210201</v>
      </c>
      <c r="F820" s="25" t="s">
        <v>387</v>
      </c>
      <c r="G820" s="26">
        <v>1214106</v>
      </c>
      <c r="H820" s="26">
        <v>1336841.47</v>
      </c>
    </row>
    <row r="821" spans="1:8">
      <c r="A821" s="24">
        <v>255083</v>
      </c>
      <c r="B821" s="25" t="s">
        <v>68</v>
      </c>
      <c r="C821" s="39" t="str">
        <f t="shared" si="24"/>
        <v>221</v>
      </c>
      <c r="D821" s="39" t="str">
        <f t="shared" si="25"/>
        <v>22102</v>
      </c>
      <c r="E821" s="39">
        <f>IF(ISNA(VLOOKUP(F821,'2020功能科目'!A:B,2,FALSE)),"",VLOOKUP(F821,'2020功能科目'!A:B,2,FALSE))</f>
        <v>2210202</v>
      </c>
      <c r="F821" s="25" t="s">
        <v>388</v>
      </c>
      <c r="G821" s="26">
        <v>79440</v>
      </c>
      <c r="H821" s="26">
        <v>80280</v>
      </c>
    </row>
    <row r="822" spans="1:8">
      <c r="A822" s="24">
        <v>255083</v>
      </c>
      <c r="B822" s="25" t="s">
        <v>68</v>
      </c>
      <c r="C822" s="39" t="str">
        <f t="shared" si="24"/>
        <v>221</v>
      </c>
      <c r="D822" s="39" t="str">
        <f t="shared" si="25"/>
        <v>22102</v>
      </c>
      <c r="E822" s="39">
        <f>IF(ISNA(VLOOKUP(F822,'2020功能科目'!A:B,2,FALSE)),"",VLOOKUP(F822,'2020功能科目'!A:B,2,FALSE))</f>
        <v>2210203</v>
      </c>
      <c r="F822" s="25" t="s">
        <v>389</v>
      </c>
      <c r="G822" s="26">
        <v>1407881</v>
      </c>
      <c r="H822" s="26">
        <v>1328220</v>
      </c>
    </row>
    <row r="823" spans="1:8">
      <c r="A823" s="24">
        <v>255085</v>
      </c>
      <c r="B823" s="25" t="s">
        <v>69</v>
      </c>
      <c r="C823" s="39" t="str">
        <f t="shared" si="24"/>
        <v>208</v>
      </c>
      <c r="D823" s="39" t="str">
        <f t="shared" si="25"/>
        <v>20805</v>
      </c>
      <c r="E823" s="39">
        <f>IF(ISNA(VLOOKUP(F823,'2020功能科目'!A:B,2,FALSE)),"",VLOOKUP(F823,'2020功能科目'!A:B,2,FALSE))</f>
        <v>2080502</v>
      </c>
      <c r="F823" s="25" t="s">
        <v>381</v>
      </c>
      <c r="G823" s="26">
        <v>125401</v>
      </c>
      <c r="H823" s="26">
        <v>125560</v>
      </c>
    </row>
    <row r="824" spans="1:8">
      <c r="A824" s="24">
        <v>255085</v>
      </c>
      <c r="B824" s="25" t="s">
        <v>69</v>
      </c>
      <c r="C824" s="39" t="str">
        <f t="shared" si="24"/>
        <v>221</v>
      </c>
      <c r="D824" s="39" t="str">
        <f t="shared" si="25"/>
        <v>22102</v>
      </c>
      <c r="E824" s="39">
        <f>IF(ISNA(VLOOKUP(F824,'2020功能科目'!A:B,2,FALSE)),"",VLOOKUP(F824,'2020功能科目'!A:B,2,FALSE))</f>
        <v>2210202</v>
      </c>
      <c r="F824" s="25" t="s">
        <v>388</v>
      </c>
      <c r="G824" s="26">
        <v>12480</v>
      </c>
      <c r="H824" s="26">
        <v>12480</v>
      </c>
    </row>
    <row r="825" spans="1:8">
      <c r="A825" s="24">
        <v>255087</v>
      </c>
      <c r="B825" s="25" t="s">
        <v>70</v>
      </c>
      <c r="C825" s="39" t="str">
        <f t="shared" si="24"/>
        <v>205</v>
      </c>
      <c r="D825" s="39" t="str">
        <f t="shared" si="25"/>
        <v>20502</v>
      </c>
      <c r="E825" s="39">
        <f>IF(ISNA(VLOOKUP(F825,'2020功能科目'!A:B,2,FALSE)),"",VLOOKUP(F825,'2020功能科目'!A:B,2,FALSE))</f>
        <v>2050201</v>
      </c>
      <c r="F825" s="25" t="s">
        <v>374</v>
      </c>
      <c r="G825" s="26">
        <v>3463599.67</v>
      </c>
      <c r="H825" s="26">
        <v>0</v>
      </c>
    </row>
    <row r="826" spans="1:8">
      <c r="A826" s="24">
        <v>255087</v>
      </c>
      <c r="B826" s="25" t="s">
        <v>70</v>
      </c>
      <c r="C826" s="39" t="str">
        <f t="shared" si="24"/>
        <v>205</v>
      </c>
      <c r="D826" s="39" t="str">
        <f t="shared" si="25"/>
        <v>20502</v>
      </c>
      <c r="E826" s="39">
        <f>IF(ISNA(VLOOKUP(F826,'2020功能科目'!A:B,2,FALSE)),"",VLOOKUP(F826,'2020功能科目'!A:B,2,FALSE))</f>
        <v>2050204</v>
      </c>
      <c r="F826" s="25" t="s">
        <v>376</v>
      </c>
      <c r="G826" s="26">
        <v>66500</v>
      </c>
      <c r="H826" s="26">
        <v>97500</v>
      </c>
    </row>
    <row r="827" spans="1:8">
      <c r="A827" s="24">
        <v>255087</v>
      </c>
      <c r="B827" s="25" t="s">
        <v>70</v>
      </c>
      <c r="C827" s="39" t="str">
        <f t="shared" si="24"/>
        <v>205</v>
      </c>
      <c r="D827" s="39" t="str">
        <f t="shared" si="25"/>
        <v>20502</v>
      </c>
      <c r="E827" s="39">
        <f>IF(ISNA(VLOOKUP(F827,'2020功能科目'!A:B,2,FALSE)),"",VLOOKUP(F827,'2020功能科目'!A:B,2,FALSE))</f>
        <v>2050299</v>
      </c>
      <c r="F827" s="25" t="s">
        <v>377</v>
      </c>
      <c r="G827" s="26">
        <v>412550.53</v>
      </c>
      <c r="H827" s="26">
        <v>170391.76</v>
      </c>
    </row>
    <row r="828" spans="1:8">
      <c r="A828" s="24">
        <v>255087</v>
      </c>
      <c r="B828" s="25" t="s">
        <v>70</v>
      </c>
      <c r="C828" s="39" t="str">
        <f t="shared" si="24"/>
        <v>205</v>
      </c>
      <c r="D828" s="39" t="str">
        <f t="shared" si="25"/>
        <v>20507</v>
      </c>
      <c r="E828" s="39">
        <f>IF(ISNA(VLOOKUP(F828,'2020功能科目'!A:B,2,FALSE)),"",VLOOKUP(F828,'2020功能科目'!A:B,2,FALSE))</f>
        <v>2050701</v>
      </c>
      <c r="F828" s="25" t="s">
        <v>395</v>
      </c>
      <c r="G828" s="26">
        <v>37574054.200000003</v>
      </c>
      <c r="H828" s="26">
        <v>29728770.199999999</v>
      </c>
    </row>
    <row r="829" spans="1:8">
      <c r="A829" s="24">
        <v>255087</v>
      </c>
      <c r="B829" s="25" t="s">
        <v>70</v>
      </c>
      <c r="C829" s="39" t="str">
        <f t="shared" si="24"/>
        <v>205</v>
      </c>
      <c r="D829" s="39" t="str">
        <f t="shared" si="25"/>
        <v>20508</v>
      </c>
      <c r="E829" s="39">
        <f>IF(ISNA(VLOOKUP(F829,'2020功能科目'!A:B,2,FALSE)),"",VLOOKUP(F829,'2020功能科目'!A:B,2,FALSE))</f>
        <v>2050803</v>
      </c>
      <c r="F829" s="25" t="s">
        <v>378</v>
      </c>
      <c r="G829" s="26">
        <v>15500</v>
      </c>
      <c r="H829" s="26">
        <v>85600</v>
      </c>
    </row>
    <row r="830" spans="1:8">
      <c r="A830" s="24">
        <v>255087</v>
      </c>
      <c r="B830" s="25" t="s">
        <v>70</v>
      </c>
      <c r="C830" s="39" t="str">
        <f t="shared" si="24"/>
        <v>205</v>
      </c>
      <c r="D830" s="39" t="str">
        <f t="shared" si="25"/>
        <v>20509</v>
      </c>
      <c r="E830" s="39">
        <f>IF(ISNA(VLOOKUP(F830,'2020功能科目'!A:B,2,FALSE)),"",VLOOKUP(F830,'2020功能科目'!A:B,2,FALSE))</f>
        <v>2050903</v>
      </c>
      <c r="F830" s="25" t="s">
        <v>379</v>
      </c>
      <c r="G830" s="26">
        <v>2345000</v>
      </c>
      <c r="H830" s="26">
        <v>2345000</v>
      </c>
    </row>
    <row r="831" spans="1:8">
      <c r="A831" s="24">
        <v>255087</v>
      </c>
      <c r="B831" s="25" t="s">
        <v>70</v>
      </c>
      <c r="C831" s="39" t="str">
        <f t="shared" si="24"/>
        <v>205</v>
      </c>
      <c r="D831" s="39" t="str">
        <f t="shared" si="25"/>
        <v>20509</v>
      </c>
      <c r="E831" s="39">
        <f>IF(ISNA(VLOOKUP(F831,'2020功能科目'!A:B,2,FALSE)),"",VLOOKUP(F831,'2020功能科目'!A:B,2,FALSE))</f>
        <v>2050904</v>
      </c>
      <c r="F831" s="25" t="s">
        <v>380</v>
      </c>
      <c r="G831" s="26">
        <v>191200</v>
      </c>
      <c r="H831" s="26">
        <v>192000</v>
      </c>
    </row>
    <row r="832" spans="1:8">
      <c r="A832" s="24">
        <v>255087</v>
      </c>
      <c r="B832" s="25" t="s">
        <v>70</v>
      </c>
      <c r="C832" s="39" t="str">
        <f t="shared" si="24"/>
        <v>208</v>
      </c>
      <c r="D832" s="39" t="str">
        <f t="shared" si="25"/>
        <v>20805</v>
      </c>
      <c r="E832" s="39">
        <f>IF(ISNA(VLOOKUP(F832,'2020功能科目'!A:B,2,FALSE)),"",VLOOKUP(F832,'2020功能科目'!A:B,2,FALSE))</f>
        <v>2080502</v>
      </c>
      <c r="F832" s="25" t="s">
        <v>381</v>
      </c>
      <c r="G832" s="26">
        <v>1387676.6</v>
      </c>
      <c r="H832" s="26">
        <v>1051278</v>
      </c>
    </row>
    <row r="833" spans="1:8">
      <c r="A833" s="24">
        <v>255087</v>
      </c>
      <c r="B833" s="25" t="s">
        <v>70</v>
      </c>
      <c r="C833" s="39" t="str">
        <f t="shared" si="24"/>
        <v>208</v>
      </c>
      <c r="D833" s="39" t="str">
        <f t="shared" si="25"/>
        <v>20805</v>
      </c>
      <c r="E833" s="39">
        <f>IF(ISNA(VLOOKUP(F833,'2020功能科目'!A:B,2,FALSE)),"",VLOOKUP(F833,'2020功能科目'!A:B,2,FALSE))</f>
        <v>2080505</v>
      </c>
      <c r="F833" s="25" t="s">
        <v>382</v>
      </c>
      <c r="G833" s="26">
        <v>2478130.4</v>
      </c>
      <c r="H833" s="26">
        <v>2810673.92</v>
      </c>
    </row>
    <row r="834" spans="1:8">
      <c r="A834" s="24">
        <v>255087</v>
      </c>
      <c r="B834" s="25" t="s">
        <v>70</v>
      </c>
      <c r="C834" s="39" t="str">
        <f t="shared" si="24"/>
        <v>208</v>
      </c>
      <c r="D834" s="39" t="str">
        <f t="shared" si="25"/>
        <v>20805</v>
      </c>
      <c r="E834" s="39">
        <f>IF(ISNA(VLOOKUP(F834,'2020功能科目'!A:B,2,FALSE)),"",VLOOKUP(F834,'2020功能科目'!A:B,2,FALSE))</f>
        <v>2080506</v>
      </c>
      <c r="F834" s="25" t="s">
        <v>383</v>
      </c>
      <c r="G834" s="26">
        <v>1239065.2</v>
      </c>
      <c r="H834" s="26">
        <v>1405336.96</v>
      </c>
    </row>
    <row r="835" spans="1:8">
      <c r="A835" s="24">
        <v>255087</v>
      </c>
      <c r="B835" s="25" t="s">
        <v>70</v>
      </c>
      <c r="C835" s="39" t="str">
        <f t="shared" ref="C835:C898" si="26">LEFT(D835,3)</f>
        <v>210</v>
      </c>
      <c r="D835" s="39" t="str">
        <f t="shared" ref="D835:D898" si="27">LEFT(E835,5)</f>
        <v>21011</v>
      </c>
      <c r="E835" s="39">
        <f>IF(ISNA(VLOOKUP(F835,'2020功能科目'!A:B,2,FALSE)),"",VLOOKUP(F835,'2020功能科目'!A:B,2,FALSE))</f>
        <v>2101102</v>
      </c>
      <c r="F835" s="25" t="s">
        <v>385</v>
      </c>
      <c r="G835" s="26">
        <v>2595725.11</v>
      </c>
      <c r="H835" s="26">
        <v>2283672.56</v>
      </c>
    </row>
    <row r="836" spans="1:8">
      <c r="A836" s="24">
        <v>255087</v>
      </c>
      <c r="B836" s="25" t="s">
        <v>70</v>
      </c>
      <c r="C836" s="39" t="str">
        <f t="shared" si="26"/>
        <v>221</v>
      </c>
      <c r="D836" s="39" t="str">
        <f t="shared" si="27"/>
        <v>22102</v>
      </c>
      <c r="E836" s="39">
        <f>IF(ISNA(VLOOKUP(F836,'2020功能科目'!A:B,2,FALSE)),"",VLOOKUP(F836,'2020功能科目'!A:B,2,FALSE))</f>
        <v>2210201</v>
      </c>
      <c r="F836" s="25" t="s">
        <v>387</v>
      </c>
      <c r="G836" s="26">
        <v>3163075</v>
      </c>
      <c r="H836" s="26">
        <v>2750005.44</v>
      </c>
    </row>
    <row r="837" spans="1:8">
      <c r="A837" s="24">
        <v>255087</v>
      </c>
      <c r="B837" s="25" t="s">
        <v>70</v>
      </c>
      <c r="C837" s="39" t="str">
        <f t="shared" si="26"/>
        <v>221</v>
      </c>
      <c r="D837" s="39" t="str">
        <f t="shared" si="27"/>
        <v>22102</v>
      </c>
      <c r="E837" s="39">
        <f>IF(ISNA(VLOOKUP(F837,'2020功能科目'!A:B,2,FALSE)),"",VLOOKUP(F837,'2020功能科目'!A:B,2,FALSE))</f>
        <v>2210202</v>
      </c>
      <c r="F837" s="25" t="s">
        <v>388</v>
      </c>
      <c r="G837" s="26">
        <v>189770</v>
      </c>
      <c r="H837" s="26">
        <v>197160</v>
      </c>
    </row>
    <row r="838" spans="1:8">
      <c r="A838" s="24">
        <v>255087</v>
      </c>
      <c r="B838" s="25" t="s">
        <v>70</v>
      </c>
      <c r="C838" s="39" t="str">
        <f t="shared" si="26"/>
        <v>221</v>
      </c>
      <c r="D838" s="39" t="str">
        <f t="shared" si="27"/>
        <v>22102</v>
      </c>
      <c r="E838" s="39">
        <f>IF(ISNA(VLOOKUP(F838,'2020功能科目'!A:B,2,FALSE)),"",VLOOKUP(F838,'2020功能科目'!A:B,2,FALSE))</f>
        <v>2210203</v>
      </c>
      <c r="F838" s="25" t="s">
        <v>389</v>
      </c>
      <c r="G838" s="26">
        <v>3223952</v>
      </c>
      <c r="H838" s="26">
        <v>3211392</v>
      </c>
    </row>
    <row r="839" spans="1:8">
      <c r="A839" s="24">
        <v>255088</v>
      </c>
      <c r="B839" s="25" t="s">
        <v>71</v>
      </c>
      <c r="C839" s="39" t="str">
        <f t="shared" si="26"/>
        <v>205</v>
      </c>
      <c r="D839" s="39" t="str">
        <f t="shared" si="27"/>
        <v>20502</v>
      </c>
      <c r="E839" s="39">
        <f>IF(ISNA(VLOOKUP(F839,'2020功能科目'!A:B,2,FALSE)),"",VLOOKUP(F839,'2020功能科目'!A:B,2,FALSE))</f>
        <v>2050201</v>
      </c>
      <c r="F839" s="25" t="s">
        <v>374</v>
      </c>
      <c r="G839" s="26">
        <v>572719.30000000005</v>
      </c>
      <c r="H839" s="26">
        <v>668755.80000000005</v>
      </c>
    </row>
    <row r="840" spans="1:8">
      <c r="A840" s="24">
        <v>255088</v>
      </c>
      <c r="B840" s="25" t="s">
        <v>71</v>
      </c>
      <c r="C840" s="39" t="str">
        <f t="shared" si="26"/>
        <v>205</v>
      </c>
      <c r="D840" s="39" t="str">
        <f t="shared" si="27"/>
        <v>20502</v>
      </c>
      <c r="E840" s="39">
        <f>IF(ISNA(VLOOKUP(F840,'2020功能科目'!A:B,2,FALSE)),"",VLOOKUP(F840,'2020功能科目'!A:B,2,FALSE))</f>
        <v>2050299</v>
      </c>
      <c r="F840" s="25" t="s">
        <v>377</v>
      </c>
      <c r="G840" s="26">
        <v>328160</v>
      </c>
      <c r="H840" s="26">
        <v>20550</v>
      </c>
    </row>
    <row r="841" spans="1:8">
      <c r="A841" s="24">
        <v>255088</v>
      </c>
      <c r="B841" s="25" t="s">
        <v>71</v>
      </c>
      <c r="C841" s="39" t="str">
        <f t="shared" si="26"/>
        <v>205</v>
      </c>
      <c r="D841" s="39" t="str">
        <f t="shared" si="27"/>
        <v>20507</v>
      </c>
      <c r="E841" s="39">
        <f>IF(ISNA(VLOOKUP(F841,'2020功能科目'!A:B,2,FALSE)),"",VLOOKUP(F841,'2020功能科目'!A:B,2,FALSE))</f>
        <v>2050701</v>
      </c>
      <c r="F841" s="25" t="s">
        <v>395</v>
      </c>
      <c r="G841" s="26">
        <v>39508213.979999997</v>
      </c>
      <c r="H841" s="26">
        <v>32975365.640000001</v>
      </c>
    </row>
    <row r="842" spans="1:8">
      <c r="A842" s="24">
        <v>255088</v>
      </c>
      <c r="B842" s="25" t="s">
        <v>71</v>
      </c>
      <c r="C842" s="39" t="str">
        <f t="shared" si="26"/>
        <v>205</v>
      </c>
      <c r="D842" s="39" t="str">
        <f t="shared" si="27"/>
        <v>20507</v>
      </c>
      <c r="E842" s="39">
        <f>IF(ISNA(VLOOKUP(F842,'2020功能科目'!A:B,2,FALSE)),"",VLOOKUP(F842,'2020功能科目'!A:B,2,FALSE))</f>
        <v>2050799</v>
      </c>
      <c r="F842" s="25" t="s">
        <v>396</v>
      </c>
      <c r="G842" s="26">
        <v>28400</v>
      </c>
      <c r="H842" s="26">
        <v>339991</v>
      </c>
    </row>
    <row r="843" spans="1:8">
      <c r="A843" s="24">
        <v>255088</v>
      </c>
      <c r="B843" s="25" t="s">
        <v>71</v>
      </c>
      <c r="C843" s="39" t="str">
        <f t="shared" si="26"/>
        <v>205</v>
      </c>
      <c r="D843" s="39" t="str">
        <f t="shared" si="27"/>
        <v>20508</v>
      </c>
      <c r="E843" s="39">
        <f>IF(ISNA(VLOOKUP(F843,'2020功能科目'!A:B,2,FALSE)),"",VLOOKUP(F843,'2020功能科目'!A:B,2,FALSE))</f>
        <v>2050803</v>
      </c>
      <c r="F843" s="25" t="s">
        <v>378</v>
      </c>
      <c r="G843" s="26">
        <v>0</v>
      </c>
      <c r="H843" s="26">
        <v>95200</v>
      </c>
    </row>
    <row r="844" spans="1:8">
      <c r="A844" s="24">
        <v>255088</v>
      </c>
      <c r="B844" s="25" t="s">
        <v>71</v>
      </c>
      <c r="C844" s="39" t="str">
        <f t="shared" si="26"/>
        <v>205</v>
      </c>
      <c r="D844" s="39" t="str">
        <f t="shared" si="27"/>
        <v>20509</v>
      </c>
      <c r="E844" s="39">
        <f>IF(ISNA(VLOOKUP(F844,'2020功能科目'!A:B,2,FALSE)),"",VLOOKUP(F844,'2020功能科目'!A:B,2,FALSE))</f>
        <v>2050903</v>
      </c>
      <c r="F844" s="25" t="s">
        <v>379</v>
      </c>
      <c r="G844" s="26">
        <v>3471341.6</v>
      </c>
      <c r="H844" s="26">
        <v>3472000</v>
      </c>
    </row>
    <row r="845" spans="1:8">
      <c r="A845" s="24">
        <v>255088</v>
      </c>
      <c r="B845" s="25" t="s">
        <v>71</v>
      </c>
      <c r="C845" s="39" t="str">
        <f t="shared" si="26"/>
        <v>205</v>
      </c>
      <c r="D845" s="39" t="str">
        <f t="shared" si="27"/>
        <v>20509</v>
      </c>
      <c r="E845" s="39">
        <f>IF(ISNA(VLOOKUP(F845,'2020功能科目'!A:B,2,FALSE)),"",VLOOKUP(F845,'2020功能科目'!A:B,2,FALSE))</f>
        <v>2050904</v>
      </c>
      <c r="F845" s="25" t="s">
        <v>380</v>
      </c>
      <c r="G845" s="26">
        <v>1503457</v>
      </c>
      <c r="H845" s="26">
        <v>1507000</v>
      </c>
    </row>
    <row r="846" spans="1:8">
      <c r="A846" s="24">
        <v>255088</v>
      </c>
      <c r="B846" s="25" t="s">
        <v>71</v>
      </c>
      <c r="C846" s="39" t="str">
        <f t="shared" si="26"/>
        <v>208</v>
      </c>
      <c r="D846" s="39" t="str">
        <f t="shared" si="27"/>
        <v>20805</v>
      </c>
      <c r="E846" s="39">
        <f>IF(ISNA(VLOOKUP(F846,'2020功能科目'!A:B,2,FALSE)),"",VLOOKUP(F846,'2020功能科目'!A:B,2,FALSE))</f>
        <v>2080502</v>
      </c>
      <c r="F846" s="25" t="s">
        <v>381</v>
      </c>
      <c r="G846" s="26">
        <v>1381126.4</v>
      </c>
      <c r="H846" s="26">
        <v>1206144.3999999999</v>
      </c>
    </row>
    <row r="847" spans="1:8">
      <c r="A847" s="24">
        <v>255088</v>
      </c>
      <c r="B847" s="25" t="s">
        <v>71</v>
      </c>
      <c r="C847" s="39" t="str">
        <f t="shared" si="26"/>
        <v>208</v>
      </c>
      <c r="D847" s="39" t="str">
        <f t="shared" si="27"/>
        <v>20805</v>
      </c>
      <c r="E847" s="39">
        <f>IF(ISNA(VLOOKUP(F847,'2020功能科目'!A:B,2,FALSE)),"",VLOOKUP(F847,'2020功能科目'!A:B,2,FALSE))</f>
        <v>2080505</v>
      </c>
      <c r="F847" s="25" t="s">
        <v>382</v>
      </c>
      <c r="G847" s="26">
        <v>2581115.52</v>
      </c>
      <c r="H847" s="26">
        <v>3018389.12</v>
      </c>
    </row>
    <row r="848" spans="1:8">
      <c r="A848" s="24">
        <v>255088</v>
      </c>
      <c r="B848" s="25" t="s">
        <v>71</v>
      </c>
      <c r="C848" s="39" t="str">
        <f t="shared" si="26"/>
        <v>208</v>
      </c>
      <c r="D848" s="39" t="str">
        <f t="shared" si="27"/>
        <v>20805</v>
      </c>
      <c r="E848" s="39">
        <f>IF(ISNA(VLOOKUP(F848,'2020功能科目'!A:B,2,FALSE)),"",VLOOKUP(F848,'2020功能科目'!A:B,2,FALSE))</f>
        <v>2080506</v>
      </c>
      <c r="F848" s="25" t="s">
        <v>383</v>
      </c>
      <c r="G848" s="26">
        <v>1290557.76</v>
      </c>
      <c r="H848" s="26">
        <v>1509194.56</v>
      </c>
    </row>
    <row r="849" spans="1:8">
      <c r="A849" s="24">
        <v>255088</v>
      </c>
      <c r="B849" s="25" t="s">
        <v>71</v>
      </c>
      <c r="C849" s="39" t="str">
        <f t="shared" si="26"/>
        <v>210</v>
      </c>
      <c r="D849" s="39" t="str">
        <f t="shared" si="27"/>
        <v>21011</v>
      </c>
      <c r="E849" s="39">
        <f>IF(ISNA(VLOOKUP(F849,'2020功能科目'!A:B,2,FALSE)),"",VLOOKUP(F849,'2020功能科目'!A:B,2,FALSE))</f>
        <v>2101102</v>
      </c>
      <c r="F849" s="25" t="s">
        <v>385</v>
      </c>
      <c r="G849" s="26">
        <v>2188084.6</v>
      </c>
      <c r="H849" s="26">
        <v>2452441.16</v>
      </c>
    </row>
    <row r="850" spans="1:8">
      <c r="A850" s="24">
        <v>255088</v>
      </c>
      <c r="B850" s="25" t="s">
        <v>71</v>
      </c>
      <c r="C850" s="39" t="str">
        <f t="shared" si="26"/>
        <v>221</v>
      </c>
      <c r="D850" s="39" t="str">
        <f t="shared" si="27"/>
        <v>22102</v>
      </c>
      <c r="E850" s="39">
        <f>IF(ISNA(VLOOKUP(F850,'2020功能科目'!A:B,2,FALSE)),"",VLOOKUP(F850,'2020功能科目'!A:B,2,FALSE))</f>
        <v>2210201</v>
      </c>
      <c r="F850" s="25" t="s">
        <v>387</v>
      </c>
      <c r="G850" s="26">
        <v>2673597</v>
      </c>
      <c r="H850" s="26">
        <v>2977791.84</v>
      </c>
    </row>
    <row r="851" spans="1:8">
      <c r="A851" s="24">
        <v>255088</v>
      </c>
      <c r="B851" s="25" t="s">
        <v>71</v>
      </c>
      <c r="C851" s="39" t="str">
        <f t="shared" si="26"/>
        <v>221</v>
      </c>
      <c r="D851" s="39" t="str">
        <f t="shared" si="27"/>
        <v>22102</v>
      </c>
      <c r="E851" s="39">
        <f>IF(ISNA(VLOOKUP(F851,'2020功能科目'!A:B,2,FALSE)),"",VLOOKUP(F851,'2020功能科目'!A:B,2,FALSE))</f>
        <v>2210202</v>
      </c>
      <c r="F851" s="25" t="s">
        <v>388</v>
      </c>
      <c r="G851" s="26">
        <v>217670</v>
      </c>
      <c r="H851" s="26">
        <v>224160</v>
      </c>
    </row>
    <row r="852" spans="1:8">
      <c r="A852" s="24">
        <v>255088</v>
      </c>
      <c r="B852" s="25" t="s">
        <v>71</v>
      </c>
      <c r="C852" s="39" t="str">
        <f t="shared" si="26"/>
        <v>221</v>
      </c>
      <c r="D852" s="39" t="str">
        <f t="shared" si="27"/>
        <v>22102</v>
      </c>
      <c r="E852" s="39">
        <f>IF(ISNA(VLOOKUP(F852,'2020功能科目'!A:B,2,FALSE)),"",VLOOKUP(F852,'2020功能科目'!A:B,2,FALSE))</f>
        <v>2210203</v>
      </c>
      <c r="F852" s="25" t="s">
        <v>389</v>
      </c>
      <c r="G852" s="26">
        <v>3519962</v>
      </c>
      <c r="H852" s="26">
        <v>3422868</v>
      </c>
    </row>
    <row r="853" spans="1:8">
      <c r="A853" s="24">
        <v>255089</v>
      </c>
      <c r="B853" s="25" t="s">
        <v>72</v>
      </c>
      <c r="C853" s="39" t="str">
        <f t="shared" si="26"/>
        <v>205</v>
      </c>
      <c r="D853" s="39" t="str">
        <f t="shared" si="27"/>
        <v>20502</v>
      </c>
      <c r="E853" s="39">
        <f>IF(ISNA(VLOOKUP(F853,'2020功能科目'!A:B,2,FALSE)),"",VLOOKUP(F853,'2020功能科目'!A:B,2,FALSE))</f>
        <v>2050299</v>
      </c>
      <c r="F853" s="25" t="s">
        <v>377</v>
      </c>
      <c r="G853" s="26">
        <v>99692</v>
      </c>
      <c r="H853" s="26">
        <v>2550</v>
      </c>
    </row>
    <row r="854" spans="1:8">
      <c r="A854" s="24">
        <v>255089</v>
      </c>
      <c r="B854" s="25" t="s">
        <v>72</v>
      </c>
      <c r="C854" s="39" t="str">
        <f t="shared" si="26"/>
        <v>205</v>
      </c>
      <c r="D854" s="39" t="str">
        <f t="shared" si="27"/>
        <v>20507</v>
      </c>
      <c r="E854" s="39">
        <f>IF(ISNA(VLOOKUP(F854,'2020功能科目'!A:B,2,FALSE)),"",VLOOKUP(F854,'2020功能科目'!A:B,2,FALSE))</f>
        <v>2050702</v>
      </c>
      <c r="F854" s="25" t="s">
        <v>397</v>
      </c>
      <c r="G854" s="26">
        <v>12878790.67</v>
      </c>
      <c r="H854" s="26">
        <v>10625670.27</v>
      </c>
    </row>
    <row r="855" spans="1:8">
      <c r="A855" s="24">
        <v>255089</v>
      </c>
      <c r="B855" s="25" t="s">
        <v>72</v>
      </c>
      <c r="C855" s="39" t="str">
        <f t="shared" si="26"/>
        <v>205</v>
      </c>
      <c r="D855" s="39" t="str">
        <f t="shared" si="27"/>
        <v>20508</v>
      </c>
      <c r="E855" s="39">
        <f>IF(ISNA(VLOOKUP(F855,'2020功能科目'!A:B,2,FALSE)),"",VLOOKUP(F855,'2020功能科目'!A:B,2,FALSE))</f>
        <v>2050803</v>
      </c>
      <c r="F855" s="25" t="s">
        <v>378</v>
      </c>
      <c r="G855" s="26">
        <v>14400</v>
      </c>
      <c r="H855" s="26">
        <v>28800</v>
      </c>
    </row>
    <row r="856" spans="1:8">
      <c r="A856" s="24">
        <v>255089</v>
      </c>
      <c r="B856" s="25" t="s">
        <v>72</v>
      </c>
      <c r="C856" s="39" t="str">
        <f t="shared" si="26"/>
        <v>205</v>
      </c>
      <c r="D856" s="39" t="str">
        <f t="shared" si="27"/>
        <v>20509</v>
      </c>
      <c r="E856" s="39">
        <f>IF(ISNA(VLOOKUP(F856,'2020功能科目'!A:B,2,FALSE)),"",VLOOKUP(F856,'2020功能科目'!A:B,2,FALSE))</f>
        <v>2050904</v>
      </c>
      <c r="F856" s="25" t="s">
        <v>380</v>
      </c>
      <c r="G856" s="26">
        <v>417500</v>
      </c>
      <c r="H856" s="26">
        <v>417500</v>
      </c>
    </row>
    <row r="857" spans="1:8">
      <c r="A857" s="24">
        <v>255089</v>
      </c>
      <c r="B857" s="25" t="s">
        <v>72</v>
      </c>
      <c r="C857" s="39" t="str">
        <f t="shared" si="26"/>
        <v>208</v>
      </c>
      <c r="D857" s="39" t="str">
        <f t="shared" si="27"/>
        <v>20805</v>
      </c>
      <c r="E857" s="39">
        <f>IF(ISNA(VLOOKUP(F857,'2020功能科目'!A:B,2,FALSE)),"",VLOOKUP(F857,'2020功能科目'!A:B,2,FALSE))</f>
        <v>2080502</v>
      </c>
      <c r="F857" s="25" t="s">
        <v>381</v>
      </c>
      <c r="G857" s="26">
        <v>1049838</v>
      </c>
      <c r="H857" s="26">
        <v>813300</v>
      </c>
    </row>
    <row r="858" spans="1:8">
      <c r="A858" s="24">
        <v>255089</v>
      </c>
      <c r="B858" s="25" t="s">
        <v>72</v>
      </c>
      <c r="C858" s="39" t="str">
        <f t="shared" si="26"/>
        <v>208</v>
      </c>
      <c r="D858" s="39" t="str">
        <f t="shared" si="27"/>
        <v>20805</v>
      </c>
      <c r="E858" s="39">
        <f>IF(ISNA(VLOOKUP(F858,'2020功能科目'!A:B,2,FALSE)),"",VLOOKUP(F858,'2020功能科目'!A:B,2,FALSE))</f>
        <v>2080505</v>
      </c>
      <c r="F858" s="25" t="s">
        <v>382</v>
      </c>
      <c r="G858" s="26">
        <v>900388.8</v>
      </c>
      <c r="H858" s="26">
        <v>900388.8</v>
      </c>
    </row>
    <row r="859" spans="1:8">
      <c r="A859" s="24">
        <v>255089</v>
      </c>
      <c r="B859" s="25" t="s">
        <v>72</v>
      </c>
      <c r="C859" s="39" t="str">
        <f t="shared" si="26"/>
        <v>208</v>
      </c>
      <c r="D859" s="39" t="str">
        <f t="shared" si="27"/>
        <v>20805</v>
      </c>
      <c r="E859" s="39">
        <f>IF(ISNA(VLOOKUP(F859,'2020功能科目'!A:B,2,FALSE)),"",VLOOKUP(F859,'2020功能科目'!A:B,2,FALSE))</f>
        <v>2080506</v>
      </c>
      <c r="F859" s="25" t="s">
        <v>383</v>
      </c>
      <c r="G859" s="26">
        <v>450194.4</v>
      </c>
      <c r="H859" s="26">
        <v>450194.4</v>
      </c>
    </row>
    <row r="860" spans="1:8">
      <c r="A860" s="24">
        <v>255089</v>
      </c>
      <c r="B860" s="25" t="s">
        <v>72</v>
      </c>
      <c r="C860" s="39" t="str">
        <f t="shared" si="26"/>
        <v>208</v>
      </c>
      <c r="D860" s="39" t="str">
        <f t="shared" si="27"/>
        <v>20808</v>
      </c>
      <c r="E860" s="39">
        <f>IF(ISNA(VLOOKUP(F860,'2020功能科目'!A:B,2,FALSE)),"",VLOOKUP(F860,'2020功能科目'!A:B,2,FALSE))</f>
        <v>2080801</v>
      </c>
      <c r="F860" s="25" t="s">
        <v>384</v>
      </c>
      <c r="G860" s="26">
        <v>219958</v>
      </c>
      <c r="H860" s="26">
        <v>0</v>
      </c>
    </row>
    <row r="861" spans="1:8">
      <c r="A861" s="24">
        <v>255089</v>
      </c>
      <c r="B861" s="25" t="s">
        <v>72</v>
      </c>
      <c r="C861" s="39" t="str">
        <f t="shared" si="26"/>
        <v>210</v>
      </c>
      <c r="D861" s="39" t="str">
        <f t="shared" si="27"/>
        <v>21011</v>
      </c>
      <c r="E861" s="39">
        <f>IF(ISNA(VLOOKUP(F861,'2020功能科目'!A:B,2,FALSE)),"",VLOOKUP(F861,'2020功能科目'!A:B,2,FALSE))</f>
        <v>2101102</v>
      </c>
      <c r="F861" s="25" t="s">
        <v>385</v>
      </c>
      <c r="G861" s="26">
        <v>731565.9</v>
      </c>
      <c r="H861" s="26">
        <v>731565.9</v>
      </c>
    </row>
    <row r="862" spans="1:8">
      <c r="A862" s="24">
        <v>255089</v>
      </c>
      <c r="B862" s="25" t="s">
        <v>72</v>
      </c>
      <c r="C862" s="39" t="str">
        <f t="shared" si="26"/>
        <v>221</v>
      </c>
      <c r="D862" s="39" t="str">
        <f t="shared" si="27"/>
        <v>22102</v>
      </c>
      <c r="E862" s="39">
        <f>IF(ISNA(VLOOKUP(F862,'2020功能科目'!A:B,2,FALSE)),"",VLOOKUP(F862,'2020功能科目'!A:B,2,FALSE))</f>
        <v>2210201</v>
      </c>
      <c r="F862" s="25" t="s">
        <v>387</v>
      </c>
      <c r="G862" s="26">
        <v>872716</v>
      </c>
      <c r="H862" s="26">
        <v>891291.6</v>
      </c>
    </row>
    <row r="863" spans="1:8">
      <c r="A863" s="24">
        <v>255089</v>
      </c>
      <c r="B863" s="25" t="s">
        <v>72</v>
      </c>
      <c r="C863" s="39" t="str">
        <f t="shared" si="26"/>
        <v>221</v>
      </c>
      <c r="D863" s="39" t="str">
        <f t="shared" si="27"/>
        <v>22102</v>
      </c>
      <c r="E863" s="39">
        <f>IF(ISNA(VLOOKUP(F863,'2020功能科目'!A:B,2,FALSE)),"",VLOOKUP(F863,'2020功能科目'!A:B,2,FALSE))</f>
        <v>2210202</v>
      </c>
      <c r="F863" s="25" t="s">
        <v>388</v>
      </c>
      <c r="G863" s="26">
        <v>68440</v>
      </c>
      <c r="H863" s="26">
        <v>70800</v>
      </c>
    </row>
    <row r="864" spans="1:8">
      <c r="A864" s="24">
        <v>255089</v>
      </c>
      <c r="B864" s="25" t="s">
        <v>72</v>
      </c>
      <c r="C864" s="39" t="str">
        <f t="shared" si="26"/>
        <v>221</v>
      </c>
      <c r="D864" s="39" t="str">
        <f t="shared" si="27"/>
        <v>22102</v>
      </c>
      <c r="E864" s="39">
        <f>IF(ISNA(VLOOKUP(F864,'2020功能科目'!A:B,2,FALSE)),"",VLOOKUP(F864,'2020功能科目'!A:B,2,FALSE))</f>
        <v>2210203</v>
      </c>
      <c r="F864" s="25" t="s">
        <v>389</v>
      </c>
      <c r="G864" s="26">
        <v>909743</v>
      </c>
      <c r="H864" s="26">
        <v>942600</v>
      </c>
    </row>
    <row r="865" spans="1:8">
      <c r="A865" s="24">
        <v>255090</v>
      </c>
      <c r="B865" s="25" t="s">
        <v>73</v>
      </c>
      <c r="C865" s="39" t="str">
        <f t="shared" si="26"/>
        <v>205</v>
      </c>
      <c r="D865" s="39" t="str">
        <f t="shared" si="27"/>
        <v>20502</v>
      </c>
      <c r="E865" s="39">
        <f>IF(ISNA(VLOOKUP(F865,'2020功能科目'!A:B,2,FALSE)),"",VLOOKUP(F865,'2020功能科目'!A:B,2,FALSE))</f>
        <v>2050299</v>
      </c>
      <c r="F865" s="25" t="s">
        <v>377</v>
      </c>
      <c r="G865" s="26">
        <v>14706158.380000001</v>
      </c>
      <c r="H865" s="26">
        <v>14286798.07</v>
      </c>
    </row>
    <row r="866" spans="1:8">
      <c r="A866" s="24">
        <v>255090</v>
      </c>
      <c r="B866" s="25" t="s">
        <v>73</v>
      </c>
      <c r="C866" s="39" t="str">
        <f t="shared" si="26"/>
        <v>205</v>
      </c>
      <c r="D866" s="39" t="str">
        <f t="shared" si="27"/>
        <v>20508</v>
      </c>
      <c r="E866" s="39">
        <f>IF(ISNA(VLOOKUP(F866,'2020功能科目'!A:B,2,FALSE)),"",VLOOKUP(F866,'2020功能科目'!A:B,2,FALSE))</f>
        <v>2050803</v>
      </c>
      <c r="F866" s="25" t="s">
        <v>378</v>
      </c>
      <c r="G866" s="26">
        <v>0</v>
      </c>
      <c r="H866" s="26">
        <v>35200</v>
      </c>
    </row>
    <row r="867" spans="1:8">
      <c r="A867" s="24">
        <v>255090</v>
      </c>
      <c r="B867" s="25" t="s">
        <v>73</v>
      </c>
      <c r="C867" s="39" t="str">
        <f t="shared" si="26"/>
        <v>205</v>
      </c>
      <c r="D867" s="39" t="str">
        <f t="shared" si="27"/>
        <v>20509</v>
      </c>
      <c r="E867" s="39">
        <f>IF(ISNA(VLOOKUP(F867,'2020功能科目'!A:B,2,FALSE)),"",VLOOKUP(F867,'2020功能科目'!A:B,2,FALSE))</f>
        <v>2050999</v>
      </c>
      <c r="F867" s="25" t="s">
        <v>394</v>
      </c>
      <c r="G867" s="26">
        <v>163160</v>
      </c>
      <c r="H867" s="26">
        <v>217160</v>
      </c>
    </row>
    <row r="868" spans="1:8">
      <c r="A868" s="24">
        <v>255090</v>
      </c>
      <c r="B868" s="25" t="s">
        <v>73</v>
      </c>
      <c r="C868" s="39" t="str">
        <f t="shared" si="26"/>
        <v>208</v>
      </c>
      <c r="D868" s="39" t="str">
        <f t="shared" si="27"/>
        <v>20805</v>
      </c>
      <c r="E868" s="39">
        <f>IF(ISNA(VLOOKUP(F868,'2020功能科目'!A:B,2,FALSE)),"",VLOOKUP(F868,'2020功能科目'!A:B,2,FALSE))</f>
        <v>2080502</v>
      </c>
      <c r="F868" s="25" t="s">
        <v>381</v>
      </c>
      <c r="G868" s="26">
        <v>1267466.5</v>
      </c>
      <c r="H868" s="26">
        <v>1086952.5</v>
      </c>
    </row>
    <row r="869" spans="1:8">
      <c r="A869" s="24">
        <v>255090</v>
      </c>
      <c r="B869" s="25" t="s">
        <v>73</v>
      </c>
      <c r="C869" s="39" t="str">
        <f t="shared" si="26"/>
        <v>208</v>
      </c>
      <c r="D869" s="39" t="str">
        <f t="shared" si="27"/>
        <v>20805</v>
      </c>
      <c r="E869" s="39">
        <f>IF(ISNA(VLOOKUP(F869,'2020功能科目'!A:B,2,FALSE)),"",VLOOKUP(F869,'2020功能科目'!A:B,2,FALSE))</f>
        <v>2080505</v>
      </c>
      <c r="F869" s="25" t="s">
        <v>382</v>
      </c>
      <c r="G869" s="26">
        <v>861307.36</v>
      </c>
      <c r="H869" s="26">
        <v>1457397.44</v>
      </c>
    </row>
    <row r="870" spans="1:8">
      <c r="A870" s="24">
        <v>255090</v>
      </c>
      <c r="B870" s="25" t="s">
        <v>73</v>
      </c>
      <c r="C870" s="39" t="str">
        <f t="shared" si="26"/>
        <v>208</v>
      </c>
      <c r="D870" s="39" t="str">
        <f t="shared" si="27"/>
        <v>20805</v>
      </c>
      <c r="E870" s="39">
        <f>IF(ISNA(VLOOKUP(F870,'2020功能科目'!A:B,2,FALSE)),"",VLOOKUP(F870,'2020功能科目'!A:B,2,FALSE))</f>
        <v>2080506</v>
      </c>
      <c r="F870" s="25" t="s">
        <v>383</v>
      </c>
      <c r="G870" s="26">
        <v>430653.68</v>
      </c>
      <c r="H870" s="26">
        <v>728698.72</v>
      </c>
    </row>
    <row r="871" spans="1:8">
      <c r="A871" s="24">
        <v>255090</v>
      </c>
      <c r="B871" s="25" t="s">
        <v>73</v>
      </c>
      <c r="C871" s="39" t="str">
        <f t="shared" si="26"/>
        <v>210</v>
      </c>
      <c r="D871" s="39" t="str">
        <f t="shared" si="27"/>
        <v>21011</v>
      </c>
      <c r="E871" s="39">
        <f>IF(ISNA(VLOOKUP(F871,'2020功能科目'!A:B,2,FALSE)),"",VLOOKUP(F871,'2020功能科目'!A:B,2,FALSE))</f>
        <v>2101102</v>
      </c>
      <c r="F871" s="25" t="s">
        <v>385</v>
      </c>
      <c r="G871" s="26">
        <v>721421.13</v>
      </c>
      <c r="H871" s="26">
        <v>1184135.42</v>
      </c>
    </row>
    <row r="872" spans="1:8">
      <c r="A872" s="24">
        <v>255090</v>
      </c>
      <c r="B872" s="25" t="s">
        <v>73</v>
      </c>
      <c r="C872" s="39" t="str">
        <f t="shared" si="26"/>
        <v>210</v>
      </c>
      <c r="D872" s="39" t="str">
        <f t="shared" si="27"/>
        <v>21011</v>
      </c>
      <c r="E872" s="39">
        <f>IF(ISNA(VLOOKUP(F872,'2020功能科目'!A:B,2,FALSE)),"",VLOOKUP(F872,'2020功能科目'!A:B,2,FALSE))</f>
        <v>2101199</v>
      </c>
      <c r="F872" s="25" t="s">
        <v>386</v>
      </c>
      <c r="G872" s="26">
        <v>180000</v>
      </c>
      <c r="H872" s="26">
        <v>180000</v>
      </c>
    </row>
    <row r="873" spans="1:8">
      <c r="A873" s="24">
        <v>255090</v>
      </c>
      <c r="B873" s="25" t="s">
        <v>73</v>
      </c>
      <c r="C873" s="39" t="str">
        <f t="shared" si="26"/>
        <v>221</v>
      </c>
      <c r="D873" s="39" t="str">
        <f t="shared" si="27"/>
        <v>22102</v>
      </c>
      <c r="E873" s="39">
        <f>IF(ISNA(VLOOKUP(F873,'2020功能科目'!A:B,2,FALSE)),"",VLOOKUP(F873,'2020功能科目'!A:B,2,FALSE))</f>
        <v>2210201</v>
      </c>
      <c r="F873" s="25" t="s">
        <v>387</v>
      </c>
      <c r="G873" s="26">
        <v>1120076</v>
      </c>
      <c r="H873" s="26">
        <v>1357048.08</v>
      </c>
    </row>
    <row r="874" spans="1:8">
      <c r="A874" s="24">
        <v>255090</v>
      </c>
      <c r="B874" s="25" t="s">
        <v>73</v>
      </c>
      <c r="C874" s="39" t="str">
        <f t="shared" si="26"/>
        <v>221</v>
      </c>
      <c r="D874" s="39" t="str">
        <f t="shared" si="27"/>
        <v>22102</v>
      </c>
      <c r="E874" s="39">
        <f>IF(ISNA(VLOOKUP(F874,'2020功能科目'!A:B,2,FALSE)),"",VLOOKUP(F874,'2020功能科目'!A:B,2,FALSE))</f>
        <v>2210202</v>
      </c>
      <c r="F874" s="25" t="s">
        <v>388</v>
      </c>
      <c r="G874" s="26">
        <v>103360</v>
      </c>
      <c r="H874" s="26">
        <v>107760</v>
      </c>
    </row>
    <row r="875" spans="1:8">
      <c r="A875" s="24">
        <v>255090</v>
      </c>
      <c r="B875" s="25" t="s">
        <v>73</v>
      </c>
      <c r="C875" s="39" t="str">
        <f t="shared" si="26"/>
        <v>221</v>
      </c>
      <c r="D875" s="39" t="str">
        <f t="shared" si="27"/>
        <v>22102</v>
      </c>
      <c r="E875" s="39">
        <f>IF(ISNA(VLOOKUP(F875,'2020功能科目'!A:B,2,FALSE)),"",VLOOKUP(F875,'2020功能科目'!A:B,2,FALSE))</f>
        <v>2210203</v>
      </c>
      <c r="F875" s="25" t="s">
        <v>389</v>
      </c>
      <c r="G875" s="26">
        <v>902892</v>
      </c>
      <c r="H875" s="26">
        <v>981192</v>
      </c>
    </row>
    <row r="876" spans="1:8">
      <c r="A876" s="24">
        <v>255091</v>
      </c>
      <c r="B876" s="25" t="s">
        <v>74</v>
      </c>
      <c r="C876" s="39" t="str">
        <f t="shared" si="26"/>
        <v>205</v>
      </c>
      <c r="D876" s="39" t="str">
        <f t="shared" si="27"/>
        <v>20502</v>
      </c>
      <c r="E876" s="39">
        <f>IF(ISNA(VLOOKUP(F876,'2020功能科目'!A:B,2,FALSE)),"",VLOOKUP(F876,'2020功能科目'!A:B,2,FALSE))</f>
        <v>2050299</v>
      </c>
      <c r="F876" s="25" t="s">
        <v>377</v>
      </c>
      <c r="G876" s="26">
        <v>11913376.560000001</v>
      </c>
      <c r="H876" s="26">
        <v>11140745.189999999</v>
      </c>
    </row>
    <row r="877" spans="1:8">
      <c r="A877" s="24">
        <v>255091</v>
      </c>
      <c r="B877" s="25" t="s">
        <v>74</v>
      </c>
      <c r="C877" s="39" t="str">
        <f t="shared" si="26"/>
        <v>205</v>
      </c>
      <c r="D877" s="39" t="str">
        <f t="shared" si="27"/>
        <v>20508</v>
      </c>
      <c r="E877" s="39">
        <f>IF(ISNA(VLOOKUP(F877,'2020功能科目'!A:B,2,FALSE)),"",VLOOKUP(F877,'2020功能科目'!A:B,2,FALSE))</f>
        <v>2050803</v>
      </c>
      <c r="F877" s="25" t="s">
        <v>378</v>
      </c>
      <c r="G877" s="26">
        <v>12000</v>
      </c>
      <c r="H877" s="26">
        <v>24000</v>
      </c>
    </row>
    <row r="878" spans="1:8">
      <c r="A878" s="24">
        <v>255091</v>
      </c>
      <c r="B878" s="25" t="s">
        <v>74</v>
      </c>
      <c r="C878" s="39" t="str">
        <f t="shared" si="26"/>
        <v>205</v>
      </c>
      <c r="D878" s="39" t="str">
        <f t="shared" si="27"/>
        <v>20509</v>
      </c>
      <c r="E878" s="39">
        <f>IF(ISNA(VLOOKUP(F878,'2020功能科目'!A:B,2,FALSE)),"",VLOOKUP(F878,'2020功能科目'!A:B,2,FALSE))</f>
        <v>2050999</v>
      </c>
      <c r="F878" s="25" t="s">
        <v>394</v>
      </c>
      <c r="G878" s="26">
        <v>1306400</v>
      </c>
      <c r="H878" s="26">
        <v>1306400</v>
      </c>
    </row>
    <row r="879" spans="1:8">
      <c r="A879" s="24">
        <v>255091</v>
      </c>
      <c r="B879" s="25" t="s">
        <v>74</v>
      </c>
      <c r="C879" s="39" t="str">
        <f t="shared" si="26"/>
        <v>206</v>
      </c>
      <c r="D879" s="39" t="str">
        <f t="shared" si="27"/>
        <v>20607</v>
      </c>
      <c r="E879" s="39">
        <f>IF(ISNA(VLOOKUP(F879,'2020功能科目'!A:B,2,FALSE)),"",VLOOKUP(F879,'2020功能科目'!A:B,2,FALSE))</f>
        <v>2060702</v>
      </c>
      <c r="F879" s="25" t="s">
        <v>398</v>
      </c>
      <c r="G879" s="26">
        <v>220239.4</v>
      </c>
      <c r="H879" s="26">
        <v>0</v>
      </c>
    </row>
    <row r="880" spans="1:8">
      <c r="A880" s="24">
        <v>255091</v>
      </c>
      <c r="B880" s="25" t="s">
        <v>74</v>
      </c>
      <c r="C880" s="39" t="str">
        <f t="shared" si="26"/>
        <v>208</v>
      </c>
      <c r="D880" s="39" t="str">
        <f t="shared" si="27"/>
        <v>20805</v>
      </c>
      <c r="E880" s="39">
        <f>IF(ISNA(VLOOKUP(F880,'2020功能科目'!A:B,2,FALSE)),"",VLOOKUP(F880,'2020功能科目'!A:B,2,FALSE))</f>
        <v>2080502</v>
      </c>
      <c r="F880" s="25" t="s">
        <v>381</v>
      </c>
      <c r="G880" s="26">
        <v>522391.4</v>
      </c>
      <c r="H880" s="26">
        <v>507065.4</v>
      </c>
    </row>
    <row r="881" spans="1:8">
      <c r="A881" s="24">
        <v>255091</v>
      </c>
      <c r="B881" s="25" t="s">
        <v>74</v>
      </c>
      <c r="C881" s="39" t="str">
        <f t="shared" si="26"/>
        <v>208</v>
      </c>
      <c r="D881" s="39" t="str">
        <f t="shared" si="27"/>
        <v>20805</v>
      </c>
      <c r="E881" s="39">
        <f>IF(ISNA(VLOOKUP(F881,'2020功能科目'!A:B,2,FALSE)),"",VLOOKUP(F881,'2020功能科目'!A:B,2,FALSE))</f>
        <v>2080505</v>
      </c>
      <c r="F881" s="25" t="s">
        <v>382</v>
      </c>
      <c r="G881" s="26">
        <v>674452.8</v>
      </c>
      <c r="H881" s="26">
        <v>757491.52</v>
      </c>
    </row>
    <row r="882" spans="1:8">
      <c r="A882" s="24">
        <v>255091</v>
      </c>
      <c r="B882" s="25" t="s">
        <v>74</v>
      </c>
      <c r="C882" s="39" t="str">
        <f t="shared" si="26"/>
        <v>208</v>
      </c>
      <c r="D882" s="39" t="str">
        <f t="shared" si="27"/>
        <v>20805</v>
      </c>
      <c r="E882" s="39">
        <f>IF(ISNA(VLOOKUP(F882,'2020功能科目'!A:B,2,FALSE)),"",VLOOKUP(F882,'2020功能科目'!A:B,2,FALSE))</f>
        <v>2080506</v>
      </c>
      <c r="F882" s="25" t="s">
        <v>383</v>
      </c>
      <c r="G882" s="26">
        <v>337226.4</v>
      </c>
      <c r="H882" s="26">
        <v>378745.76</v>
      </c>
    </row>
    <row r="883" spans="1:8">
      <c r="A883" s="24">
        <v>255091</v>
      </c>
      <c r="B883" s="25" t="s">
        <v>74</v>
      </c>
      <c r="C883" s="39" t="str">
        <f t="shared" si="26"/>
        <v>210</v>
      </c>
      <c r="D883" s="39" t="str">
        <f t="shared" si="27"/>
        <v>21011</v>
      </c>
      <c r="E883" s="39">
        <f>IF(ISNA(VLOOKUP(F883,'2020功能科目'!A:B,2,FALSE)),"",VLOOKUP(F883,'2020功能科目'!A:B,2,FALSE))</f>
        <v>2101102</v>
      </c>
      <c r="F883" s="25" t="s">
        <v>385</v>
      </c>
      <c r="G883" s="26">
        <v>624718.51</v>
      </c>
      <c r="H883" s="26">
        <v>615461.86</v>
      </c>
    </row>
    <row r="884" spans="1:8">
      <c r="A884" s="24">
        <v>255091</v>
      </c>
      <c r="B884" s="25" t="s">
        <v>74</v>
      </c>
      <c r="C884" s="39" t="str">
        <f t="shared" si="26"/>
        <v>210</v>
      </c>
      <c r="D884" s="39" t="str">
        <f t="shared" si="27"/>
        <v>21011</v>
      </c>
      <c r="E884" s="39">
        <f>IF(ISNA(VLOOKUP(F884,'2020功能科目'!A:B,2,FALSE)),"",VLOOKUP(F884,'2020功能科目'!A:B,2,FALSE))</f>
        <v>2101199</v>
      </c>
      <c r="F884" s="25" t="s">
        <v>386</v>
      </c>
      <c r="G884" s="26">
        <v>90000</v>
      </c>
      <c r="H884" s="26">
        <v>90000</v>
      </c>
    </row>
    <row r="885" spans="1:8">
      <c r="A885" s="24">
        <v>255091</v>
      </c>
      <c r="B885" s="25" t="s">
        <v>74</v>
      </c>
      <c r="C885" s="39" t="str">
        <f t="shared" si="26"/>
        <v>221</v>
      </c>
      <c r="D885" s="39" t="str">
        <f t="shared" si="27"/>
        <v>22102</v>
      </c>
      <c r="E885" s="39">
        <f>IF(ISNA(VLOOKUP(F885,'2020功能科目'!A:B,2,FALSE)),"",VLOOKUP(F885,'2020功能科目'!A:B,2,FALSE))</f>
        <v>2210201</v>
      </c>
      <c r="F885" s="25" t="s">
        <v>387</v>
      </c>
      <c r="G885" s="26">
        <v>753392</v>
      </c>
      <c r="H885" s="26">
        <v>748118.64</v>
      </c>
    </row>
    <row r="886" spans="1:8">
      <c r="A886" s="24">
        <v>255091</v>
      </c>
      <c r="B886" s="25" t="s">
        <v>74</v>
      </c>
      <c r="C886" s="39" t="str">
        <f t="shared" si="26"/>
        <v>221</v>
      </c>
      <c r="D886" s="39" t="str">
        <f t="shared" si="27"/>
        <v>22102</v>
      </c>
      <c r="E886" s="39">
        <f>IF(ISNA(VLOOKUP(F886,'2020功能科目'!A:B,2,FALSE)),"",VLOOKUP(F886,'2020功能科目'!A:B,2,FALSE))</f>
        <v>2210202</v>
      </c>
      <c r="F886" s="25" t="s">
        <v>388</v>
      </c>
      <c r="G886" s="26">
        <v>57640</v>
      </c>
      <c r="H886" s="26">
        <v>57480</v>
      </c>
    </row>
    <row r="887" spans="1:8">
      <c r="A887" s="24">
        <v>255091</v>
      </c>
      <c r="B887" s="25" t="s">
        <v>74</v>
      </c>
      <c r="C887" s="39" t="str">
        <f t="shared" si="26"/>
        <v>221</v>
      </c>
      <c r="D887" s="39" t="str">
        <f t="shared" si="27"/>
        <v>22102</v>
      </c>
      <c r="E887" s="39">
        <f>IF(ISNA(VLOOKUP(F887,'2020功能科目'!A:B,2,FALSE)),"",VLOOKUP(F887,'2020功能科目'!A:B,2,FALSE))</f>
        <v>2210203</v>
      </c>
      <c r="F887" s="25" t="s">
        <v>389</v>
      </c>
      <c r="G887" s="26">
        <v>709690</v>
      </c>
      <c r="H887" s="26">
        <v>696000</v>
      </c>
    </row>
    <row r="888" spans="1:8">
      <c r="A888" s="24">
        <v>255092</v>
      </c>
      <c r="B888" s="25" t="s">
        <v>75</v>
      </c>
      <c r="C888" s="39" t="str">
        <f t="shared" si="26"/>
        <v>205</v>
      </c>
      <c r="D888" s="39" t="str">
        <f t="shared" si="27"/>
        <v>20502</v>
      </c>
      <c r="E888" s="39">
        <f>IF(ISNA(VLOOKUP(F888,'2020功能科目'!A:B,2,FALSE)),"",VLOOKUP(F888,'2020功能科目'!A:B,2,FALSE))</f>
        <v>2050299</v>
      </c>
      <c r="F888" s="25" t="s">
        <v>377</v>
      </c>
      <c r="G888" s="26">
        <v>5912932.9000000004</v>
      </c>
      <c r="H888" s="26">
        <v>5557694.4699999997</v>
      </c>
    </row>
    <row r="889" spans="1:8">
      <c r="A889" s="24">
        <v>255092</v>
      </c>
      <c r="B889" s="25" t="s">
        <v>75</v>
      </c>
      <c r="C889" s="39" t="str">
        <f t="shared" si="26"/>
        <v>205</v>
      </c>
      <c r="D889" s="39" t="str">
        <f t="shared" si="27"/>
        <v>20508</v>
      </c>
      <c r="E889" s="39">
        <f>IF(ISNA(VLOOKUP(F889,'2020功能科目'!A:B,2,FALSE)),"",VLOOKUP(F889,'2020功能科目'!A:B,2,FALSE))</f>
        <v>2050803</v>
      </c>
      <c r="F889" s="25" t="s">
        <v>378</v>
      </c>
      <c r="G889" s="26">
        <v>7200</v>
      </c>
      <c r="H889" s="26">
        <v>14400</v>
      </c>
    </row>
    <row r="890" spans="1:8">
      <c r="A890" s="24">
        <v>255092</v>
      </c>
      <c r="B890" s="25" t="s">
        <v>75</v>
      </c>
      <c r="C890" s="39" t="str">
        <f t="shared" si="26"/>
        <v>205</v>
      </c>
      <c r="D890" s="39" t="str">
        <f t="shared" si="27"/>
        <v>20509</v>
      </c>
      <c r="E890" s="39">
        <f>IF(ISNA(VLOOKUP(F890,'2020功能科目'!A:B,2,FALSE)),"",VLOOKUP(F890,'2020功能科目'!A:B,2,FALSE))</f>
        <v>2050999</v>
      </c>
      <c r="F890" s="25" t="s">
        <v>394</v>
      </c>
      <c r="G890" s="26">
        <v>160000</v>
      </c>
      <c r="H890" s="26">
        <v>160000</v>
      </c>
    </row>
    <row r="891" spans="1:8">
      <c r="A891" s="24">
        <v>255092</v>
      </c>
      <c r="B891" s="25" t="s">
        <v>75</v>
      </c>
      <c r="C891" s="39" t="str">
        <f t="shared" si="26"/>
        <v>208</v>
      </c>
      <c r="D891" s="39" t="str">
        <f t="shared" si="27"/>
        <v>20805</v>
      </c>
      <c r="E891" s="39">
        <f>IF(ISNA(VLOOKUP(F891,'2020功能科目'!A:B,2,FALSE)),"",VLOOKUP(F891,'2020功能科目'!A:B,2,FALSE))</f>
        <v>2080502</v>
      </c>
      <c r="F891" s="25" t="s">
        <v>381</v>
      </c>
      <c r="G891" s="26">
        <v>147015.45000000001</v>
      </c>
      <c r="H891" s="26">
        <v>140060</v>
      </c>
    </row>
    <row r="892" spans="1:8">
      <c r="A892" s="24">
        <v>255092</v>
      </c>
      <c r="B892" s="25" t="s">
        <v>75</v>
      </c>
      <c r="C892" s="39" t="str">
        <f t="shared" si="26"/>
        <v>208</v>
      </c>
      <c r="D892" s="39" t="str">
        <f t="shared" si="27"/>
        <v>20805</v>
      </c>
      <c r="E892" s="39">
        <f>IF(ISNA(VLOOKUP(F892,'2020功能科目'!A:B,2,FALSE)),"",VLOOKUP(F892,'2020功能科目'!A:B,2,FALSE))</f>
        <v>2080505</v>
      </c>
      <c r="F892" s="25" t="s">
        <v>382</v>
      </c>
      <c r="G892" s="26">
        <v>391617.92</v>
      </c>
      <c r="H892" s="26">
        <v>436213.44</v>
      </c>
    </row>
    <row r="893" spans="1:8">
      <c r="A893" s="24">
        <v>255092</v>
      </c>
      <c r="B893" s="25" t="s">
        <v>75</v>
      </c>
      <c r="C893" s="39" t="str">
        <f t="shared" si="26"/>
        <v>208</v>
      </c>
      <c r="D893" s="39" t="str">
        <f t="shared" si="27"/>
        <v>20805</v>
      </c>
      <c r="E893" s="39">
        <f>IF(ISNA(VLOOKUP(F893,'2020功能科目'!A:B,2,FALSE)),"",VLOOKUP(F893,'2020功能科目'!A:B,2,FALSE))</f>
        <v>2080506</v>
      </c>
      <c r="F893" s="25" t="s">
        <v>383</v>
      </c>
      <c r="G893" s="26">
        <v>195620.44</v>
      </c>
      <c r="H893" s="26">
        <v>218106.72</v>
      </c>
    </row>
    <row r="894" spans="1:8">
      <c r="A894" s="24">
        <v>255092</v>
      </c>
      <c r="B894" s="25" t="s">
        <v>75</v>
      </c>
      <c r="C894" s="39" t="str">
        <f t="shared" si="26"/>
        <v>210</v>
      </c>
      <c r="D894" s="39" t="str">
        <f t="shared" si="27"/>
        <v>21011</v>
      </c>
      <c r="E894" s="39">
        <f>IF(ISNA(VLOOKUP(F894,'2020功能科目'!A:B,2,FALSE)),"",VLOOKUP(F894,'2020功能科目'!A:B,2,FALSE))</f>
        <v>2101102</v>
      </c>
      <c r="F894" s="25" t="s">
        <v>385</v>
      </c>
      <c r="G894" s="26">
        <v>385781.8</v>
      </c>
      <c r="H894" s="26">
        <v>354423.42</v>
      </c>
    </row>
    <row r="895" spans="1:8">
      <c r="A895" s="24">
        <v>255092</v>
      </c>
      <c r="B895" s="25" t="s">
        <v>75</v>
      </c>
      <c r="C895" s="39" t="str">
        <f t="shared" si="26"/>
        <v>221</v>
      </c>
      <c r="D895" s="39" t="str">
        <f t="shared" si="27"/>
        <v>22102</v>
      </c>
      <c r="E895" s="39">
        <f>IF(ISNA(VLOOKUP(F895,'2020功能科目'!A:B,2,FALSE)),"",VLOOKUP(F895,'2020功能科目'!A:B,2,FALSE))</f>
        <v>2210201</v>
      </c>
      <c r="F895" s="25" t="s">
        <v>387</v>
      </c>
      <c r="G895" s="26">
        <v>411626</v>
      </c>
      <c r="H895" s="26">
        <v>435160.08</v>
      </c>
    </row>
    <row r="896" spans="1:8">
      <c r="A896" s="24">
        <v>255092</v>
      </c>
      <c r="B896" s="25" t="s">
        <v>75</v>
      </c>
      <c r="C896" s="39" t="str">
        <f t="shared" si="26"/>
        <v>221</v>
      </c>
      <c r="D896" s="39" t="str">
        <f t="shared" si="27"/>
        <v>22102</v>
      </c>
      <c r="E896" s="39">
        <f>IF(ISNA(VLOOKUP(F896,'2020功能科目'!A:B,2,FALSE)),"",VLOOKUP(F896,'2020功能科目'!A:B,2,FALSE))</f>
        <v>2210202</v>
      </c>
      <c r="F896" s="25" t="s">
        <v>388</v>
      </c>
      <c r="G896" s="26">
        <v>27240</v>
      </c>
      <c r="H896" s="26">
        <v>29760</v>
      </c>
    </row>
    <row r="897" spans="1:8">
      <c r="A897" s="24">
        <v>255092</v>
      </c>
      <c r="B897" s="25" t="s">
        <v>75</v>
      </c>
      <c r="C897" s="39" t="str">
        <f t="shared" si="26"/>
        <v>221</v>
      </c>
      <c r="D897" s="39" t="str">
        <f t="shared" si="27"/>
        <v>22102</v>
      </c>
      <c r="E897" s="39">
        <f>IF(ISNA(VLOOKUP(F897,'2020功能科目'!A:B,2,FALSE)),"",VLOOKUP(F897,'2020功能科目'!A:B,2,FALSE))</f>
        <v>2210203</v>
      </c>
      <c r="F897" s="25" t="s">
        <v>389</v>
      </c>
      <c r="G897" s="26">
        <v>442944</v>
      </c>
      <c r="H897" s="26">
        <v>424476</v>
      </c>
    </row>
    <row r="898" spans="1:8">
      <c r="A898" s="24">
        <v>255093</v>
      </c>
      <c r="B898" s="25" t="s">
        <v>76</v>
      </c>
      <c r="C898" s="39" t="str">
        <f t="shared" si="26"/>
        <v>205</v>
      </c>
      <c r="D898" s="39" t="str">
        <f t="shared" si="27"/>
        <v>20502</v>
      </c>
      <c r="E898" s="39">
        <f>IF(ISNA(VLOOKUP(F898,'2020功能科目'!A:B,2,FALSE)),"",VLOOKUP(F898,'2020功能科目'!A:B,2,FALSE))</f>
        <v>2050299</v>
      </c>
      <c r="F898" s="25" t="s">
        <v>377</v>
      </c>
      <c r="G898" s="26">
        <v>7766128.5999999996</v>
      </c>
      <c r="H898" s="26">
        <v>8122065.2800000003</v>
      </c>
    </row>
    <row r="899" spans="1:8">
      <c r="A899" s="24">
        <v>255093</v>
      </c>
      <c r="B899" s="25" t="s">
        <v>76</v>
      </c>
      <c r="C899" s="39" t="str">
        <f t="shared" ref="C899:C962" si="28">LEFT(D899,3)</f>
        <v>205</v>
      </c>
      <c r="D899" s="39" t="str">
        <f t="shared" ref="D899:D962" si="29">LEFT(E899,5)</f>
        <v>20508</v>
      </c>
      <c r="E899" s="39">
        <f>IF(ISNA(VLOOKUP(F899,'2020功能科目'!A:B,2,FALSE)),"",VLOOKUP(F899,'2020功能科目'!A:B,2,FALSE))</f>
        <v>2050803</v>
      </c>
      <c r="F899" s="25" t="s">
        <v>378</v>
      </c>
      <c r="G899" s="26">
        <v>7349</v>
      </c>
      <c r="H899" s="26">
        <v>20000</v>
      </c>
    </row>
    <row r="900" spans="1:8">
      <c r="A900" s="24">
        <v>255093</v>
      </c>
      <c r="B900" s="25" t="s">
        <v>76</v>
      </c>
      <c r="C900" s="39" t="str">
        <f t="shared" si="28"/>
        <v>205</v>
      </c>
      <c r="D900" s="39" t="str">
        <f t="shared" si="29"/>
        <v>20509</v>
      </c>
      <c r="E900" s="39">
        <f>IF(ISNA(VLOOKUP(F900,'2020功能科目'!A:B,2,FALSE)),"",VLOOKUP(F900,'2020功能科目'!A:B,2,FALSE))</f>
        <v>2050999</v>
      </c>
      <c r="F900" s="25" t="s">
        <v>394</v>
      </c>
      <c r="G900" s="26">
        <v>350000</v>
      </c>
      <c r="H900" s="26">
        <v>464200</v>
      </c>
    </row>
    <row r="901" spans="1:8">
      <c r="A901" s="24">
        <v>255093</v>
      </c>
      <c r="B901" s="25" t="s">
        <v>76</v>
      </c>
      <c r="C901" s="39" t="str">
        <f t="shared" si="28"/>
        <v>208</v>
      </c>
      <c r="D901" s="39" t="str">
        <f t="shared" si="29"/>
        <v>20805</v>
      </c>
      <c r="E901" s="39">
        <f>IF(ISNA(VLOOKUP(F901,'2020功能科目'!A:B,2,FALSE)),"",VLOOKUP(F901,'2020功能科目'!A:B,2,FALSE))</f>
        <v>2080502</v>
      </c>
      <c r="F901" s="25" t="s">
        <v>381</v>
      </c>
      <c r="G901" s="26">
        <v>196058.22</v>
      </c>
      <c r="H901" s="26">
        <v>206644</v>
      </c>
    </row>
    <row r="902" spans="1:8">
      <c r="A902" s="24">
        <v>255093</v>
      </c>
      <c r="B902" s="25" t="s">
        <v>76</v>
      </c>
      <c r="C902" s="39" t="str">
        <f t="shared" si="28"/>
        <v>208</v>
      </c>
      <c r="D902" s="39" t="str">
        <f t="shared" si="29"/>
        <v>20805</v>
      </c>
      <c r="E902" s="39">
        <f>IF(ISNA(VLOOKUP(F902,'2020功能科目'!A:B,2,FALSE)),"",VLOOKUP(F902,'2020功能科目'!A:B,2,FALSE))</f>
        <v>2080505</v>
      </c>
      <c r="F902" s="25" t="s">
        <v>382</v>
      </c>
      <c r="G902" s="26">
        <v>513332.47999999998</v>
      </c>
      <c r="H902" s="26">
        <v>555225.59999999998</v>
      </c>
    </row>
    <row r="903" spans="1:8">
      <c r="A903" s="24">
        <v>255093</v>
      </c>
      <c r="B903" s="25" t="s">
        <v>76</v>
      </c>
      <c r="C903" s="39" t="str">
        <f t="shared" si="28"/>
        <v>208</v>
      </c>
      <c r="D903" s="39" t="str">
        <f t="shared" si="29"/>
        <v>20805</v>
      </c>
      <c r="E903" s="39">
        <f>IF(ISNA(VLOOKUP(F903,'2020功能科目'!A:B,2,FALSE)),"",VLOOKUP(F903,'2020功能科目'!A:B,2,FALSE))</f>
        <v>2080506</v>
      </c>
      <c r="F903" s="25" t="s">
        <v>383</v>
      </c>
      <c r="G903" s="26">
        <v>256666.23999999999</v>
      </c>
      <c r="H903" s="26">
        <v>277612.79999999999</v>
      </c>
    </row>
    <row r="904" spans="1:8">
      <c r="A904" s="24">
        <v>255093</v>
      </c>
      <c r="B904" s="25" t="s">
        <v>76</v>
      </c>
      <c r="C904" s="39" t="str">
        <f t="shared" si="28"/>
        <v>210</v>
      </c>
      <c r="D904" s="39" t="str">
        <f t="shared" si="29"/>
        <v>21011</v>
      </c>
      <c r="E904" s="39">
        <f>IF(ISNA(VLOOKUP(F904,'2020功能科目'!A:B,2,FALSE)),"",VLOOKUP(F904,'2020功能科目'!A:B,2,FALSE))</f>
        <v>2101102</v>
      </c>
      <c r="F904" s="25" t="s">
        <v>385</v>
      </c>
      <c r="G904" s="26">
        <v>531294.86</v>
      </c>
      <c r="H904" s="26">
        <v>451120.8</v>
      </c>
    </row>
    <row r="905" spans="1:8">
      <c r="A905" s="24">
        <v>255093</v>
      </c>
      <c r="B905" s="25" t="s">
        <v>76</v>
      </c>
      <c r="C905" s="39" t="str">
        <f t="shared" si="28"/>
        <v>221</v>
      </c>
      <c r="D905" s="39" t="str">
        <f t="shared" si="29"/>
        <v>22102</v>
      </c>
      <c r="E905" s="39">
        <f>IF(ISNA(VLOOKUP(F905,'2020功能科目'!A:B,2,FALSE)),"",VLOOKUP(F905,'2020功能科目'!A:B,2,FALSE))</f>
        <v>2210201</v>
      </c>
      <c r="F905" s="25" t="s">
        <v>387</v>
      </c>
      <c r="G905" s="26">
        <v>613024</v>
      </c>
      <c r="H905" s="26">
        <v>566419.19999999995</v>
      </c>
    </row>
    <row r="906" spans="1:8">
      <c r="A906" s="24">
        <v>255093</v>
      </c>
      <c r="B906" s="25" t="s">
        <v>76</v>
      </c>
      <c r="C906" s="39" t="str">
        <f t="shared" si="28"/>
        <v>221</v>
      </c>
      <c r="D906" s="39" t="str">
        <f t="shared" si="29"/>
        <v>22102</v>
      </c>
      <c r="E906" s="39">
        <f>IF(ISNA(VLOOKUP(F906,'2020功能科目'!A:B,2,FALSE)),"",VLOOKUP(F906,'2020功能科目'!A:B,2,FALSE))</f>
        <v>2210202</v>
      </c>
      <c r="F906" s="25" t="s">
        <v>388</v>
      </c>
      <c r="G906" s="26">
        <v>41040</v>
      </c>
      <c r="H906" s="26">
        <v>41040</v>
      </c>
    </row>
    <row r="907" spans="1:8">
      <c r="A907" s="24">
        <v>255093</v>
      </c>
      <c r="B907" s="25" t="s">
        <v>76</v>
      </c>
      <c r="C907" s="39" t="str">
        <f t="shared" si="28"/>
        <v>221</v>
      </c>
      <c r="D907" s="39" t="str">
        <f t="shared" si="29"/>
        <v>22102</v>
      </c>
      <c r="E907" s="39">
        <f>IF(ISNA(VLOOKUP(F907,'2020功能科目'!A:B,2,FALSE)),"",VLOOKUP(F907,'2020功能科目'!A:B,2,FALSE))</f>
        <v>2210203</v>
      </c>
      <c r="F907" s="25" t="s">
        <v>389</v>
      </c>
      <c r="G907" s="26">
        <v>591828</v>
      </c>
      <c r="H907" s="26">
        <v>571428</v>
      </c>
    </row>
    <row r="908" spans="1:8">
      <c r="A908" s="24">
        <v>255094</v>
      </c>
      <c r="B908" s="25" t="s">
        <v>77</v>
      </c>
      <c r="C908" s="39" t="str">
        <f t="shared" si="28"/>
        <v>205</v>
      </c>
      <c r="D908" s="39" t="str">
        <f t="shared" si="29"/>
        <v>20502</v>
      </c>
      <c r="E908" s="39">
        <f>IF(ISNA(VLOOKUP(F908,'2020功能科目'!A:B,2,FALSE)),"",VLOOKUP(F908,'2020功能科目'!A:B,2,FALSE))</f>
        <v>2050299</v>
      </c>
      <c r="F908" s="25" t="s">
        <v>377</v>
      </c>
      <c r="G908" s="26">
        <v>6500155.5</v>
      </c>
      <c r="H908" s="26">
        <v>6149969.6200000001</v>
      </c>
    </row>
    <row r="909" spans="1:8">
      <c r="A909" s="24">
        <v>255094</v>
      </c>
      <c r="B909" s="25" t="s">
        <v>77</v>
      </c>
      <c r="C909" s="39" t="str">
        <f t="shared" si="28"/>
        <v>205</v>
      </c>
      <c r="D909" s="39" t="str">
        <f t="shared" si="29"/>
        <v>20508</v>
      </c>
      <c r="E909" s="39">
        <f>IF(ISNA(VLOOKUP(F909,'2020功能科目'!A:B,2,FALSE)),"",VLOOKUP(F909,'2020功能科目'!A:B,2,FALSE))</f>
        <v>2050803</v>
      </c>
      <c r="F909" s="25" t="s">
        <v>378</v>
      </c>
      <c r="G909" s="26">
        <v>0</v>
      </c>
      <c r="H909" s="26">
        <v>12800</v>
      </c>
    </row>
    <row r="910" spans="1:8">
      <c r="A910" s="24">
        <v>255094</v>
      </c>
      <c r="B910" s="25" t="s">
        <v>77</v>
      </c>
      <c r="C910" s="39" t="str">
        <f t="shared" si="28"/>
        <v>205</v>
      </c>
      <c r="D910" s="39" t="str">
        <f t="shared" si="29"/>
        <v>20509</v>
      </c>
      <c r="E910" s="39">
        <f>IF(ISNA(VLOOKUP(F910,'2020功能科目'!A:B,2,FALSE)),"",VLOOKUP(F910,'2020功能科目'!A:B,2,FALSE))</f>
        <v>2050999</v>
      </c>
      <c r="F910" s="25" t="s">
        <v>394</v>
      </c>
      <c r="G910" s="26">
        <v>156214</v>
      </c>
      <c r="H910" s="26">
        <v>156300</v>
      </c>
    </row>
    <row r="911" spans="1:8">
      <c r="A911" s="24">
        <v>255094</v>
      </c>
      <c r="B911" s="25" t="s">
        <v>77</v>
      </c>
      <c r="C911" s="39" t="str">
        <f t="shared" si="28"/>
        <v>208</v>
      </c>
      <c r="D911" s="39" t="str">
        <f t="shared" si="29"/>
        <v>20805</v>
      </c>
      <c r="E911" s="39">
        <f>IF(ISNA(VLOOKUP(F911,'2020功能科目'!A:B,2,FALSE)),"",VLOOKUP(F911,'2020功能科目'!A:B,2,FALSE))</f>
        <v>2080502</v>
      </c>
      <c r="F911" s="25" t="s">
        <v>381</v>
      </c>
      <c r="G911" s="26">
        <v>209634.82</v>
      </c>
      <c r="H911" s="26">
        <v>203950</v>
      </c>
    </row>
    <row r="912" spans="1:8">
      <c r="A912" s="24">
        <v>255094</v>
      </c>
      <c r="B912" s="25" t="s">
        <v>77</v>
      </c>
      <c r="C912" s="39" t="str">
        <f t="shared" si="28"/>
        <v>208</v>
      </c>
      <c r="D912" s="39" t="str">
        <f t="shared" si="29"/>
        <v>20805</v>
      </c>
      <c r="E912" s="39">
        <f>IF(ISNA(VLOOKUP(F912,'2020功能科目'!A:B,2,FALSE)),"",VLOOKUP(F912,'2020功能科目'!A:B,2,FALSE))</f>
        <v>2080505</v>
      </c>
      <c r="F912" s="25" t="s">
        <v>382</v>
      </c>
      <c r="G912" s="26">
        <v>376707.52</v>
      </c>
      <c r="H912" s="26">
        <v>387601.6</v>
      </c>
    </row>
    <row r="913" spans="1:8">
      <c r="A913" s="24">
        <v>255094</v>
      </c>
      <c r="B913" s="25" t="s">
        <v>77</v>
      </c>
      <c r="C913" s="39" t="str">
        <f t="shared" si="28"/>
        <v>208</v>
      </c>
      <c r="D913" s="39" t="str">
        <f t="shared" si="29"/>
        <v>20805</v>
      </c>
      <c r="E913" s="39">
        <f>IF(ISNA(VLOOKUP(F913,'2020功能科目'!A:B,2,FALSE)),"",VLOOKUP(F913,'2020功能科目'!A:B,2,FALSE))</f>
        <v>2080506</v>
      </c>
      <c r="F913" s="25" t="s">
        <v>383</v>
      </c>
      <c r="G913" s="26">
        <v>188353.76</v>
      </c>
      <c r="H913" s="26">
        <v>193800.8</v>
      </c>
    </row>
    <row r="914" spans="1:8">
      <c r="A914" s="24">
        <v>255094</v>
      </c>
      <c r="B914" s="25" t="s">
        <v>77</v>
      </c>
      <c r="C914" s="39" t="str">
        <f t="shared" si="28"/>
        <v>210</v>
      </c>
      <c r="D914" s="39" t="str">
        <f t="shared" si="29"/>
        <v>21011</v>
      </c>
      <c r="E914" s="39">
        <f>IF(ISNA(VLOOKUP(F914,'2020功能科目'!A:B,2,FALSE)),"",VLOOKUP(F914,'2020功能科目'!A:B,2,FALSE))</f>
        <v>2101102</v>
      </c>
      <c r="F914" s="25" t="s">
        <v>385</v>
      </c>
      <c r="G914" s="26">
        <v>306571.58</v>
      </c>
      <c r="H914" s="26">
        <v>314926.3</v>
      </c>
    </row>
    <row r="915" spans="1:8">
      <c r="A915" s="24">
        <v>255094</v>
      </c>
      <c r="B915" s="25" t="s">
        <v>77</v>
      </c>
      <c r="C915" s="39" t="str">
        <f t="shared" si="28"/>
        <v>221</v>
      </c>
      <c r="D915" s="39" t="str">
        <f t="shared" si="29"/>
        <v>22102</v>
      </c>
      <c r="E915" s="39">
        <f>IF(ISNA(VLOOKUP(F915,'2020功能科目'!A:B,2,FALSE)),"",VLOOKUP(F915,'2020功能科目'!A:B,2,FALSE))</f>
        <v>2210201</v>
      </c>
      <c r="F915" s="25" t="s">
        <v>387</v>
      </c>
      <c r="G915" s="26">
        <v>378344</v>
      </c>
      <c r="H915" s="26">
        <v>386701.2</v>
      </c>
    </row>
    <row r="916" spans="1:8">
      <c r="A916" s="24">
        <v>255094</v>
      </c>
      <c r="B916" s="25" t="s">
        <v>77</v>
      </c>
      <c r="C916" s="39" t="str">
        <f t="shared" si="28"/>
        <v>221</v>
      </c>
      <c r="D916" s="39" t="str">
        <f t="shared" si="29"/>
        <v>22102</v>
      </c>
      <c r="E916" s="39">
        <f>IF(ISNA(VLOOKUP(F916,'2020功能科目'!A:B,2,FALSE)),"",VLOOKUP(F916,'2020功能科目'!A:B,2,FALSE))</f>
        <v>2210202</v>
      </c>
      <c r="F916" s="25" t="s">
        <v>388</v>
      </c>
      <c r="G916" s="26">
        <v>31510</v>
      </c>
      <c r="H916" s="26">
        <v>31320</v>
      </c>
    </row>
    <row r="917" spans="1:8">
      <c r="A917" s="24">
        <v>255094</v>
      </c>
      <c r="B917" s="25" t="s">
        <v>77</v>
      </c>
      <c r="C917" s="39" t="str">
        <f t="shared" si="28"/>
        <v>221</v>
      </c>
      <c r="D917" s="39" t="str">
        <f t="shared" si="29"/>
        <v>22102</v>
      </c>
      <c r="E917" s="39">
        <f>IF(ISNA(VLOOKUP(F917,'2020功能科目'!A:B,2,FALSE)),"",VLOOKUP(F917,'2020功能科目'!A:B,2,FALSE))</f>
        <v>2210203</v>
      </c>
      <c r="F917" s="25" t="s">
        <v>389</v>
      </c>
      <c r="G917" s="26">
        <v>309621</v>
      </c>
      <c r="H917" s="26">
        <v>329136</v>
      </c>
    </row>
    <row r="918" spans="1:8">
      <c r="A918" s="24">
        <v>255095</v>
      </c>
      <c r="B918" s="25" t="s">
        <v>78</v>
      </c>
      <c r="C918" s="39" t="str">
        <f t="shared" si="28"/>
        <v>205</v>
      </c>
      <c r="D918" s="39" t="str">
        <f t="shared" si="29"/>
        <v>20502</v>
      </c>
      <c r="E918" s="39">
        <f>IF(ISNA(VLOOKUP(F918,'2020功能科目'!A:B,2,FALSE)),"",VLOOKUP(F918,'2020功能科目'!A:B,2,FALSE))</f>
        <v>2050299</v>
      </c>
      <c r="F918" s="25" t="s">
        <v>377</v>
      </c>
      <c r="G918" s="26">
        <v>6110694.5300000003</v>
      </c>
      <c r="H918" s="26">
        <v>6566537.0800000001</v>
      </c>
    </row>
    <row r="919" spans="1:8">
      <c r="A919" s="24">
        <v>255095</v>
      </c>
      <c r="B919" s="25" t="s">
        <v>78</v>
      </c>
      <c r="C919" s="39" t="str">
        <f t="shared" si="28"/>
        <v>205</v>
      </c>
      <c r="D919" s="39" t="str">
        <f t="shared" si="29"/>
        <v>20508</v>
      </c>
      <c r="E919" s="39">
        <f>IF(ISNA(VLOOKUP(F919,'2020功能科目'!A:B,2,FALSE)),"",VLOOKUP(F919,'2020功能科目'!A:B,2,FALSE))</f>
        <v>2050803</v>
      </c>
      <c r="F919" s="25" t="s">
        <v>378</v>
      </c>
      <c r="G919" s="26">
        <v>7960</v>
      </c>
      <c r="H919" s="26">
        <v>16000</v>
      </c>
    </row>
    <row r="920" spans="1:8">
      <c r="A920" s="24">
        <v>255095</v>
      </c>
      <c r="B920" s="25" t="s">
        <v>78</v>
      </c>
      <c r="C920" s="39" t="str">
        <f t="shared" si="28"/>
        <v>205</v>
      </c>
      <c r="D920" s="39" t="str">
        <f t="shared" si="29"/>
        <v>20509</v>
      </c>
      <c r="E920" s="39">
        <f>IF(ISNA(VLOOKUP(F920,'2020功能科目'!A:B,2,FALSE)),"",VLOOKUP(F920,'2020功能科目'!A:B,2,FALSE))</f>
        <v>2050999</v>
      </c>
      <c r="F920" s="25" t="s">
        <v>394</v>
      </c>
      <c r="G920" s="26">
        <v>349245.4</v>
      </c>
      <c r="H920" s="26">
        <v>359380</v>
      </c>
    </row>
    <row r="921" spans="1:8">
      <c r="A921" s="24">
        <v>255095</v>
      </c>
      <c r="B921" s="25" t="s">
        <v>78</v>
      </c>
      <c r="C921" s="39" t="str">
        <f t="shared" si="28"/>
        <v>208</v>
      </c>
      <c r="D921" s="39" t="str">
        <f t="shared" si="29"/>
        <v>20805</v>
      </c>
      <c r="E921" s="39">
        <f>IF(ISNA(VLOOKUP(F921,'2020功能科目'!A:B,2,FALSE)),"",VLOOKUP(F921,'2020功能科目'!A:B,2,FALSE))</f>
        <v>2080502</v>
      </c>
      <c r="F921" s="25" t="s">
        <v>381</v>
      </c>
      <c r="G921" s="26">
        <v>247115.2</v>
      </c>
      <c r="H921" s="26">
        <v>251550</v>
      </c>
    </row>
    <row r="922" spans="1:8">
      <c r="A922" s="24">
        <v>255095</v>
      </c>
      <c r="B922" s="25" t="s">
        <v>78</v>
      </c>
      <c r="C922" s="39" t="str">
        <f t="shared" si="28"/>
        <v>208</v>
      </c>
      <c r="D922" s="39" t="str">
        <f t="shared" si="29"/>
        <v>20805</v>
      </c>
      <c r="E922" s="39">
        <f>IF(ISNA(VLOOKUP(F922,'2020功能科目'!A:B,2,FALSE)),"",VLOOKUP(F922,'2020功能科目'!A:B,2,FALSE))</f>
        <v>2080505</v>
      </c>
      <c r="F922" s="25" t="s">
        <v>382</v>
      </c>
      <c r="G922" s="26">
        <v>419045.28</v>
      </c>
      <c r="H922" s="26">
        <v>659061.43999999994</v>
      </c>
    </row>
    <row r="923" spans="1:8">
      <c r="A923" s="24">
        <v>255095</v>
      </c>
      <c r="B923" s="25" t="s">
        <v>78</v>
      </c>
      <c r="C923" s="39" t="str">
        <f t="shared" si="28"/>
        <v>208</v>
      </c>
      <c r="D923" s="39" t="str">
        <f t="shared" si="29"/>
        <v>20805</v>
      </c>
      <c r="E923" s="39">
        <f>IF(ISNA(VLOOKUP(F923,'2020功能科目'!A:B,2,FALSE)),"",VLOOKUP(F923,'2020功能科目'!A:B,2,FALSE))</f>
        <v>2080506</v>
      </c>
      <c r="F923" s="25" t="s">
        <v>383</v>
      </c>
      <c r="G923" s="26">
        <v>209522.64</v>
      </c>
      <c r="H923" s="26">
        <v>329530.71999999997</v>
      </c>
    </row>
    <row r="924" spans="1:8">
      <c r="A924" s="24">
        <v>255095</v>
      </c>
      <c r="B924" s="25" t="s">
        <v>78</v>
      </c>
      <c r="C924" s="39" t="str">
        <f t="shared" si="28"/>
        <v>210</v>
      </c>
      <c r="D924" s="39" t="str">
        <f t="shared" si="29"/>
        <v>21011</v>
      </c>
      <c r="E924" s="39">
        <f>IF(ISNA(VLOOKUP(F924,'2020功能科目'!A:B,2,FALSE)),"",VLOOKUP(F924,'2020功能科目'!A:B,2,FALSE))</f>
        <v>2101102</v>
      </c>
      <c r="F924" s="25" t="s">
        <v>385</v>
      </c>
      <c r="G924" s="26">
        <v>429083.86</v>
      </c>
      <c r="H924" s="26">
        <v>535487.42000000004</v>
      </c>
    </row>
    <row r="925" spans="1:8">
      <c r="A925" s="24">
        <v>255095</v>
      </c>
      <c r="B925" s="25" t="s">
        <v>78</v>
      </c>
      <c r="C925" s="39" t="str">
        <f t="shared" si="28"/>
        <v>221</v>
      </c>
      <c r="D925" s="39" t="str">
        <f t="shared" si="29"/>
        <v>22102</v>
      </c>
      <c r="E925" s="39">
        <f>IF(ISNA(VLOOKUP(F925,'2020功能科目'!A:B,2,FALSE)),"",VLOOKUP(F925,'2020功能科目'!A:B,2,FALSE))</f>
        <v>2210201</v>
      </c>
      <c r="F925" s="25" t="s">
        <v>387</v>
      </c>
      <c r="G925" s="26">
        <v>602021</v>
      </c>
      <c r="H925" s="26">
        <v>614296.07999999996</v>
      </c>
    </row>
    <row r="926" spans="1:8">
      <c r="A926" s="24">
        <v>255095</v>
      </c>
      <c r="B926" s="25" t="s">
        <v>78</v>
      </c>
      <c r="C926" s="39" t="str">
        <f t="shared" si="28"/>
        <v>221</v>
      </c>
      <c r="D926" s="39" t="str">
        <f t="shared" si="29"/>
        <v>22102</v>
      </c>
      <c r="E926" s="39">
        <f>IF(ISNA(VLOOKUP(F926,'2020功能科目'!A:B,2,FALSE)),"",VLOOKUP(F926,'2020功能科目'!A:B,2,FALSE))</f>
        <v>2210202</v>
      </c>
      <c r="F926" s="25" t="s">
        <v>388</v>
      </c>
      <c r="G926" s="26">
        <v>40460</v>
      </c>
      <c r="H926" s="26">
        <v>40800</v>
      </c>
    </row>
    <row r="927" spans="1:8">
      <c r="A927" s="24">
        <v>255095</v>
      </c>
      <c r="B927" s="25" t="s">
        <v>78</v>
      </c>
      <c r="C927" s="39" t="str">
        <f t="shared" si="28"/>
        <v>221</v>
      </c>
      <c r="D927" s="39" t="str">
        <f t="shared" si="29"/>
        <v>22102</v>
      </c>
      <c r="E927" s="39">
        <f>IF(ISNA(VLOOKUP(F927,'2020功能科目'!A:B,2,FALSE)),"",VLOOKUP(F927,'2020功能科目'!A:B,2,FALSE))</f>
        <v>2210203</v>
      </c>
      <c r="F927" s="25" t="s">
        <v>389</v>
      </c>
      <c r="G927" s="26">
        <v>468812</v>
      </c>
      <c r="H927" s="26">
        <v>445536</v>
      </c>
    </row>
    <row r="928" spans="1:8">
      <c r="A928" s="24">
        <v>255096</v>
      </c>
      <c r="B928" s="25" t="s">
        <v>79</v>
      </c>
      <c r="C928" s="39" t="str">
        <f t="shared" si="28"/>
        <v>205</v>
      </c>
      <c r="D928" s="39" t="str">
        <f t="shared" si="29"/>
        <v>20502</v>
      </c>
      <c r="E928" s="39">
        <f>IF(ISNA(VLOOKUP(F928,'2020功能科目'!A:B,2,FALSE)),"",VLOOKUP(F928,'2020功能科目'!A:B,2,FALSE))</f>
        <v>2050299</v>
      </c>
      <c r="F928" s="25" t="s">
        <v>377</v>
      </c>
      <c r="G928" s="26">
        <v>14223507.23</v>
      </c>
      <c r="H928" s="26">
        <v>12969877.01</v>
      </c>
    </row>
    <row r="929" spans="1:8">
      <c r="A929" s="24">
        <v>255096</v>
      </c>
      <c r="B929" s="25" t="s">
        <v>79</v>
      </c>
      <c r="C929" s="39" t="str">
        <f t="shared" si="28"/>
        <v>205</v>
      </c>
      <c r="D929" s="39" t="str">
        <f t="shared" si="29"/>
        <v>20508</v>
      </c>
      <c r="E929" s="39">
        <f>IF(ISNA(VLOOKUP(F929,'2020功能科目'!A:B,2,FALSE)),"",VLOOKUP(F929,'2020功能科目'!A:B,2,FALSE))</f>
        <v>2050803</v>
      </c>
      <c r="F929" s="25" t="s">
        <v>378</v>
      </c>
      <c r="G929" s="26">
        <v>9200</v>
      </c>
      <c r="H929" s="26">
        <v>18400</v>
      </c>
    </row>
    <row r="930" spans="1:8">
      <c r="A930" s="24">
        <v>255096</v>
      </c>
      <c r="B930" s="25" t="s">
        <v>79</v>
      </c>
      <c r="C930" s="39" t="str">
        <f t="shared" si="28"/>
        <v>205</v>
      </c>
      <c r="D930" s="39" t="str">
        <f t="shared" si="29"/>
        <v>20509</v>
      </c>
      <c r="E930" s="39">
        <f>IF(ISNA(VLOOKUP(F930,'2020功能科目'!A:B,2,FALSE)),"",VLOOKUP(F930,'2020功能科目'!A:B,2,FALSE))</f>
        <v>2050999</v>
      </c>
      <c r="F930" s="25" t="s">
        <v>394</v>
      </c>
      <c r="G930" s="26">
        <v>748936</v>
      </c>
      <c r="H930" s="26">
        <v>3598936</v>
      </c>
    </row>
    <row r="931" spans="1:8">
      <c r="A931" s="24">
        <v>255096</v>
      </c>
      <c r="B931" s="25" t="s">
        <v>79</v>
      </c>
      <c r="C931" s="39" t="str">
        <f t="shared" si="28"/>
        <v>208</v>
      </c>
      <c r="D931" s="39" t="str">
        <f t="shared" si="29"/>
        <v>20805</v>
      </c>
      <c r="E931" s="39">
        <f>IF(ISNA(VLOOKUP(F931,'2020功能科目'!A:B,2,FALSE)),"",VLOOKUP(F931,'2020功能科目'!A:B,2,FALSE))</f>
        <v>2080502</v>
      </c>
      <c r="F931" s="25" t="s">
        <v>381</v>
      </c>
      <c r="G931" s="26">
        <v>220892</v>
      </c>
      <c r="H931" s="26">
        <v>331374</v>
      </c>
    </row>
    <row r="932" spans="1:8">
      <c r="A932" s="24">
        <v>255096</v>
      </c>
      <c r="B932" s="25" t="s">
        <v>79</v>
      </c>
      <c r="C932" s="39" t="str">
        <f t="shared" si="28"/>
        <v>208</v>
      </c>
      <c r="D932" s="39" t="str">
        <f t="shared" si="29"/>
        <v>20805</v>
      </c>
      <c r="E932" s="39">
        <f>IF(ISNA(VLOOKUP(F932,'2020功能科目'!A:B,2,FALSE)),"",VLOOKUP(F932,'2020功能科目'!A:B,2,FALSE))</f>
        <v>2080505</v>
      </c>
      <c r="F932" s="25" t="s">
        <v>382</v>
      </c>
      <c r="G932" s="26">
        <v>543606.07999999996</v>
      </c>
      <c r="H932" s="26">
        <v>755923.84</v>
      </c>
    </row>
    <row r="933" spans="1:8">
      <c r="A933" s="24">
        <v>255096</v>
      </c>
      <c r="B933" s="25" t="s">
        <v>79</v>
      </c>
      <c r="C933" s="39" t="str">
        <f t="shared" si="28"/>
        <v>208</v>
      </c>
      <c r="D933" s="39" t="str">
        <f t="shared" si="29"/>
        <v>20805</v>
      </c>
      <c r="E933" s="39">
        <f>IF(ISNA(VLOOKUP(F933,'2020功能科目'!A:B,2,FALSE)),"",VLOOKUP(F933,'2020功能科目'!A:B,2,FALSE))</f>
        <v>2080506</v>
      </c>
      <c r="F933" s="25" t="s">
        <v>383</v>
      </c>
      <c r="G933" s="26">
        <v>271803.03999999998</v>
      </c>
      <c r="H933" s="26">
        <v>377961.92</v>
      </c>
    </row>
    <row r="934" spans="1:8">
      <c r="A934" s="24">
        <v>255096</v>
      </c>
      <c r="B934" s="25" t="s">
        <v>79</v>
      </c>
      <c r="C934" s="39" t="str">
        <f t="shared" si="28"/>
        <v>210</v>
      </c>
      <c r="D934" s="39" t="str">
        <f t="shared" si="29"/>
        <v>21011</v>
      </c>
      <c r="E934" s="39">
        <f>IF(ISNA(VLOOKUP(F934,'2020功能科目'!A:B,2,FALSE)),"",VLOOKUP(F934,'2020功能科目'!A:B,2,FALSE))</f>
        <v>2101102</v>
      </c>
      <c r="F934" s="25" t="s">
        <v>385</v>
      </c>
      <c r="G934" s="26">
        <v>563232.79</v>
      </c>
      <c r="H934" s="26">
        <v>614188.12</v>
      </c>
    </row>
    <row r="935" spans="1:8">
      <c r="A935" s="24">
        <v>255096</v>
      </c>
      <c r="B935" s="25" t="s">
        <v>79</v>
      </c>
      <c r="C935" s="39" t="str">
        <f t="shared" si="28"/>
        <v>221</v>
      </c>
      <c r="D935" s="39" t="str">
        <f t="shared" si="29"/>
        <v>22102</v>
      </c>
      <c r="E935" s="39">
        <f>IF(ISNA(VLOOKUP(F935,'2020功能科目'!A:B,2,FALSE)),"",VLOOKUP(F935,'2020功能科目'!A:B,2,FALSE))</f>
        <v>2210201</v>
      </c>
      <c r="F935" s="25" t="s">
        <v>387</v>
      </c>
      <c r="G935" s="26">
        <v>704940</v>
      </c>
      <c r="H935" s="26">
        <v>704942.88</v>
      </c>
    </row>
    <row r="936" spans="1:8">
      <c r="A936" s="24">
        <v>255096</v>
      </c>
      <c r="B936" s="25" t="s">
        <v>79</v>
      </c>
      <c r="C936" s="39" t="str">
        <f t="shared" si="28"/>
        <v>221</v>
      </c>
      <c r="D936" s="39" t="str">
        <f t="shared" si="29"/>
        <v>22102</v>
      </c>
      <c r="E936" s="39">
        <f>IF(ISNA(VLOOKUP(F936,'2020功能科目'!A:B,2,FALSE)),"",VLOOKUP(F936,'2020功能科目'!A:B,2,FALSE))</f>
        <v>2210202</v>
      </c>
      <c r="F936" s="25" t="s">
        <v>388</v>
      </c>
      <c r="G936" s="26">
        <v>40380</v>
      </c>
      <c r="H936" s="26">
        <v>40440</v>
      </c>
    </row>
    <row r="937" spans="1:8">
      <c r="A937" s="24">
        <v>255096</v>
      </c>
      <c r="B937" s="25" t="s">
        <v>79</v>
      </c>
      <c r="C937" s="39" t="str">
        <f t="shared" si="28"/>
        <v>221</v>
      </c>
      <c r="D937" s="39" t="str">
        <f t="shared" si="29"/>
        <v>22102</v>
      </c>
      <c r="E937" s="39">
        <f>IF(ISNA(VLOOKUP(F937,'2020功能科目'!A:B,2,FALSE)),"",VLOOKUP(F937,'2020功能科目'!A:B,2,FALSE))</f>
        <v>2210203</v>
      </c>
      <c r="F937" s="25" t="s">
        <v>389</v>
      </c>
      <c r="G937" s="26">
        <v>519684</v>
      </c>
      <c r="H937" s="26">
        <v>519684</v>
      </c>
    </row>
    <row r="938" spans="1:8">
      <c r="A938" s="24">
        <v>255097</v>
      </c>
      <c r="B938" s="25" t="s">
        <v>80</v>
      </c>
      <c r="C938" s="39" t="str">
        <f t="shared" si="28"/>
        <v>205</v>
      </c>
      <c r="D938" s="39" t="str">
        <f t="shared" si="29"/>
        <v>20502</v>
      </c>
      <c r="E938" s="39">
        <f>IF(ISNA(VLOOKUP(F938,'2020功能科目'!A:B,2,FALSE)),"",VLOOKUP(F938,'2020功能科目'!A:B,2,FALSE))</f>
        <v>2050299</v>
      </c>
      <c r="F938" s="25" t="s">
        <v>377</v>
      </c>
      <c r="G938" s="26">
        <v>216815.91</v>
      </c>
      <c r="H938" s="26">
        <v>787615</v>
      </c>
    </row>
    <row r="939" spans="1:8">
      <c r="A939" s="24">
        <v>255097</v>
      </c>
      <c r="B939" s="25" t="s">
        <v>80</v>
      </c>
      <c r="C939" s="39" t="str">
        <f t="shared" si="28"/>
        <v>205</v>
      </c>
      <c r="D939" s="39" t="str">
        <f t="shared" si="29"/>
        <v>20508</v>
      </c>
      <c r="E939" s="39">
        <f>IF(ISNA(VLOOKUP(F939,'2020功能科目'!A:B,2,FALSE)),"",VLOOKUP(F939,'2020功能科目'!A:B,2,FALSE))</f>
        <v>2050801</v>
      </c>
      <c r="F939" s="25" t="s">
        <v>399</v>
      </c>
      <c r="G939" s="26">
        <v>64954183.170000002</v>
      </c>
      <c r="H939" s="26">
        <v>59460931.740000002</v>
      </c>
    </row>
    <row r="940" spans="1:8">
      <c r="A940" s="24">
        <v>255097</v>
      </c>
      <c r="B940" s="25" t="s">
        <v>80</v>
      </c>
      <c r="C940" s="39" t="str">
        <f t="shared" si="28"/>
        <v>205</v>
      </c>
      <c r="D940" s="39" t="str">
        <f t="shared" si="29"/>
        <v>20508</v>
      </c>
      <c r="E940" s="39">
        <f>IF(ISNA(VLOOKUP(F940,'2020功能科目'!A:B,2,FALSE)),"",VLOOKUP(F940,'2020功能科目'!A:B,2,FALSE))</f>
        <v>2050803</v>
      </c>
      <c r="F940" s="25" t="s">
        <v>378</v>
      </c>
      <c r="G940" s="26">
        <v>51408.800000000003</v>
      </c>
      <c r="H940" s="26">
        <v>134400</v>
      </c>
    </row>
    <row r="941" spans="1:8">
      <c r="A941" s="24">
        <v>255097</v>
      </c>
      <c r="B941" s="25" t="s">
        <v>80</v>
      </c>
      <c r="C941" s="39" t="str">
        <f t="shared" si="28"/>
        <v>205</v>
      </c>
      <c r="D941" s="39" t="str">
        <f t="shared" si="29"/>
        <v>20509</v>
      </c>
      <c r="E941" s="39">
        <f>IF(ISNA(VLOOKUP(F941,'2020功能科目'!A:B,2,FALSE)),"",VLOOKUP(F941,'2020功能科目'!A:B,2,FALSE))</f>
        <v>2050999</v>
      </c>
      <c r="F941" s="25" t="s">
        <v>394</v>
      </c>
      <c r="G941" s="26">
        <v>582602</v>
      </c>
      <c r="H941" s="26">
        <v>1088540</v>
      </c>
    </row>
    <row r="942" spans="1:8">
      <c r="A942" s="24">
        <v>255097</v>
      </c>
      <c r="B942" s="25" t="s">
        <v>80</v>
      </c>
      <c r="C942" s="39" t="str">
        <f t="shared" si="28"/>
        <v>208</v>
      </c>
      <c r="D942" s="39" t="str">
        <f t="shared" si="29"/>
        <v>20805</v>
      </c>
      <c r="E942" s="39">
        <f>IF(ISNA(VLOOKUP(F942,'2020功能科目'!A:B,2,FALSE)),"",VLOOKUP(F942,'2020功能科目'!A:B,2,FALSE))</f>
        <v>2080502</v>
      </c>
      <c r="F942" s="25" t="s">
        <v>381</v>
      </c>
      <c r="G942" s="26">
        <v>9867232.1899999995</v>
      </c>
      <c r="H942" s="26">
        <v>7701553.7000000002</v>
      </c>
    </row>
    <row r="943" spans="1:8">
      <c r="A943" s="24">
        <v>255097</v>
      </c>
      <c r="B943" s="25" t="s">
        <v>80</v>
      </c>
      <c r="C943" s="39" t="str">
        <f t="shared" si="28"/>
        <v>208</v>
      </c>
      <c r="D943" s="39" t="str">
        <f t="shared" si="29"/>
        <v>20805</v>
      </c>
      <c r="E943" s="39">
        <f>IF(ISNA(VLOOKUP(F943,'2020功能科目'!A:B,2,FALSE)),"",VLOOKUP(F943,'2020功能科目'!A:B,2,FALSE))</f>
        <v>2080505</v>
      </c>
      <c r="F943" s="25" t="s">
        <v>382</v>
      </c>
      <c r="G943" s="26">
        <v>4870200.4000000004</v>
      </c>
      <c r="H943" s="26">
        <v>5063768.88</v>
      </c>
    </row>
    <row r="944" spans="1:8">
      <c r="A944" s="24">
        <v>255097</v>
      </c>
      <c r="B944" s="25" t="s">
        <v>80</v>
      </c>
      <c r="C944" s="39" t="str">
        <f t="shared" si="28"/>
        <v>208</v>
      </c>
      <c r="D944" s="39" t="str">
        <f t="shared" si="29"/>
        <v>20805</v>
      </c>
      <c r="E944" s="39">
        <f>IF(ISNA(VLOOKUP(F944,'2020功能科目'!A:B,2,FALSE)),"",VLOOKUP(F944,'2020功能科目'!A:B,2,FALSE))</f>
        <v>2080506</v>
      </c>
      <c r="F944" s="25" t="s">
        <v>383</v>
      </c>
      <c r="G944" s="26">
        <v>2418693.6800000002</v>
      </c>
      <c r="H944" s="26">
        <v>2531884.44</v>
      </c>
    </row>
    <row r="945" spans="1:8">
      <c r="A945" s="24">
        <v>255097</v>
      </c>
      <c r="B945" s="25" t="s">
        <v>80</v>
      </c>
      <c r="C945" s="39" t="str">
        <f t="shared" si="28"/>
        <v>210</v>
      </c>
      <c r="D945" s="39" t="str">
        <f t="shared" si="29"/>
        <v>21011</v>
      </c>
      <c r="E945" s="39">
        <f>IF(ISNA(VLOOKUP(F945,'2020功能科目'!A:B,2,FALSE)),"",VLOOKUP(F945,'2020功能科目'!A:B,2,FALSE))</f>
        <v>2101102</v>
      </c>
      <c r="F945" s="25" t="s">
        <v>385</v>
      </c>
      <c r="G945" s="26">
        <v>4778698.71</v>
      </c>
      <c r="H945" s="26">
        <v>4114312.21</v>
      </c>
    </row>
    <row r="946" spans="1:8">
      <c r="A946" s="24">
        <v>255097</v>
      </c>
      <c r="B946" s="25" t="s">
        <v>80</v>
      </c>
      <c r="C946" s="39" t="str">
        <f t="shared" si="28"/>
        <v>210</v>
      </c>
      <c r="D946" s="39" t="str">
        <f t="shared" si="29"/>
        <v>21011</v>
      </c>
      <c r="E946" s="39">
        <f>IF(ISNA(VLOOKUP(F946,'2020功能科目'!A:B,2,FALSE)),"",VLOOKUP(F946,'2020功能科目'!A:B,2,FALSE))</f>
        <v>2101199</v>
      </c>
      <c r="F946" s="25" t="s">
        <v>386</v>
      </c>
      <c r="G946" s="26">
        <v>1350000</v>
      </c>
      <c r="H946" s="26">
        <v>1440000</v>
      </c>
    </row>
    <row r="947" spans="1:8">
      <c r="A947" s="24">
        <v>255097</v>
      </c>
      <c r="B947" s="25" t="s">
        <v>80</v>
      </c>
      <c r="C947" s="39" t="str">
        <f t="shared" si="28"/>
        <v>221</v>
      </c>
      <c r="D947" s="39" t="str">
        <f t="shared" si="29"/>
        <v>22102</v>
      </c>
      <c r="E947" s="39">
        <f>IF(ISNA(VLOOKUP(F947,'2020功能科目'!A:B,2,FALSE)),"",VLOOKUP(F947,'2020功能科目'!A:B,2,FALSE))</f>
        <v>2210201</v>
      </c>
      <c r="F947" s="25" t="s">
        <v>387</v>
      </c>
      <c r="G947" s="26">
        <v>5133514</v>
      </c>
      <c r="H947" s="26">
        <v>4805826.66</v>
      </c>
    </row>
    <row r="948" spans="1:8">
      <c r="A948" s="24">
        <v>255097</v>
      </c>
      <c r="B948" s="25" t="s">
        <v>80</v>
      </c>
      <c r="C948" s="39" t="str">
        <f t="shared" si="28"/>
        <v>221</v>
      </c>
      <c r="D948" s="39" t="str">
        <f t="shared" si="29"/>
        <v>22102</v>
      </c>
      <c r="E948" s="39">
        <f>IF(ISNA(VLOOKUP(F948,'2020功能科目'!A:B,2,FALSE)),"",VLOOKUP(F948,'2020功能科目'!A:B,2,FALSE))</f>
        <v>2210202</v>
      </c>
      <c r="F948" s="25" t="s">
        <v>388</v>
      </c>
      <c r="G948" s="26">
        <v>588740</v>
      </c>
      <c r="H948" s="26">
        <v>626280</v>
      </c>
    </row>
    <row r="949" spans="1:8">
      <c r="A949" s="24">
        <v>255097</v>
      </c>
      <c r="B949" s="25" t="s">
        <v>80</v>
      </c>
      <c r="C949" s="39" t="str">
        <f t="shared" si="28"/>
        <v>221</v>
      </c>
      <c r="D949" s="39" t="str">
        <f t="shared" si="29"/>
        <v>22102</v>
      </c>
      <c r="E949" s="39">
        <f>IF(ISNA(VLOOKUP(F949,'2020功能科目'!A:B,2,FALSE)),"",VLOOKUP(F949,'2020功能科目'!A:B,2,FALSE))</f>
        <v>2210203</v>
      </c>
      <c r="F949" s="25" t="s">
        <v>389</v>
      </c>
      <c r="G949" s="26">
        <v>3803679.65</v>
      </c>
      <c r="H949" s="26">
        <v>3903828</v>
      </c>
    </row>
    <row r="950" spans="1:8">
      <c r="A950" s="24">
        <v>255100</v>
      </c>
      <c r="B950" s="25" t="s">
        <v>81</v>
      </c>
      <c r="C950" s="39" t="str">
        <f t="shared" si="28"/>
        <v>205</v>
      </c>
      <c r="D950" s="39" t="str">
        <f t="shared" si="29"/>
        <v>20502</v>
      </c>
      <c r="E950" s="39">
        <f>IF(ISNA(VLOOKUP(F950,'2020功能科目'!A:B,2,FALSE)),"",VLOOKUP(F950,'2020功能科目'!A:B,2,FALSE))</f>
        <v>2050299</v>
      </c>
      <c r="F950" s="25" t="s">
        <v>377</v>
      </c>
      <c r="G950" s="26">
        <v>17228254.489999998</v>
      </c>
      <c r="H950" s="26">
        <v>15904460.789999999</v>
      </c>
    </row>
    <row r="951" spans="1:8">
      <c r="A951" s="24">
        <v>255100</v>
      </c>
      <c r="B951" s="25" t="s">
        <v>81</v>
      </c>
      <c r="C951" s="39" t="str">
        <f t="shared" si="28"/>
        <v>205</v>
      </c>
      <c r="D951" s="39" t="str">
        <f t="shared" si="29"/>
        <v>20508</v>
      </c>
      <c r="E951" s="39">
        <f>IF(ISNA(VLOOKUP(F951,'2020功能科目'!A:B,2,FALSE)),"",VLOOKUP(F951,'2020功能科目'!A:B,2,FALSE))</f>
        <v>2050803</v>
      </c>
      <c r="F951" s="25" t="s">
        <v>378</v>
      </c>
      <c r="G951" s="26">
        <v>4522</v>
      </c>
      <c r="H951" s="26">
        <v>34400</v>
      </c>
    </row>
    <row r="952" spans="1:8">
      <c r="A952" s="24">
        <v>255100</v>
      </c>
      <c r="B952" s="25" t="s">
        <v>81</v>
      </c>
      <c r="C952" s="39" t="str">
        <f t="shared" si="28"/>
        <v>205</v>
      </c>
      <c r="D952" s="39" t="str">
        <f t="shared" si="29"/>
        <v>20509</v>
      </c>
      <c r="E952" s="39">
        <f>IF(ISNA(VLOOKUP(F952,'2020功能科目'!A:B,2,FALSE)),"",VLOOKUP(F952,'2020功能科目'!A:B,2,FALSE))</f>
        <v>2050999</v>
      </c>
      <c r="F952" s="25" t="s">
        <v>394</v>
      </c>
      <c r="G952" s="26">
        <v>160000</v>
      </c>
      <c r="H952" s="26">
        <v>160000</v>
      </c>
    </row>
    <row r="953" spans="1:8">
      <c r="A953" s="24">
        <v>255100</v>
      </c>
      <c r="B953" s="25" t="s">
        <v>81</v>
      </c>
      <c r="C953" s="39" t="str">
        <f t="shared" si="28"/>
        <v>208</v>
      </c>
      <c r="D953" s="39" t="str">
        <f t="shared" si="29"/>
        <v>20805</v>
      </c>
      <c r="E953" s="39">
        <f>IF(ISNA(VLOOKUP(F953,'2020功能科目'!A:B,2,FALSE)),"",VLOOKUP(F953,'2020功能科目'!A:B,2,FALSE))</f>
        <v>2080502</v>
      </c>
      <c r="F953" s="25" t="s">
        <v>381</v>
      </c>
      <c r="G953" s="26">
        <v>984116</v>
      </c>
      <c r="H953" s="26">
        <v>662600</v>
      </c>
    </row>
    <row r="954" spans="1:8">
      <c r="A954" s="24">
        <v>255100</v>
      </c>
      <c r="B954" s="25" t="s">
        <v>81</v>
      </c>
      <c r="C954" s="39" t="str">
        <f t="shared" si="28"/>
        <v>208</v>
      </c>
      <c r="D954" s="39" t="str">
        <f t="shared" si="29"/>
        <v>20805</v>
      </c>
      <c r="E954" s="39">
        <f>IF(ISNA(VLOOKUP(F954,'2020功能科目'!A:B,2,FALSE)),"",VLOOKUP(F954,'2020功能科目'!A:B,2,FALSE))</f>
        <v>2080505</v>
      </c>
      <c r="F954" s="25" t="s">
        <v>382</v>
      </c>
      <c r="G954" s="26">
        <v>1232286.42</v>
      </c>
      <c r="H954" s="26">
        <v>1083787.52</v>
      </c>
    </row>
    <row r="955" spans="1:8">
      <c r="A955" s="24">
        <v>255100</v>
      </c>
      <c r="B955" s="25" t="s">
        <v>81</v>
      </c>
      <c r="C955" s="39" t="str">
        <f t="shared" si="28"/>
        <v>208</v>
      </c>
      <c r="D955" s="39" t="str">
        <f t="shared" si="29"/>
        <v>20805</v>
      </c>
      <c r="E955" s="39">
        <f>IF(ISNA(VLOOKUP(F955,'2020功能科目'!A:B,2,FALSE)),"",VLOOKUP(F955,'2020功能科目'!A:B,2,FALSE))</f>
        <v>2080506</v>
      </c>
      <c r="F955" s="25" t="s">
        <v>383</v>
      </c>
      <c r="G955" s="26">
        <v>613893.76</v>
      </c>
      <c r="H955" s="26">
        <v>541893.76</v>
      </c>
    </row>
    <row r="956" spans="1:8">
      <c r="A956" s="24">
        <v>255100</v>
      </c>
      <c r="B956" s="25" t="s">
        <v>81</v>
      </c>
      <c r="C956" s="39" t="str">
        <f t="shared" si="28"/>
        <v>210</v>
      </c>
      <c r="D956" s="39" t="str">
        <f t="shared" si="29"/>
        <v>21011</v>
      </c>
      <c r="E956" s="39">
        <f>IF(ISNA(VLOOKUP(F956,'2020功能科目'!A:B,2,FALSE)),"",VLOOKUP(F956,'2020功能科目'!A:B,2,FALSE))</f>
        <v>2101102</v>
      </c>
      <c r="F956" s="25" t="s">
        <v>385</v>
      </c>
      <c r="G956" s="26">
        <v>968326.62</v>
      </c>
      <c r="H956" s="26">
        <v>880577.36</v>
      </c>
    </row>
    <row r="957" spans="1:8">
      <c r="A957" s="24">
        <v>255100</v>
      </c>
      <c r="B957" s="25" t="s">
        <v>81</v>
      </c>
      <c r="C957" s="39" t="str">
        <f t="shared" si="28"/>
        <v>221</v>
      </c>
      <c r="D957" s="39" t="str">
        <f t="shared" si="29"/>
        <v>22102</v>
      </c>
      <c r="E957" s="39">
        <f>IF(ISNA(VLOOKUP(F957,'2020功能科目'!A:B,2,FALSE)),"",VLOOKUP(F957,'2020功能科目'!A:B,2,FALSE))</f>
        <v>2210201</v>
      </c>
      <c r="F957" s="25" t="s">
        <v>387</v>
      </c>
      <c r="G957" s="26">
        <v>1063916</v>
      </c>
      <c r="H957" s="26">
        <v>1070840.6399999999</v>
      </c>
    </row>
    <row r="958" spans="1:8">
      <c r="A958" s="24">
        <v>255100</v>
      </c>
      <c r="B958" s="25" t="s">
        <v>81</v>
      </c>
      <c r="C958" s="39" t="str">
        <f t="shared" si="28"/>
        <v>221</v>
      </c>
      <c r="D958" s="39" t="str">
        <f t="shared" si="29"/>
        <v>22102</v>
      </c>
      <c r="E958" s="39">
        <f>IF(ISNA(VLOOKUP(F958,'2020功能科目'!A:B,2,FALSE)),"",VLOOKUP(F958,'2020功能科目'!A:B,2,FALSE))</f>
        <v>2210202</v>
      </c>
      <c r="F958" s="25" t="s">
        <v>388</v>
      </c>
      <c r="G958" s="26">
        <v>98980</v>
      </c>
      <c r="H958" s="26">
        <v>101040</v>
      </c>
    </row>
    <row r="959" spans="1:8">
      <c r="A959" s="24">
        <v>255100</v>
      </c>
      <c r="B959" s="25" t="s">
        <v>81</v>
      </c>
      <c r="C959" s="39" t="str">
        <f t="shared" si="28"/>
        <v>221</v>
      </c>
      <c r="D959" s="39" t="str">
        <f t="shared" si="29"/>
        <v>22102</v>
      </c>
      <c r="E959" s="39">
        <f>IF(ISNA(VLOOKUP(F959,'2020功能科目'!A:B,2,FALSE)),"",VLOOKUP(F959,'2020功能科目'!A:B,2,FALSE))</f>
        <v>2210203</v>
      </c>
      <c r="F959" s="25" t="s">
        <v>389</v>
      </c>
      <c r="G959" s="26">
        <v>1110364</v>
      </c>
      <c r="H959" s="26">
        <v>1098024</v>
      </c>
    </row>
    <row r="960" spans="1:8">
      <c r="A960" s="24">
        <v>255101</v>
      </c>
      <c r="B960" s="25" t="s">
        <v>82</v>
      </c>
      <c r="C960" s="39" t="str">
        <f t="shared" si="28"/>
        <v>205</v>
      </c>
      <c r="D960" s="39" t="str">
        <f t="shared" si="29"/>
        <v>20502</v>
      </c>
      <c r="E960" s="39">
        <f>IF(ISNA(VLOOKUP(F960,'2020功能科目'!A:B,2,FALSE)),"",VLOOKUP(F960,'2020功能科目'!A:B,2,FALSE))</f>
        <v>2050299</v>
      </c>
      <c r="F960" s="25" t="s">
        <v>377</v>
      </c>
      <c r="G960" s="26">
        <v>22560573.370000001</v>
      </c>
      <c r="H960" s="26">
        <v>58274432.450000003</v>
      </c>
    </row>
    <row r="961" spans="1:8">
      <c r="A961" s="24">
        <v>255101</v>
      </c>
      <c r="B961" s="25" t="s">
        <v>82</v>
      </c>
      <c r="C961" s="39" t="str">
        <f t="shared" si="28"/>
        <v>205</v>
      </c>
      <c r="D961" s="39" t="str">
        <f t="shared" si="29"/>
        <v>20508</v>
      </c>
      <c r="E961" s="39">
        <f>IF(ISNA(VLOOKUP(F961,'2020功能科目'!A:B,2,FALSE)),"",VLOOKUP(F961,'2020功能科目'!A:B,2,FALSE))</f>
        <v>2050803</v>
      </c>
      <c r="F961" s="25" t="s">
        <v>378</v>
      </c>
      <c r="G961" s="26">
        <v>2300</v>
      </c>
      <c r="H961" s="26">
        <v>16000</v>
      </c>
    </row>
    <row r="962" spans="1:8">
      <c r="A962" s="24">
        <v>255101</v>
      </c>
      <c r="B962" s="25" t="s">
        <v>82</v>
      </c>
      <c r="C962" s="39" t="str">
        <f t="shared" si="28"/>
        <v>205</v>
      </c>
      <c r="D962" s="39" t="str">
        <f t="shared" si="29"/>
        <v>20509</v>
      </c>
      <c r="E962" s="39">
        <f>IF(ISNA(VLOOKUP(F962,'2020功能科目'!A:B,2,FALSE)),"",VLOOKUP(F962,'2020功能科目'!A:B,2,FALSE))</f>
        <v>2050999</v>
      </c>
      <c r="F962" s="25" t="s">
        <v>394</v>
      </c>
      <c r="G962" s="26">
        <v>79282300.939999998</v>
      </c>
      <c r="H962" s="26">
        <v>94484898.5</v>
      </c>
    </row>
    <row r="963" spans="1:8">
      <c r="A963" s="24">
        <v>255101</v>
      </c>
      <c r="B963" s="25" t="s">
        <v>82</v>
      </c>
      <c r="C963" s="39" t="str">
        <f t="shared" ref="C963:C1026" si="30">LEFT(D963,3)</f>
        <v>208</v>
      </c>
      <c r="D963" s="39" t="str">
        <f t="shared" ref="D963:D1026" si="31">LEFT(E963,5)</f>
        <v>20805</v>
      </c>
      <c r="E963" s="39">
        <f>IF(ISNA(VLOOKUP(F963,'2020功能科目'!A:B,2,FALSE)),"",VLOOKUP(F963,'2020功能科目'!A:B,2,FALSE))</f>
        <v>2080502</v>
      </c>
      <c r="F963" s="25" t="s">
        <v>381</v>
      </c>
      <c r="G963" s="26">
        <v>126048.93</v>
      </c>
      <c r="H963" s="26">
        <v>121300</v>
      </c>
    </row>
    <row r="964" spans="1:8">
      <c r="A964" s="24">
        <v>255101</v>
      </c>
      <c r="B964" s="25" t="s">
        <v>82</v>
      </c>
      <c r="C964" s="39" t="str">
        <f t="shared" si="30"/>
        <v>208</v>
      </c>
      <c r="D964" s="39" t="str">
        <f t="shared" si="31"/>
        <v>20805</v>
      </c>
      <c r="E964" s="39">
        <f>IF(ISNA(VLOOKUP(F964,'2020功能科目'!A:B,2,FALSE)),"",VLOOKUP(F964,'2020功能科目'!A:B,2,FALSE))</f>
        <v>2080505</v>
      </c>
      <c r="F964" s="25" t="s">
        <v>382</v>
      </c>
      <c r="G964" s="26">
        <v>450218.72</v>
      </c>
      <c r="H964" s="26">
        <v>407189.44</v>
      </c>
    </row>
    <row r="965" spans="1:8">
      <c r="A965" s="24">
        <v>255101</v>
      </c>
      <c r="B965" s="25" t="s">
        <v>82</v>
      </c>
      <c r="C965" s="39" t="str">
        <f t="shared" si="30"/>
        <v>208</v>
      </c>
      <c r="D965" s="39" t="str">
        <f t="shared" si="31"/>
        <v>20805</v>
      </c>
      <c r="E965" s="39">
        <f>IF(ISNA(VLOOKUP(F965,'2020功能科目'!A:B,2,FALSE)),"",VLOOKUP(F965,'2020功能科目'!A:B,2,FALSE))</f>
        <v>2080506</v>
      </c>
      <c r="F965" s="25" t="s">
        <v>383</v>
      </c>
      <c r="G965" s="26">
        <v>225109.36</v>
      </c>
      <c r="H965" s="26">
        <v>203594.72</v>
      </c>
    </row>
    <row r="966" spans="1:8">
      <c r="A966" s="24">
        <v>255101</v>
      </c>
      <c r="B966" s="25" t="s">
        <v>82</v>
      </c>
      <c r="C966" s="39" t="str">
        <f t="shared" si="30"/>
        <v>208</v>
      </c>
      <c r="D966" s="39" t="str">
        <f t="shared" si="31"/>
        <v>20808</v>
      </c>
      <c r="E966" s="39">
        <f>IF(ISNA(VLOOKUP(F966,'2020功能科目'!A:B,2,FALSE)),"",VLOOKUP(F966,'2020功能科目'!A:B,2,FALSE))</f>
        <v>2080801</v>
      </c>
      <c r="F966" s="25" t="s">
        <v>384</v>
      </c>
      <c r="G966" s="26">
        <v>171958</v>
      </c>
      <c r="H966" s="26">
        <v>0</v>
      </c>
    </row>
    <row r="967" spans="1:8">
      <c r="A967" s="24">
        <v>255101</v>
      </c>
      <c r="B967" s="25" t="s">
        <v>82</v>
      </c>
      <c r="C967" s="39" t="str">
        <f t="shared" si="30"/>
        <v>210</v>
      </c>
      <c r="D967" s="39" t="str">
        <f t="shared" si="31"/>
        <v>21011</v>
      </c>
      <c r="E967" s="39">
        <f>IF(ISNA(VLOOKUP(F967,'2020功能科目'!A:B,2,FALSE)),"",VLOOKUP(F967,'2020功能科目'!A:B,2,FALSE))</f>
        <v>2101102</v>
      </c>
      <c r="F967" s="25" t="s">
        <v>385</v>
      </c>
      <c r="G967" s="26">
        <v>375608.66</v>
      </c>
      <c r="H967" s="26">
        <v>330841.42</v>
      </c>
    </row>
    <row r="968" spans="1:8">
      <c r="A968" s="24">
        <v>255101</v>
      </c>
      <c r="B968" s="25" t="s">
        <v>82</v>
      </c>
      <c r="C968" s="39" t="str">
        <f t="shared" si="30"/>
        <v>221</v>
      </c>
      <c r="D968" s="39" t="str">
        <f t="shared" si="31"/>
        <v>22102</v>
      </c>
      <c r="E968" s="39">
        <f>IF(ISNA(VLOOKUP(F968,'2020功能科目'!A:B,2,FALSE)),"",VLOOKUP(F968,'2020功能科目'!A:B,2,FALSE))</f>
        <v>2210201</v>
      </c>
      <c r="F968" s="25" t="s">
        <v>387</v>
      </c>
      <c r="G968" s="26">
        <v>440604</v>
      </c>
      <c r="H968" s="26">
        <v>425392.08</v>
      </c>
    </row>
    <row r="969" spans="1:8">
      <c r="A969" s="24">
        <v>255101</v>
      </c>
      <c r="B969" s="25" t="s">
        <v>82</v>
      </c>
      <c r="C969" s="39" t="str">
        <f t="shared" si="30"/>
        <v>221</v>
      </c>
      <c r="D969" s="39" t="str">
        <f t="shared" si="31"/>
        <v>22102</v>
      </c>
      <c r="E969" s="39">
        <f>IF(ISNA(VLOOKUP(F969,'2020功能科目'!A:B,2,FALSE)),"",VLOOKUP(F969,'2020功能科目'!A:B,2,FALSE))</f>
        <v>2210202</v>
      </c>
      <c r="F969" s="25" t="s">
        <v>388</v>
      </c>
      <c r="G969" s="26">
        <v>29420</v>
      </c>
      <c r="H969" s="26">
        <v>29280</v>
      </c>
    </row>
    <row r="970" spans="1:8">
      <c r="A970" s="24">
        <v>255101</v>
      </c>
      <c r="B970" s="25" t="s">
        <v>82</v>
      </c>
      <c r="C970" s="39" t="str">
        <f t="shared" si="30"/>
        <v>221</v>
      </c>
      <c r="D970" s="39" t="str">
        <f t="shared" si="31"/>
        <v>22102</v>
      </c>
      <c r="E970" s="39">
        <f>IF(ISNA(VLOOKUP(F970,'2020功能科目'!A:B,2,FALSE)),"",VLOOKUP(F970,'2020功能科目'!A:B,2,FALSE))</f>
        <v>2210203</v>
      </c>
      <c r="F970" s="25" t="s">
        <v>389</v>
      </c>
      <c r="G970" s="26">
        <v>357336</v>
      </c>
      <c r="H970" s="26">
        <v>357336</v>
      </c>
    </row>
    <row r="971" spans="1:8">
      <c r="A971" s="24">
        <v>255102</v>
      </c>
      <c r="B971" s="25" t="s">
        <v>83</v>
      </c>
      <c r="C971" s="39" t="str">
        <f t="shared" si="30"/>
        <v>205</v>
      </c>
      <c r="D971" s="39" t="str">
        <f t="shared" si="31"/>
        <v>20502</v>
      </c>
      <c r="E971" s="39">
        <f>IF(ISNA(VLOOKUP(F971,'2020功能科目'!A:B,2,FALSE)),"",VLOOKUP(F971,'2020功能科目'!A:B,2,FALSE))</f>
        <v>2050299</v>
      </c>
      <c r="F971" s="25" t="s">
        <v>377</v>
      </c>
      <c r="G971" s="26">
        <v>4600</v>
      </c>
      <c r="H971" s="26">
        <v>0</v>
      </c>
    </row>
    <row r="972" spans="1:8">
      <c r="A972" s="24">
        <v>255102</v>
      </c>
      <c r="B972" s="25" t="s">
        <v>83</v>
      </c>
      <c r="C972" s="39" t="str">
        <f t="shared" si="30"/>
        <v>205</v>
      </c>
      <c r="D972" s="39" t="str">
        <f t="shared" si="31"/>
        <v>20508</v>
      </c>
      <c r="E972" s="39">
        <f>IF(ISNA(VLOOKUP(F972,'2020功能科目'!A:B,2,FALSE)),"",VLOOKUP(F972,'2020功能科目'!A:B,2,FALSE))</f>
        <v>2050801</v>
      </c>
      <c r="F972" s="25" t="s">
        <v>399</v>
      </c>
      <c r="G972" s="26">
        <v>20569111.239999998</v>
      </c>
      <c r="H972" s="26">
        <v>37692809.43</v>
      </c>
    </row>
    <row r="973" spans="1:8">
      <c r="A973" s="24">
        <v>255102</v>
      </c>
      <c r="B973" s="25" t="s">
        <v>83</v>
      </c>
      <c r="C973" s="39" t="str">
        <f t="shared" si="30"/>
        <v>205</v>
      </c>
      <c r="D973" s="39" t="str">
        <f t="shared" si="31"/>
        <v>20508</v>
      </c>
      <c r="E973" s="39">
        <f>IF(ISNA(VLOOKUP(F973,'2020功能科目'!A:B,2,FALSE)),"",VLOOKUP(F973,'2020功能科目'!A:B,2,FALSE))</f>
        <v>2050803</v>
      </c>
      <c r="F973" s="25" t="s">
        <v>378</v>
      </c>
      <c r="G973" s="26">
        <v>1744.9</v>
      </c>
      <c r="H973" s="26">
        <v>36800</v>
      </c>
    </row>
    <row r="974" spans="1:8">
      <c r="A974" s="24">
        <v>255102</v>
      </c>
      <c r="B974" s="25" t="s">
        <v>83</v>
      </c>
      <c r="C974" s="39" t="str">
        <f t="shared" si="30"/>
        <v>205</v>
      </c>
      <c r="D974" s="39" t="str">
        <f t="shared" si="31"/>
        <v>20509</v>
      </c>
      <c r="E974" s="39">
        <f>IF(ISNA(VLOOKUP(F974,'2020功能科目'!A:B,2,FALSE)),"",VLOOKUP(F974,'2020功能科目'!A:B,2,FALSE))</f>
        <v>2050999</v>
      </c>
      <c r="F974" s="25" t="s">
        <v>394</v>
      </c>
      <c r="G974" s="26">
        <v>2428435</v>
      </c>
      <c r="H974" s="26">
        <v>2434340</v>
      </c>
    </row>
    <row r="975" spans="1:8">
      <c r="A975" s="24">
        <v>255102</v>
      </c>
      <c r="B975" s="25" t="s">
        <v>83</v>
      </c>
      <c r="C975" s="39" t="str">
        <f t="shared" si="30"/>
        <v>208</v>
      </c>
      <c r="D975" s="39" t="str">
        <f t="shared" si="31"/>
        <v>20805</v>
      </c>
      <c r="E975" s="39">
        <f>IF(ISNA(VLOOKUP(F975,'2020功能科目'!A:B,2,FALSE)),"",VLOOKUP(F975,'2020功能科目'!A:B,2,FALSE))</f>
        <v>2080502</v>
      </c>
      <c r="F975" s="25" t="s">
        <v>381</v>
      </c>
      <c r="G975" s="26">
        <v>2538</v>
      </c>
      <c r="H975" s="26">
        <v>0</v>
      </c>
    </row>
    <row r="976" spans="1:8">
      <c r="A976" s="24">
        <v>255102</v>
      </c>
      <c r="B976" s="25" t="s">
        <v>83</v>
      </c>
      <c r="C976" s="39" t="str">
        <f t="shared" si="30"/>
        <v>208</v>
      </c>
      <c r="D976" s="39" t="str">
        <f t="shared" si="31"/>
        <v>20805</v>
      </c>
      <c r="E976" s="39">
        <f>IF(ISNA(VLOOKUP(F976,'2020功能科目'!A:B,2,FALSE)),"",VLOOKUP(F976,'2020功能科目'!A:B,2,FALSE))</f>
        <v>2080505</v>
      </c>
      <c r="F976" s="25" t="s">
        <v>382</v>
      </c>
      <c r="G976" s="26">
        <v>1268153.76</v>
      </c>
      <c r="H976" s="26">
        <v>1169560.96</v>
      </c>
    </row>
    <row r="977" spans="1:8">
      <c r="A977" s="24">
        <v>255102</v>
      </c>
      <c r="B977" s="25" t="s">
        <v>83</v>
      </c>
      <c r="C977" s="39" t="str">
        <f t="shared" si="30"/>
        <v>208</v>
      </c>
      <c r="D977" s="39" t="str">
        <f t="shared" si="31"/>
        <v>20805</v>
      </c>
      <c r="E977" s="39">
        <f>IF(ISNA(VLOOKUP(F977,'2020功能科目'!A:B,2,FALSE)),"",VLOOKUP(F977,'2020功能科目'!A:B,2,FALSE))</f>
        <v>2080506</v>
      </c>
      <c r="F977" s="25" t="s">
        <v>383</v>
      </c>
      <c r="G977" s="26">
        <v>634076.88</v>
      </c>
      <c r="H977" s="26">
        <v>584780.48</v>
      </c>
    </row>
    <row r="978" spans="1:8">
      <c r="A978" s="24">
        <v>255102</v>
      </c>
      <c r="B978" s="25" t="s">
        <v>83</v>
      </c>
      <c r="C978" s="39" t="str">
        <f t="shared" si="30"/>
        <v>210</v>
      </c>
      <c r="D978" s="39" t="str">
        <f t="shared" si="31"/>
        <v>21011</v>
      </c>
      <c r="E978" s="39">
        <f>IF(ISNA(VLOOKUP(F978,'2020功能科目'!A:B,2,FALSE)),"",VLOOKUP(F978,'2020功能科目'!A:B,2,FALSE))</f>
        <v>2101102</v>
      </c>
      <c r="F978" s="25" t="s">
        <v>385</v>
      </c>
      <c r="G978" s="26">
        <v>1271479.8799999999</v>
      </c>
      <c r="H978" s="26">
        <v>950268.28</v>
      </c>
    </row>
    <row r="979" spans="1:8">
      <c r="A979" s="24">
        <v>255102</v>
      </c>
      <c r="B979" s="25" t="s">
        <v>83</v>
      </c>
      <c r="C979" s="39" t="str">
        <f t="shared" si="30"/>
        <v>221</v>
      </c>
      <c r="D979" s="39" t="str">
        <f t="shared" si="31"/>
        <v>22102</v>
      </c>
      <c r="E979" s="39">
        <f>IF(ISNA(VLOOKUP(F979,'2020功能科目'!A:B,2,FALSE)),"",VLOOKUP(F979,'2020功能科目'!A:B,2,FALSE))</f>
        <v>2210201</v>
      </c>
      <c r="F979" s="25" t="s">
        <v>387</v>
      </c>
      <c r="G979" s="26">
        <v>1511490</v>
      </c>
      <c r="H979" s="26">
        <v>1153170.72</v>
      </c>
    </row>
    <row r="980" spans="1:8">
      <c r="A980" s="24">
        <v>255102</v>
      </c>
      <c r="B980" s="25" t="s">
        <v>83</v>
      </c>
      <c r="C980" s="39" t="str">
        <f t="shared" si="30"/>
        <v>221</v>
      </c>
      <c r="D980" s="39" t="str">
        <f t="shared" si="31"/>
        <v>22102</v>
      </c>
      <c r="E980" s="39">
        <f>IF(ISNA(VLOOKUP(F980,'2020功能科目'!A:B,2,FALSE)),"",VLOOKUP(F980,'2020功能科目'!A:B,2,FALSE))</f>
        <v>2210202</v>
      </c>
      <c r="F980" s="25" t="s">
        <v>388</v>
      </c>
      <c r="G980" s="26">
        <v>49040</v>
      </c>
      <c r="H980" s="26">
        <v>48840</v>
      </c>
    </row>
    <row r="981" spans="1:8">
      <c r="A981" s="24">
        <v>255102</v>
      </c>
      <c r="B981" s="25" t="s">
        <v>83</v>
      </c>
      <c r="C981" s="39" t="str">
        <f t="shared" si="30"/>
        <v>221</v>
      </c>
      <c r="D981" s="39" t="str">
        <f t="shared" si="31"/>
        <v>22102</v>
      </c>
      <c r="E981" s="39">
        <f>IF(ISNA(VLOOKUP(F981,'2020功能科目'!A:B,2,FALSE)),"",VLOOKUP(F981,'2020功能科目'!A:B,2,FALSE))</f>
        <v>2210203</v>
      </c>
      <c r="F981" s="25" t="s">
        <v>389</v>
      </c>
      <c r="G981" s="26">
        <v>1006152</v>
      </c>
      <c r="H981" s="26">
        <v>1006152</v>
      </c>
    </row>
    <row r="982" spans="1:8">
      <c r="A982" s="24">
        <v>255103</v>
      </c>
      <c r="B982" s="25" t="s">
        <v>84</v>
      </c>
      <c r="C982" s="39" t="str">
        <f t="shared" si="30"/>
        <v>205</v>
      </c>
      <c r="D982" s="39" t="str">
        <f t="shared" si="31"/>
        <v>20502</v>
      </c>
      <c r="E982" s="39">
        <f>IF(ISNA(VLOOKUP(F982,'2020功能科目'!A:B,2,FALSE)),"",VLOOKUP(F982,'2020功能科目'!A:B,2,FALSE))</f>
        <v>2050299</v>
      </c>
      <c r="F982" s="25" t="s">
        <v>377</v>
      </c>
      <c r="G982" s="26">
        <v>12252413.460000001</v>
      </c>
      <c r="H982" s="26">
        <v>11876720.99</v>
      </c>
    </row>
    <row r="983" spans="1:8">
      <c r="A983" s="24">
        <v>255103</v>
      </c>
      <c r="B983" s="25" t="s">
        <v>84</v>
      </c>
      <c r="C983" s="39" t="str">
        <f t="shared" si="30"/>
        <v>205</v>
      </c>
      <c r="D983" s="39" t="str">
        <f t="shared" si="31"/>
        <v>20508</v>
      </c>
      <c r="E983" s="39">
        <f>IF(ISNA(VLOOKUP(F983,'2020功能科目'!A:B,2,FALSE)),"",VLOOKUP(F983,'2020功能科目'!A:B,2,FALSE))</f>
        <v>2050803</v>
      </c>
      <c r="F983" s="25" t="s">
        <v>378</v>
      </c>
      <c r="G983" s="26">
        <v>0</v>
      </c>
      <c r="H983" s="26">
        <v>35200</v>
      </c>
    </row>
    <row r="984" spans="1:8">
      <c r="A984" s="24">
        <v>255103</v>
      </c>
      <c r="B984" s="25" t="s">
        <v>84</v>
      </c>
      <c r="C984" s="39" t="str">
        <f t="shared" si="30"/>
        <v>205</v>
      </c>
      <c r="D984" s="39" t="str">
        <f t="shared" si="31"/>
        <v>20509</v>
      </c>
      <c r="E984" s="39">
        <f>IF(ISNA(VLOOKUP(F984,'2020功能科目'!A:B,2,FALSE)),"",VLOOKUP(F984,'2020功能科目'!A:B,2,FALSE))</f>
        <v>2050999</v>
      </c>
      <c r="F984" s="25" t="s">
        <v>394</v>
      </c>
      <c r="G984" s="26">
        <v>1217063.79</v>
      </c>
      <c r="H984" s="26">
        <v>1217601</v>
      </c>
    </row>
    <row r="985" spans="1:8">
      <c r="A985" s="24">
        <v>255103</v>
      </c>
      <c r="B985" s="25" t="s">
        <v>84</v>
      </c>
      <c r="C985" s="39" t="str">
        <f t="shared" si="30"/>
        <v>208</v>
      </c>
      <c r="D985" s="39" t="str">
        <f t="shared" si="31"/>
        <v>20805</v>
      </c>
      <c r="E985" s="39">
        <f>IF(ISNA(VLOOKUP(F985,'2020功能科目'!A:B,2,FALSE)),"",VLOOKUP(F985,'2020功能科目'!A:B,2,FALSE))</f>
        <v>2080502</v>
      </c>
      <c r="F985" s="25" t="s">
        <v>381</v>
      </c>
      <c r="G985" s="26">
        <v>376269.3</v>
      </c>
      <c r="H985" s="26">
        <v>381220</v>
      </c>
    </row>
    <row r="986" spans="1:8">
      <c r="A986" s="24">
        <v>255103</v>
      </c>
      <c r="B986" s="25" t="s">
        <v>84</v>
      </c>
      <c r="C986" s="39" t="str">
        <f t="shared" si="30"/>
        <v>208</v>
      </c>
      <c r="D986" s="39" t="str">
        <f t="shared" si="31"/>
        <v>20805</v>
      </c>
      <c r="E986" s="39">
        <f>IF(ISNA(VLOOKUP(F986,'2020功能科目'!A:B,2,FALSE)),"",VLOOKUP(F986,'2020功能科目'!A:B,2,FALSE))</f>
        <v>2080505</v>
      </c>
      <c r="F986" s="25" t="s">
        <v>382</v>
      </c>
      <c r="G986" s="26">
        <v>985598.7</v>
      </c>
      <c r="H986" s="26">
        <v>1036812.16</v>
      </c>
    </row>
    <row r="987" spans="1:8">
      <c r="A987" s="24">
        <v>255103</v>
      </c>
      <c r="B987" s="25" t="s">
        <v>84</v>
      </c>
      <c r="C987" s="39" t="str">
        <f t="shared" si="30"/>
        <v>208</v>
      </c>
      <c r="D987" s="39" t="str">
        <f t="shared" si="31"/>
        <v>20805</v>
      </c>
      <c r="E987" s="39">
        <f>IF(ISNA(VLOOKUP(F987,'2020功能科目'!A:B,2,FALSE)),"",VLOOKUP(F987,'2020功能科目'!A:B,2,FALSE))</f>
        <v>2080506</v>
      </c>
      <c r="F987" s="25" t="s">
        <v>383</v>
      </c>
      <c r="G987" s="26">
        <v>492799.35</v>
      </c>
      <c r="H987" s="26">
        <v>518406.08</v>
      </c>
    </row>
    <row r="988" spans="1:8">
      <c r="A988" s="24">
        <v>255103</v>
      </c>
      <c r="B988" s="25" t="s">
        <v>84</v>
      </c>
      <c r="C988" s="39" t="str">
        <f t="shared" si="30"/>
        <v>210</v>
      </c>
      <c r="D988" s="39" t="str">
        <f t="shared" si="31"/>
        <v>21011</v>
      </c>
      <c r="E988" s="39">
        <f>IF(ISNA(VLOOKUP(F988,'2020功能科目'!A:B,2,FALSE)),"",VLOOKUP(F988,'2020功能科目'!A:B,2,FALSE))</f>
        <v>2101102</v>
      </c>
      <c r="F988" s="25" t="s">
        <v>385</v>
      </c>
      <c r="G988" s="26">
        <v>822258.54</v>
      </c>
      <c r="H988" s="26">
        <v>842409.88</v>
      </c>
    </row>
    <row r="989" spans="1:8">
      <c r="A989" s="24">
        <v>255103</v>
      </c>
      <c r="B989" s="25" t="s">
        <v>84</v>
      </c>
      <c r="C989" s="39" t="str">
        <f t="shared" si="30"/>
        <v>221</v>
      </c>
      <c r="D989" s="39" t="str">
        <f t="shared" si="31"/>
        <v>22102</v>
      </c>
      <c r="E989" s="39">
        <f>IF(ISNA(VLOOKUP(F989,'2020功能科目'!A:B,2,FALSE)),"",VLOOKUP(F989,'2020功能科目'!A:B,2,FALSE))</f>
        <v>2210201</v>
      </c>
      <c r="F989" s="25" t="s">
        <v>387</v>
      </c>
      <c r="G989" s="26">
        <v>1051806</v>
      </c>
      <c r="H989" s="26">
        <v>1041609.12</v>
      </c>
    </row>
    <row r="990" spans="1:8">
      <c r="A990" s="24">
        <v>255103</v>
      </c>
      <c r="B990" s="25" t="s">
        <v>84</v>
      </c>
      <c r="C990" s="39" t="str">
        <f t="shared" si="30"/>
        <v>221</v>
      </c>
      <c r="D990" s="39" t="str">
        <f t="shared" si="31"/>
        <v>22102</v>
      </c>
      <c r="E990" s="39">
        <f>IF(ISNA(VLOOKUP(F990,'2020功能科目'!A:B,2,FALSE)),"",VLOOKUP(F990,'2020功能科目'!A:B,2,FALSE))</f>
        <v>2210202</v>
      </c>
      <c r="F990" s="25" t="s">
        <v>388</v>
      </c>
      <c r="G990" s="26">
        <v>76860</v>
      </c>
      <c r="H990" s="26">
        <v>76440</v>
      </c>
    </row>
    <row r="991" spans="1:8">
      <c r="A991" s="24">
        <v>255103</v>
      </c>
      <c r="B991" s="25" t="s">
        <v>84</v>
      </c>
      <c r="C991" s="39" t="str">
        <f t="shared" si="30"/>
        <v>221</v>
      </c>
      <c r="D991" s="39" t="str">
        <f t="shared" si="31"/>
        <v>22102</v>
      </c>
      <c r="E991" s="39">
        <f>IF(ISNA(VLOOKUP(F991,'2020功能科目'!A:B,2,FALSE)),"",VLOOKUP(F991,'2020功能科目'!A:B,2,FALSE))</f>
        <v>2210203</v>
      </c>
      <c r="F991" s="25" t="s">
        <v>389</v>
      </c>
      <c r="G991" s="26">
        <v>1122934</v>
      </c>
      <c r="H991" s="26">
        <v>1122936</v>
      </c>
    </row>
    <row r="992" spans="1:8">
      <c r="A992" s="24">
        <v>255106</v>
      </c>
      <c r="B992" s="25" t="s">
        <v>85</v>
      </c>
      <c r="C992" s="39" t="str">
        <f t="shared" si="30"/>
        <v>205</v>
      </c>
      <c r="D992" s="39" t="str">
        <f t="shared" si="31"/>
        <v>20502</v>
      </c>
      <c r="E992" s="39">
        <f>IF(ISNA(VLOOKUP(F992,'2020功能科目'!A:B,2,FALSE)),"",VLOOKUP(F992,'2020功能科目'!A:B,2,FALSE))</f>
        <v>2050299</v>
      </c>
      <c r="F992" s="25" t="s">
        <v>377</v>
      </c>
      <c r="G992" s="26">
        <v>3911509.91</v>
      </c>
      <c r="H992" s="26">
        <v>3835053.79</v>
      </c>
    </row>
    <row r="993" spans="1:8">
      <c r="A993" s="24">
        <v>255106</v>
      </c>
      <c r="B993" s="25" t="s">
        <v>85</v>
      </c>
      <c r="C993" s="39" t="str">
        <f t="shared" si="30"/>
        <v>205</v>
      </c>
      <c r="D993" s="39" t="str">
        <f t="shared" si="31"/>
        <v>20508</v>
      </c>
      <c r="E993" s="39">
        <f>IF(ISNA(VLOOKUP(F993,'2020功能科目'!A:B,2,FALSE)),"",VLOOKUP(F993,'2020功能科目'!A:B,2,FALSE))</f>
        <v>2050803</v>
      </c>
      <c r="F993" s="25" t="s">
        <v>378</v>
      </c>
      <c r="G993" s="26">
        <v>50</v>
      </c>
      <c r="H993" s="26">
        <v>13600</v>
      </c>
    </row>
    <row r="994" spans="1:8">
      <c r="A994" s="24">
        <v>255106</v>
      </c>
      <c r="B994" s="25" t="s">
        <v>85</v>
      </c>
      <c r="C994" s="39" t="str">
        <f t="shared" si="30"/>
        <v>208</v>
      </c>
      <c r="D994" s="39" t="str">
        <f t="shared" si="31"/>
        <v>20805</v>
      </c>
      <c r="E994" s="39">
        <f>IF(ISNA(VLOOKUP(F994,'2020功能科目'!A:B,2,FALSE)),"",VLOOKUP(F994,'2020功能科目'!A:B,2,FALSE))</f>
        <v>2080502</v>
      </c>
      <c r="F994" s="25" t="s">
        <v>381</v>
      </c>
      <c r="G994" s="26">
        <v>229678.1</v>
      </c>
      <c r="H994" s="26">
        <v>224976</v>
      </c>
    </row>
    <row r="995" spans="1:8">
      <c r="A995" s="24">
        <v>255106</v>
      </c>
      <c r="B995" s="25" t="s">
        <v>85</v>
      </c>
      <c r="C995" s="39" t="str">
        <f t="shared" si="30"/>
        <v>208</v>
      </c>
      <c r="D995" s="39" t="str">
        <f t="shared" si="31"/>
        <v>20805</v>
      </c>
      <c r="E995" s="39">
        <f>IF(ISNA(VLOOKUP(F995,'2020功能科目'!A:B,2,FALSE)),"",VLOOKUP(F995,'2020功能科目'!A:B,2,FALSE))</f>
        <v>2080505</v>
      </c>
      <c r="F995" s="25" t="s">
        <v>382</v>
      </c>
      <c r="G995" s="26">
        <v>400906.08</v>
      </c>
      <c r="H995" s="26">
        <v>388283.84</v>
      </c>
    </row>
    <row r="996" spans="1:8">
      <c r="A996" s="24">
        <v>255106</v>
      </c>
      <c r="B996" s="25" t="s">
        <v>85</v>
      </c>
      <c r="C996" s="39" t="str">
        <f t="shared" si="30"/>
        <v>208</v>
      </c>
      <c r="D996" s="39" t="str">
        <f t="shared" si="31"/>
        <v>20805</v>
      </c>
      <c r="E996" s="39">
        <f>IF(ISNA(VLOOKUP(F996,'2020功能科目'!A:B,2,FALSE)),"",VLOOKUP(F996,'2020功能科目'!A:B,2,FALSE))</f>
        <v>2080506</v>
      </c>
      <c r="F996" s="25" t="s">
        <v>383</v>
      </c>
      <c r="G996" s="26">
        <v>200453.04</v>
      </c>
      <c r="H996" s="26">
        <v>194141.92</v>
      </c>
    </row>
    <row r="997" spans="1:8">
      <c r="A997" s="24">
        <v>255106</v>
      </c>
      <c r="B997" s="25" t="s">
        <v>85</v>
      </c>
      <c r="C997" s="39" t="str">
        <f t="shared" si="30"/>
        <v>210</v>
      </c>
      <c r="D997" s="39" t="str">
        <f t="shared" si="31"/>
        <v>21011</v>
      </c>
      <c r="E997" s="39">
        <f>IF(ISNA(VLOOKUP(F997,'2020功能科目'!A:B,2,FALSE)),"",VLOOKUP(F997,'2020功能科目'!A:B,2,FALSE))</f>
        <v>2101102</v>
      </c>
      <c r="F997" s="25" t="s">
        <v>385</v>
      </c>
      <c r="G997" s="26">
        <v>333112.42</v>
      </c>
      <c r="H997" s="26">
        <v>315480.62</v>
      </c>
    </row>
    <row r="998" spans="1:8">
      <c r="A998" s="24">
        <v>255106</v>
      </c>
      <c r="B998" s="25" t="s">
        <v>85</v>
      </c>
      <c r="C998" s="39" t="str">
        <f t="shared" si="30"/>
        <v>221</v>
      </c>
      <c r="D998" s="39" t="str">
        <f t="shared" si="31"/>
        <v>22102</v>
      </c>
      <c r="E998" s="39">
        <f>IF(ISNA(VLOOKUP(F998,'2020功能科目'!A:B,2,FALSE)),"",VLOOKUP(F998,'2020功能科目'!A:B,2,FALSE))</f>
        <v>2210201</v>
      </c>
      <c r="F998" s="25" t="s">
        <v>387</v>
      </c>
      <c r="G998" s="26">
        <v>412032</v>
      </c>
      <c r="H998" s="26">
        <v>393212.88</v>
      </c>
    </row>
    <row r="999" spans="1:8">
      <c r="A999" s="24">
        <v>255106</v>
      </c>
      <c r="B999" s="25" t="s">
        <v>85</v>
      </c>
      <c r="C999" s="39" t="str">
        <f t="shared" si="30"/>
        <v>221</v>
      </c>
      <c r="D999" s="39" t="str">
        <f t="shared" si="31"/>
        <v>22102</v>
      </c>
      <c r="E999" s="39">
        <f>IF(ISNA(VLOOKUP(F999,'2020功能科目'!A:B,2,FALSE)),"",VLOOKUP(F999,'2020功能科目'!A:B,2,FALSE))</f>
        <v>2210202</v>
      </c>
      <c r="F999" s="25" t="s">
        <v>388</v>
      </c>
      <c r="G999" s="26">
        <v>35160</v>
      </c>
      <c r="H999" s="26">
        <v>36360</v>
      </c>
    </row>
    <row r="1000" spans="1:8">
      <c r="A1000" s="24">
        <v>255106</v>
      </c>
      <c r="B1000" s="25" t="s">
        <v>85</v>
      </c>
      <c r="C1000" s="39" t="str">
        <f t="shared" si="30"/>
        <v>221</v>
      </c>
      <c r="D1000" s="39" t="str">
        <f t="shared" si="31"/>
        <v>22102</v>
      </c>
      <c r="E1000" s="39">
        <f>IF(ISNA(VLOOKUP(F1000,'2020功能科目'!A:B,2,FALSE)),"",VLOOKUP(F1000,'2020功能科目'!A:B,2,FALSE))</f>
        <v>2210203</v>
      </c>
      <c r="F1000" s="25" t="s">
        <v>389</v>
      </c>
      <c r="G1000" s="26">
        <v>309672</v>
      </c>
      <c r="H1000" s="26">
        <v>357624</v>
      </c>
    </row>
    <row r="1001" spans="1:8">
      <c r="A1001" s="24">
        <v>255108</v>
      </c>
      <c r="B1001" s="25" t="s">
        <v>86</v>
      </c>
      <c r="C1001" s="39" t="str">
        <f t="shared" si="30"/>
        <v>205</v>
      </c>
      <c r="D1001" s="39" t="str">
        <f t="shared" si="31"/>
        <v>20502</v>
      </c>
      <c r="E1001" s="39">
        <f>IF(ISNA(VLOOKUP(F1001,'2020功能科目'!A:B,2,FALSE)),"",VLOOKUP(F1001,'2020功能科目'!A:B,2,FALSE))</f>
        <v>2050299</v>
      </c>
      <c r="F1001" s="25" t="s">
        <v>377</v>
      </c>
      <c r="G1001" s="26">
        <v>1988433.83</v>
      </c>
      <c r="H1001" s="26">
        <v>1636653.5</v>
      </c>
    </row>
    <row r="1002" spans="1:8">
      <c r="A1002" s="24">
        <v>255108</v>
      </c>
      <c r="B1002" s="25" t="s">
        <v>86</v>
      </c>
      <c r="C1002" s="39" t="str">
        <f t="shared" si="30"/>
        <v>205</v>
      </c>
      <c r="D1002" s="39" t="str">
        <f t="shared" si="31"/>
        <v>20508</v>
      </c>
      <c r="E1002" s="39">
        <f>IF(ISNA(VLOOKUP(F1002,'2020功能科目'!A:B,2,FALSE)),"",VLOOKUP(F1002,'2020功能科目'!A:B,2,FALSE))</f>
        <v>2050803</v>
      </c>
      <c r="F1002" s="25" t="s">
        <v>378</v>
      </c>
      <c r="G1002" s="26">
        <v>0</v>
      </c>
      <c r="H1002" s="26">
        <v>6400</v>
      </c>
    </row>
    <row r="1003" spans="1:8">
      <c r="A1003" s="24">
        <v>255108</v>
      </c>
      <c r="B1003" s="25" t="s">
        <v>86</v>
      </c>
      <c r="C1003" s="39" t="str">
        <f t="shared" si="30"/>
        <v>208</v>
      </c>
      <c r="D1003" s="39" t="str">
        <f t="shared" si="31"/>
        <v>20805</v>
      </c>
      <c r="E1003" s="39">
        <f>IF(ISNA(VLOOKUP(F1003,'2020功能科目'!A:B,2,FALSE)),"",VLOOKUP(F1003,'2020功能科目'!A:B,2,FALSE))</f>
        <v>2080505</v>
      </c>
      <c r="F1003" s="25" t="s">
        <v>382</v>
      </c>
      <c r="G1003" s="26">
        <v>162495.79999999999</v>
      </c>
      <c r="H1003" s="26">
        <v>152100.78</v>
      </c>
    </row>
    <row r="1004" spans="1:8">
      <c r="A1004" s="24">
        <v>255108</v>
      </c>
      <c r="B1004" s="25" t="s">
        <v>86</v>
      </c>
      <c r="C1004" s="39" t="str">
        <f t="shared" si="30"/>
        <v>208</v>
      </c>
      <c r="D1004" s="39" t="str">
        <f t="shared" si="31"/>
        <v>20805</v>
      </c>
      <c r="E1004" s="39">
        <f>IF(ISNA(VLOOKUP(F1004,'2020功能科目'!A:B,2,FALSE)),"",VLOOKUP(F1004,'2020功能科目'!A:B,2,FALSE))</f>
        <v>2080506</v>
      </c>
      <c r="F1004" s="25" t="s">
        <v>383</v>
      </c>
      <c r="G1004" s="26">
        <v>81141.600000000006</v>
      </c>
      <c r="H1004" s="26">
        <v>76050.39</v>
      </c>
    </row>
    <row r="1005" spans="1:8">
      <c r="A1005" s="24">
        <v>255108</v>
      </c>
      <c r="B1005" s="25" t="s">
        <v>86</v>
      </c>
      <c r="C1005" s="39" t="str">
        <f t="shared" si="30"/>
        <v>210</v>
      </c>
      <c r="D1005" s="39" t="str">
        <f t="shared" si="31"/>
        <v>21011</v>
      </c>
      <c r="E1005" s="39">
        <f>IF(ISNA(VLOOKUP(F1005,'2020功能科目'!A:B,2,FALSE)),"",VLOOKUP(F1005,'2020功能科目'!A:B,2,FALSE))</f>
        <v>2101102</v>
      </c>
      <c r="F1005" s="25" t="s">
        <v>385</v>
      </c>
      <c r="G1005" s="26">
        <v>156041.98000000001</v>
      </c>
      <c r="H1005" s="26">
        <v>123581.88</v>
      </c>
    </row>
    <row r="1006" spans="1:8">
      <c r="A1006" s="24">
        <v>255108</v>
      </c>
      <c r="B1006" s="25" t="s">
        <v>86</v>
      </c>
      <c r="C1006" s="39" t="str">
        <f t="shared" si="30"/>
        <v>221</v>
      </c>
      <c r="D1006" s="39" t="str">
        <f t="shared" si="31"/>
        <v>22102</v>
      </c>
      <c r="E1006" s="39">
        <f>IF(ISNA(VLOOKUP(F1006,'2020功能科目'!A:B,2,FALSE)),"",VLOOKUP(F1006,'2020功能科目'!A:B,2,FALSE))</f>
        <v>2210201</v>
      </c>
      <c r="F1006" s="25" t="s">
        <v>387</v>
      </c>
      <c r="G1006" s="26">
        <v>196529</v>
      </c>
      <c r="H1006" s="26">
        <v>162075.59</v>
      </c>
    </row>
    <row r="1007" spans="1:8">
      <c r="A1007" s="24">
        <v>255108</v>
      </c>
      <c r="B1007" s="25" t="s">
        <v>86</v>
      </c>
      <c r="C1007" s="39" t="str">
        <f t="shared" si="30"/>
        <v>221</v>
      </c>
      <c r="D1007" s="39" t="str">
        <f t="shared" si="31"/>
        <v>22102</v>
      </c>
      <c r="E1007" s="39">
        <f>IF(ISNA(VLOOKUP(F1007,'2020功能科目'!A:B,2,FALSE)),"",VLOOKUP(F1007,'2020功能科目'!A:B,2,FALSE))</f>
        <v>2210202</v>
      </c>
      <c r="F1007" s="25" t="s">
        <v>388</v>
      </c>
      <c r="G1007" s="26">
        <v>7440</v>
      </c>
      <c r="H1007" s="26">
        <v>7440</v>
      </c>
    </row>
    <row r="1008" spans="1:8">
      <c r="A1008" s="24">
        <v>255108</v>
      </c>
      <c r="B1008" s="25" t="s">
        <v>86</v>
      </c>
      <c r="C1008" s="39" t="str">
        <f t="shared" si="30"/>
        <v>221</v>
      </c>
      <c r="D1008" s="39" t="str">
        <f t="shared" si="31"/>
        <v>22102</v>
      </c>
      <c r="E1008" s="39">
        <f>IF(ISNA(VLOOKUP(F1008,'2020功能科目'!A:B,2,FALSE)),"",VLOOKUP(F1008,'2020功能科目'!A:B,2,FALSE))</f>
        <v>2210203</v>
      </c>
      <c r="F1008" s="25" t="s">
        <v>389</v>
      </c>
      <c r="G1008" s="26">
        <v>155576</v>
      </c>
      <c r="H1008" s="26">
        <v>154992</v>
      </c>
    </row>
    <row r="1009" spans="1:8">
      <c r="A1009" s="24">
        <v>255109</v>
      </c>
      <c r="B1009" s="25" t="s">
        <v>87</v>
      </c>
      <c r="C1009" s="39" t="str">
        <f t="shared" si="30"/>
        <v>205</v>
      </c>
      <c r="D1009" s="39" t="str">
        <f t="shared" si="31"/>
        <v>20502</v>
      </c>
      <c r="E1009" s="39">
        <f>IF(ISNA(VLOOKUP(F1009,'2020功能科目'!A:B,2,FALSE)),"",VLOOKUP(F1009,'2020功能科目'!A:B,2,FALSE))</f>
        <v>2050299</v>
      </c>
      <c r="F1009" s="25" t="s">
        <v>377</v>
      </c>
      <c r="G1009" s="26">
        <v>22138054.390000001</v>
      </c>
      <c r="H1009" s="26">
        <v>22324307.84</v>
      </c>
    </row>
    <row r="1010" spans="1:8">
      <c r="A1010" s="24">
        <v>255109</v>
      </c>
      <c r="B1010" s="25" t="s">
        <v>87</v>
      </c>
      <c r="C1010" s="39" t="str">
        <f t="shared" si="30"/>
        <v>205</v>
      </c>
      <c r="D1010" s="39" t="str">
        <f t="shared" si="31"/>
        <v>20508</v>
      </c>
      <c r="E1010" s="39">
        <f>IF(ISNA(VLOOKUP(F1010,'2020功能科目'!A:B,2,FALSE)),"",VLOOKUP(F1010,'2020功能科目'!A:B,2,FALSE))</f>
        <v>2050803</v>
      </c>
      <c r="F1010" s="25" t="s">
        <v>378</v>
      </c>
      <c r="G1010" s="26">
        <v>15200</v>
      </c>
      <c r="H1010" s="26">
        <v>30400</v>
      </c>
    </row>
    <row r="1011" spans="1:8">
      <c r="A1011" s="24">
        <v>255109</v>
      </c>
      <c r="B1011" s="25" t="s">
        <v>87</v>
      </c>
      <c r="C1011" s="39" t="str">
        <f t="shared" si="30"/>
        <v>205</v>
      </c>
      <c r="D1011" s="39" t="str">
        <f t="shared" si="31"/>
        <v>20509</v>
      </c>
      <c r="E1011" s="39">
        <f>IF(ISNA(VLOOKUP(F1011,'2020功能科目'!A:B,2,FALSE)),"",VLOOKUP(F1011,'2020功能科目'!A:B,2,FALSE))</f>
        <v>2050999</v>
      </c>
      <c r="F1011" s="25" t="s">
        <v>394</v>
      </c>
      <c r="G1011" s="26">
        <v>23352996.800000001</v>
      </c>
      <c r="H1011" s="26">
        <v>23407719</v>
      </c>
    </row>
    <row r="1012" spans="1:8">
      <c r="A1012" s="24">
        <v>255109</v>
      </c>
      <c r="B1012" s="25" t="s">
        <v>87</v>
      </c>
      <c r="C1012" s="39" t="str">
        <f t="shared" si="30"/>
        <v>208</v>
      </c>
      <c r="D1012" s="39" t="str">
        <f t="shared" si="31"/>
        <v>20805</v>
      </c>
      <c r="E1012" s="39">
        <f>IF(ISNA(VLOOKUP(F1012,'2020功能科目'!A:B,2,FALSE)),"",VLOOKUP(F1012,'2020功能科目'!A:B,2,FALSE))</f>
        <v>2080502</v>
      </c>
      <c r="F1012" s="25" t="s">
        <v>381</v>
      </c>
      <c r="G1012" s="26">
        <v>318368</v>
      </c>
      <c r="H1012" s="26">
        <v>320768</v>
      </c>
    </row>
    <row r="1013" spans="1:8">
      <c r="A1013" s="24">
        <v>255109</v>
      </c>
      <c r="B1013" s="25" t="s">
        <v>87</v>
      </c>
      <c r="C1013" s="39" t="str">
        <f t="shared" si="30"/>
        <v>208</v>
      </c>
      <c r="D1013" s="39" t="str">
        <f t="shared" si="31"/>
        <v>20805</v>
      </c>
      <c r="E1013" s="39">
        <f>IF(ISNA(VLOOKUP(F1013,'2020功能科目'!A:B,2,FALSE)),"",VLOOKUP(F1013,'2020功能科目'!A:B,2,FALSE))</f>
        <v>2080505</v>
      </c>
      <c r="F1013" s="25" t="s">
        <v>382</v>
      </c>
      <c r="G1013" s="26">
        <v>1123123.2</v>
      </c>
      <c r="H1013" s="26">
        <v>881180.8</v>
      </c>
    </row>
    <row r="1014" spans="1:8">
      <c r="A1014" s="24">
        <v>255109</v>
      </c>
      <c r="B1014" s="25" t="s">
        <v>87</v>
      </c>
      <c r="C1014" s="39" t="str">
        <f t="shared" si="30"/>
        <v>208</v>
      </c>
      <c r="D1014" s="39" t="str">
        <f t="shared" si="31"/>
        <v>20805</v>
      </c>
      <c r="E1014" s="39">
        <f>IF(ISNA(VLOOKUP(F1014,'2020功能科目'!A:B,2,FALSE)),"",VLOOKUP(F1014,'2020功能科目'!A:B,2,FALSE))</f>
        <v>2080506</v>
      </c>
      <c r="F1014" s="25" t="s">
        <v>383</v>
      </c>
      <c r="G1014" s="26">
        <v>508997.12</v>
      </c>
      <c r="H1014" s="26">
        <v>440590.4</v>
      </c>
    </row>
    <row r="1015" spans="1:8">
      <c r="A1015" s="24">
        <v>255109</v>
      </c>
      <c r="B1015" s="25" t="s">
        <v>87</v>
      </c>
      <c r="C1015" s="39" t="str">
        <f t="shared" si="30"/>
        <v>210</v>
      </c>
      <c r="D1015" s="39" t="str">
        <f t="shared" si="31"/>
        <v>21011</v>
      </c>
      <c r="E1015" s="39">
        <f>IF(ISNA(VLOOKUP(F1015,'2020功能科目'!A:B,2,FALSE)),"",VLOOKUP(F1015,'2020功能科目'!A:B,2,FALSE))</f>
        <v>2101102</v>
      </c>
      <c r="F1015" s="25" t="s">
        <v>385</v>
      </c>
      <c r="G1015" s="26">
        <v>883501.08</v>
      </c>
      <c r="H1015" s="26">
        <v>715959.4</v>
      </c>
    </row>
    <row r="1016" spans="1:8">
      <c r="A1016" s="24">
        <v>255109</v>
      </c>
      <c r="B1016" s="25" t="s">
        <v>87</v>
      </c>
      <c r="C1016" s="39" t="str">
        <f t="shared" si="30"/>
        <v>221</v>
      </c>
      <c r="D1016" s="39" t="str">
        <f t="shared" si="31"/>
        <v>22102</v>
      </c>
      <c r="E1016" s="39">
        <f>IF(ISNA(VLOOKUP(F1016,'2020功能科目'!A:B,2,FALSE)),"",VLOOKUP(F1016,'2020功能科目'!A:B,2,FALSE))</f>
        <v>2210201</v>
      </c>
      <c r="F1016" s="25" t="s">
        <v>387</v>
      </c>
      <c r="G1016" s="26">
        <v>1134492</v>
      </c>
      <c r="H1016" s="26">
        <v>888885.6</v>
      </c>
    </row>
    <row r="1017" spans="1:8">
      <c r="A1017" s="24">
        <v>255109</v>
      </c>
      <c r="B1017" s="25" t="s">
        <v>87</v>
      </c>
      <c r="C1017" s="39" t="str">
        <f t="shared" si="30"/>
        <v>221</v>
      </c>
      <c r="D1017" s="39" t="str">
        <f t="shared" si="31"/>
        <v>22102</v>
      </c>
      <c r="E1017" s="39">
        <f>IF(ISNA(VLOOKUP(F1017,'2020功能科目'!A:B,2,FALSE)),"",VLOOKUP(F1017,'2020功能科目'!A:B,2,FALSE))</f>
        <v>2210202</v>
      </c>
      <c r="F1017" s="25" t="s">
        <v>388</v>
      </c>
      <c r="G1017" s="26">
        <v>64680</v>
      </c>
      <c r="H1017" s="26">
        <v>64680</v>
      </c>
    </row>
    <row r="1018" spans="1:8">
      <c r="A1018" s="24">
        <v>255109</v>
      </c>
      <c r="B1018" s="25" t="s">
        <v>87</v>
      </c>
      <c r="C1018" s="39" t="str">
        <f t="shared" si="30"/>
        <v>221</v>
      </c>
      <c r="D1018" s="39" t="str">
        <f t="shared" si="31"/>
        <v>22102</v>
      </c>
      <c r="E1018" s="39">
        <f>IF(ISNA(VLOOKUP(F1018,'2020功能科目'!A:B,2,FALSE)),"",VLOOKUP(F1018,'2020功能科目'!A:B,2,FALSE))</f>
        <v>2210203</v>
      </c>
      <c r="F1018" s="25" t="s">
        <v>389</v>
      </c>
      <c r="G1018" s="26">
        <v>789557</v>
      </c>
      <c r="H1018" s="26">
        <v>740496</v>
      </c>
    </row>
    <row r="1019" spans="1:8">
      <c r="A1019" s="24">
        <v>255110</v>
      </c>
      <c r="B1019" s="25" t="s">
        <v>88</v>
      </c>
      <c r="C1019" s="39" t="str">
        <f t="shared" si="30"/>
        <v>205</v>
      </c>
      <c r="D1019" s="39" t="str">
        <f t="shared" si="31"/>
        <v>20502</v>
      </c>
      <c r="E1019" s="39">
        <f>IF(ISNA(VLOOKUP(F1019,'2020功能科目'!A:B,2,FALSE)),"",VLOOKUP(F1019,'2020功能科目'!A:B,2,FALSE))</f>
        <v>2050299</v>
      </c>
      <c r="F1019" s="25" t="s">
        <v>377</v>
      </c>
      <c r="G1019" s="26">
        <v>9507305.4399999995</v>
      </c>
      <c r="H1019" s="26">
        <v>9396794.7899999991</v>
      </c>
    </row>
    <row r="1020" spans="1:8">
      <c r="A1020" s="24">
        <v>255110</v>
      </c>
      <c r="B1020" s="25" t="s">
        <v>88</v>
      </c>
      <c r="C1020" s="39" t="str">
        <f t="shared" si="30"/>
        <v>205</v>
      </c>
      <c r="D1020" s="39" t="str">
        <f t="shared" si="31"/>
        <v>20509</v>
      </c>
      <c r="E1020" s="39">
        <f>IF(ISNA(VLOOKUP(F1020,'2020功能科目'!A:B,2,FALSE)),"",VLOOKUP(F1020,'2020功能科目'!A:B,2,FALSE))</f>
        <v>2050999</v>
      </c>
      <c r="F1020" s="25" t="s">
        <v>394</v>
      </c>
      <c r="G1020" s="26">
        <v>406700</v>
      </c>
      <c r="H1020" s="26">
        <v>406950</v>
      </c>
    </row>
    <row r="1021" spans="1:8">
      <c r="A1021" s="24">
        <v>255110</v>
      </c>
      <c r="B1021" s="25" t="s">
        <v>88</v>
      </c>
      <c r="C1021" s="39" t="str">
        <f t="shared" si="30"/>
        <v>208</v>
      </c>
      <c r="D1021" s="39" t="str">
        <f t="shared" si="31"/>
        <v>20805</v>
      </c>
      <c r="E1021" s="39">
        <f>IF(ISNA(VLOOKUP(F1021,'2020功能科目'!A:B,2,FALSE)),"",VLOOKUP(F1021,'2020功能科目'!A:B,2,FALSE))</f>
        <v>2080502</v>
      </c>
      <c r="F1021" s="25" t="s">
        <v>381</v>
      </c>
      <c r="G1021" s="26">
        <v>135766</v>
      </c>
      <c r="H1021" s="26">
        <v>131814</v>
      </c>
    </row>
    <row r="1022" spans="1:8">
      <c r="A1022" s="24">
        <v>255110</v>
      </c>
      <c r="B1022" s="25" t="s">
        <v>88</v>
      </c>
      <c r="C1022" s="39" t="str">
        <f t="shared" si="30"/>
        <v>208</v>
      </c>
      <c r="D1022" s="39" t="str">
        <f t="shared" si="31"/>
        <v>20805</v>
      </c>
      <c r="E1022" s="39">
        <f>IF(ISNA(VLOOKUP(F1022,'2020功能科目'!A:B,2,FALSE)),"",VLOOKUP(F1022,'2020功能科目'!A:B,2,FALSE))</f>
        <v>2080505</v>
      </c>
      <c r="F1022" s="25" t="s">
        <v>382</v>
      </c>
      <c r="G1022" s="26">
        <v>762056.48</v>
      </c>
      <c r="H1022" s="26">
        <v>945784.64</v>
      </c>
    </row>
    <row r="1023" spans="1:8">
      <c r="A1023" s="24">
        <v>255110</v>
      </c>
      <c r="B1023" s="25" t="s">
        <v>88</v>
      </c>
      <c r="C1023" s="39" t="str">
        <f t="shared" si="30"/>
        <v>208</v>
      </c>
      <c r="D1023" s="39" t="str">
        <f t="shared" si="31"/>
        <v>20805</v>
      </c>
      <c r="E1023" s="39">
        <f>IF(ISNA(VLOOKUP(F1023,'2020功能科目'!A:B,2,FALSE)),"",VLOOKUP(F1023,'2020功能科目'!A:B,2,FALSE))</f>
        <v>2080506</v>
      </c>
      <c r="F1023" s="25" t="s">
        <v>383</v>
      </c>
      <c r="G1023" s="26">
        <v>381028.24</v>
      </c>
      <c r="H1023" s="26">
        <v>472892.32</v>
      </c>
    </row>
    <row r="1024" spans="1:8">
      <c r="A1024" s="24">
        <v>255110</v>
      </c>
      <c r="B1024" s="25" t="s">
        <v>88</v>
      </c>
      <c r="C1024" s="39" t="str">
        <f t="shared" si="30"/>
        <v>210</v>
      </c>
      <c r="D1024" s="39" t="str">
        <f t="shared" si="31"/>
        <v>21011</v>
      </c>
      <c r="E1024" s="39">
        <f>IF(ISNA(VLOOKUP(F1024,'2020功能科目'!A:B,2,FALSE)),"",VLOOKUP(F1024,'2020功能科目'!A:B,2,FALSE))</f>
        <v>2101102</v>
      </c>
      <c r="F1024" s="25" t="s">
        <v>385</v>
      </c>
      <c r="G1024" s="26">
        <v>617968.73</v>
      </c>
      <c r="H1024" s="26">
        <v>768450.02</v>
      </c>
    </row>
    <row r="1025" spans="1:8">
      <c r="A1025" s="24">
        <v>255110</v>
      </c>
      <c r="B1025" s="25" t="s">
        <v>88</v>
      </c>
      <c r="C1025" s="39" t="str">
        <f t="shared" si="30"/>
        <v>221</v>
      </c>
      <c r="D1025" s="39" t="str">
        <f t="shared" si="31"/>
        <v>22102</v>
      </c>
      <c r="E1025" s="39">
        <f>IF(ISNA(VLOOKUP(F1025,'2020功能科目'!A:B,2,FALSE)),"",VLOOKUP(F1025,'2020功能科目'!A:B,2,FALSE))</f>
        <v>2210201</v>
      </c>
      <c r="F1025" s="25" t="s">
        <v>387</v>
      </c>
      <c r="G1025" s="26">
        <v>940464</v>
      </c>
      <c r="H1025" s="26">
        <v>949338.48</v>
      </c>
    </row>
    <row r="1026" spans="1:8">
      <c r="A1026" s="24">
        <v>255110</v>
      </c>
      <c r="B1026" s="25" t="s">
        <v>88</v>
      </c>
      <c r="C1026" s="39" t="str">
        <f t="shared" si="30"/>
        <v>221</v>
      </c>
      <c r="D1026" s="39" t="str">
        <f t="shared" si="31"/>
        <v>22102</v>
      </c>
      <c r="E1026" s="39">
        <f>IF(ISNA(VLOOKUP(F1026,'2020功能科目'!A:B,2,FALSE)),"",VLOOKUP(F1026,'2020功能科目'!A:B,2,FALSE))</f>
        <v>2210202</v>
      </c>
      <c r="F1026" s="25" t="s">
        <v>388</v>
      </c>
      <c r="G1026" s="26">
        <v>45460</v>
      </c>
      <c r="H1026" s="26">
        <v>47160</v>
      </c>
    </row>
    <row r="1027" spans="1:8">
      <c r="A1027" s="24">
        <v>255110</v>
      </c>
      <c r="B1027" s="25" t="s">
        <v>88</v>
      </c>
      <c r="C1027" s="39" t="str">
        <f t="shared" ref="C1027:C1090" si="32">LEFT(D1027,3)</f>
        <v>221</v>
      </c>
      <c r="D1027" s="39" t="str">
        <f t="shared" ref="D1027:D1090" si="33">LEFT(E1027,5)</f>
        <v>22102</v>
      </c>
      <c r="E1027" s="39">
        <f>IF(ISNA(VLOOKUP(F1027,'2020功能科目'!A:B,2,FALSE)),"",VLOOKUP(F1027,'2020功能科目'!A:B,2,FALSE))</f>
        <v>2210203</v>
      </c>
      <c r="F1027" s="25" t="s">
        <v>389</v>
      </c>
      <c r="G1027" s="26">
        <v>939064</v>
      </c>
      <c r="H1027" s="26">
        <v>846696</v>
      </c>
    </row>
    <row r="1028" spans="1:8">
      <c r="A1028" s="24">
        <v>255111</v>
      </c>
      <c r="B1028" s="25" t="s">
        <v>89</v>
      </c>
      <c r="C1028" s="39" t="str">
        <f t="shared" si="32"/>
        <v>205</v>
      </c>
      <c r="D1028" s="39" t="str">
        <f t="shared" si="33"/>
        <v>20502</v>
      </c>
      <c r="E1028" s="39">
        <f>IF(ISNA(VLOOKUP(F1028,'2020功能科目'!A:B,2,FALSE)),"",VLOOKUP(F1028,'2020功能科目'!A:B,2,FALSE))</f>
        <v>2050201</v>
      </c>
      <c r="F1028" s="25" t="s">
        <v>374</v>
      </c>
      <c r="G1028" s="26">
        <v>18504533.780000001</v>
      </c>
      <c r="H1028" s="26">
        <v>16885657.149999999</v>
      </c>
    </row>
    <row r="1029" spans="1:8">
      <c r="A1029" s="24">
        <v>255111</v>
      </c>
      <c r="B1029" s="25" t="s">
        <v>89</v>
      </c>
      <c r="C1029" s="39" t="str">
        <f t="shared" si="32"/>
        <v>205</v>
      </c>
      <c r="D1029" s="39" t="str">
        <f t="shared" si="33"/>
        <v>20508</v>
      </c>
      <c r="E1029" s="39">
        <f>IF(ISNA(VLOOKUP(F1029,'2020功能科目'!A:B,2,FALSE)),"",VLOOKUP(F1029,'2020功能科目'!A:B,2,FALSE))</f>
        <v>2050803</v>
      </c>
      <c r="F1029" s="25" t="s">
        <v>378</v>
      </c>
      <c r="G1029" s="26">
        <v>400</v>
      </c>
      <c r="H1029" s="26">
        <v>51200</v>
      </c>
    </row>
    <row r="1030" spans="1:8">
      <c r="A1030" s="24">
        <v>255111</v>
      </c>
      <c r="B1030" s="25" t="s">
        <v>89</v>
      </c>
      <c r="C1030" s="39" t="str">
        <f t="shared" si="32"/>
        <v>205</v>
      </c>
      <c r="D1030" s="39" t="str">
        <f t="shared" si="33"/>
        <v>20509</v>
      </c>
      <c r="E1030" s="39">
        <f>IF(ISNA(VLOOKUP(F1030,'2020功能科目'!A:B,2,FALSE)),"",VLOOKUP(F1030,'2020功能科目'!A:B,2,FALSE))</f>
        <v>2050999</v>
      </c>
      <c r="F1030" s="25" t="s">
        <v>394</v>
      </c>
      <c r="G1030" s="26">
        <v>263736</v>
      </c>
      <c r="H1030" s="26">
        <v>263736</v>
      </c>
    </row>
    <row r="1031" spans="1:8">
      <c r="A1031" s="24">
        <v>255111</v>
      </c>
      <c r="B1031" s="25" t="s">
        <v>89</v>
      </c>
      <c r="C1031" s="39" t="str">
        <f t="shared" si="32"/>
        <v>208</v>
      </c>
      <c r="D1031" s="39" t="str">
        <f t="shared" si="33"/>
        <v>20805</v>
      </c>
      <c r="E1031" s="39">
        <f>IF(ISNA(VLOOKUP(F1031,'2020功能科目'!A:B,2,FALSE)),"",VLOOKUP(F1031,'2020功能科目'!A:B,2,FALSE))</f>
        <v>2080502</v>
      </c>
      <c r="F1031" s="25" t="s">
        <v>381</v>
      </c>
      <c r="G1031" s="26">
        <v>878224</v>
      </c>
      <c r="H1031" s="26">
        <v>717444</v>
      </c>
    </row>
    <row r="1032" spans="1:8">
      <c r="A1032" s="24">
        <v>255111</v>
      </c>
      <c r="B1032" s="25" t="s">
        <v>89</v>
      </c>
      <c r="C1032" s="39" t="str">
        <f t="shared" si="32"/>
        <v>208</v>
      </c>
      <c r="D1032" s="39" t="str">
        <f t="shared" si="33"/>
        <v>20805</v>
      </c>
      <c r="E1032" s="39">
        <f>IF(ISNA(VLOOKUP(F1032,'2020功能科目'!A:B,2,FALSE)),"",VLOOKUP(F1032,'2020功能科目'!A:B,2,FALSE))</f>
        <v>2080505</v>
      </c>
      <c r="F1032" s="25" t="s">
        <v>382</v>
      </c>
      <c r="G1032" s="26">
        <v>1121132.8</v>
      </c>
      <c r="H1032" s="26">
        <v>1274901.28</v>
      </c>
    </row>
    <row r="1033" spans="1:8">
      <c r="A1033" s="24">
        <v>255111</v>
      </c>
      <c r="B1033" s="25" t="s">
        <v>89</v>
      </c>
      <c r="C1033" s="39" t="str">
        <f t="shared" si="32"/>
        <v>208</v>
      </c>
      <c r="D1033" s="39" t="str">
        <f t="shared" si="33"/>
        <v>20805</v>
      </c>
      <c r="E1033" s="39">
        <f>IF(ISNA(VLOOKUP(F1033,'2020功能科目'!A:B,2,FALSE)),"",VLOOKUP(F1033,'2020功能科目'!A:B,2,FALSE))</f>
        <v>2080506</v>
      </c>
      <c r="F1033" s="25" t="s">
        <v>383</v>
      </c>
      <c r="G1033" s="26">
        <v>561027.52</v>
      </c>
      <c r="H1033" s="26">
        <v>637450.64</v>
      </c>
    </row>
    <row r="1034" spans="1:8">
      <c r="A1034" s="24">
        <v>255111</v>
      </c>
      <c r="B1034" s="25" t="s">
        <v>89</v>
      </c>
      <c r="C1034" s="39" t="str">
        <f t="shared" si="32"/>
        <v>210</v>
      </c>
      <c r="D1034" s="39" t="str">
        <f t="shared" si="33"/>
        <v>21011</v>
      </c>
      <c r="E1034" s="39">
        <f>IF(ISNA(VLOOKUP(F1034,'2020功能科目'!A:B,2,FALSE)),"",VLOOKUP(F1034,'2020功能科目'!A:B,2,FALSE))</f>
        <v>2101102</v>
      </c>
      <c r="F1034" s="25" t="s">
        <v>385</v>
      </c>
      <c r="G1034" s="26">
        <v>1097482.8999999999</v>
      </c>
      <c r="H1034" s="26">
        <v>1035857.29</v>
      </c>
    </row>
    <row r="1035" spans="1:8">
      <c r="A1035" s="24">
        <v>255111</v>
      </c>
      <c r="B1035" s="25" t="s">
        <v>89</v>
      </c>
      <c r="C1035" s="39" t="str">
        <f t="shared" si="32"/>
        <v>221</v>
      </c>
      <c r="D1035" s="39" t="str">
        <f t="shared" si="33"/>
        <v>22102</v>
      </c>
      <c r="E1035" s="39">
        <f>IF(ISNA(VLOOKUP(F1035,'2020功能科目'!A:B,2,FALSE)),"",VLOOKUP(F1035,'2020功能科目'!A:B,2,FALSE))</f>
        <v>2210201</v>
      </c>
      <c r="F1035" s="25" t="s">
        <v>387</v>
      </c>
      <c r="G1035" s="26">
        <v>1285388</v>
      </c>
      <c r="H1035" s="26">
        <v>1340175.96</v>
      </c>
    </row>
    <row r="1036" spans="1:8">
      <c r="A1036" s="24">
        <v>255111</v>
      </c>
      <c r="B1036" s="25" t="s">
        <v>89</v>
      </c>
      <c r="C1036" s="39" t="str">
        <f t="shared" si="32"/>
        <v>221</v>
      </c>
      <c r="D1036" s="39" t="str">
        <f t="shared" si="33"/>
        <v>22102</v>
      </c>
      <c r="E1036" s="39">
        <f>IF(ISNA(VLOOKUP(F1036,'2020功能科目'!A:B,2,FALSE)),"",VLOOKUP(F1036,'2020功能科目'!A:B,2,FALSE))</f>
        <v>2210202</v>
      </c>
      <c r="F1036" s="25" t="s">
        <v>388</v>
      </c>
      <c r="G1036" s="26">
        <v>119180</v>
      </c>
      <c r="H1036" s="26">
        <v>118440</v>
      </c>
    </row>
    <row r="1037" spans="1:8">
      <c r="A1037" s="24">
        <v>255111</v>
      </c>
      <c r="B1037" s="25" t="s">
        <v>89</v>
      </c>
      <c r="C1037" s="39" t="str">
        <f t="shared" si="32"/>
        <v>221</v>
      </c>
      <c r="D1037" s="39" t="str">
        <f t="shared" si="33"/>
        <v>22102</v>
      </c>
      <c r="E1037" s="39">
        <f>IF(ISNA(VLOOKUP(F1037,'2020功能科目'!A:B,2,FALSE)),"",VLOOKUP(F1037,'2020功能科目'!A:B,2,FALSE))</f>
        <v>2210203</v>
      </c>
      <c r="F1037" s="25" t="s">
        <v>389</v>
      </c>
      <c r="G1037" s="26">
        <v>1507812</v>
      </c>
      <c r="H1037" s="26">
        <v>1453044</v>
      </c>
    </row>
    <row r="1038" spans="1:8">
      <c r="A1038" s="24">
        <v>255112</v>
      </c>
      <c r="B1038" s="25" t="s">
        <v>90</v>
      </c>
      <c r="C1038" s="39" t="str">
        <f t="shared" si="32"/>
        <v>205</v>
      </c>
      <c r="D1038" s="39" t="str">
        <f t="shared" si="33"/>
        <v>20502</v>
      </c>
      <c r="E1038" s="39">
        <f>IF(ISNA(VLOOKUP(F1038,'2020功能科目'!A:B,2,FALSE)),"",VLOOKUP(F1038,'2020功能科目'!A:B,2,FALSE))</f>
        <v>2050202</v>
      </c>
      <c r="F1038" s="25" t="s">
        <v>375</v>
      </c>
      <c r="G1038" s="26">
        <v>101468965.01000001</v>
      </c>
      <c r="H1038" s="26">
        <v>69581656.620000005</v>
      </c>
    </row>
    <row r="1039" spans="1:8">
      <c r="A1039" s="24">
        <v>255112</v>
      </c>
      <c r="B1039" s="25" t="s">
        <v>90</v>
      </c>
      <c r="C1039" s="39" t="str">
        <f t="shared" si="32"/>
        <v>205</v>
      </c>
      <c r="D1039" s="39" t="str">
        <f t="shared" si="33"/>
        <v>20502</v>
      </c>
      <c r="E1039" s="39">
        <f>IF(ISNA(VLOOKUP(F1039,'2020功能科目'!A:B,2,FALSE)),"",VLOOKUP(F1039,'2020功能科目'!A:B,2,FALSE))</f>
        <v>2050299</v>
      </c>
      <c r="F1039" s="25" t="s">
        <v>377</v>
      </c>
      <c r="G1039" s="26">
        <v>273450.07</v>
      </c>
      <c r="H1039" s="26">
        <v>0</v>
      </c>
    </row>
    <row r="1040" spans="1:8">
      <c r="A1040" s="24">
        <v>255112</v>
      </c>
      <c r="B1040" s="25" t="s">
        <v>90</v>
      </c>
      <c r="C1040" s="39" t="str">
        <f t="shared" si="32"/>
        <v>205</v>
      </c>
      <c r="D1040" s="39" t="str">
        <f t="shared" si="33"/>
        <v>20508</v>
      </c>
      <c r="E1040" s="39">
        <f>IF(ISNA(VLOOKUP(F1040,'2020功能科目'!A:B,2,FALSE)),"",VLOOKUP(F1040,'2020功能科目'!A:B,2,FALSE))</f>
        <v>2050803</v>
      </c>
      <c r="F1040" s="25" t="s">
        <v>378</v>
      </c>
      <c r="G1040" s="26">
        <v>107200</v>
      </c>
      <c r="H1040" s="26">
        <v>214400</v>
      </c>
    </row>
    <row r="1041" spans="1:8">
      <c r="A1041" s="24">
        <v>255112</v>
      </c>
      <c r="B1041" s="25" t="s">
        <v>90</v>
      </c>
      <c r="C1041" s="39" t="str">
        <f t="shared" si="32"/>
        <v>205</v>
      </c>
      <c r="D1041" s="39" t="str">
        <f t="shared" si="33"/>
        <v>20509</v>
      </c>
      <c r="E1041" s="39">
        <f>IF(ISNA(VLOOKUP(F1041,'2020功能科目'!A:B,2,FALSE)),"",VLOOKUP(F1041,'2020功能科目'!A:B,2,FALSE))</f>
        <v>2050903</v>
      </c>
      <c r="F1041" s="25" t="s">
        <v>379</v>
      </c>
      <c r="G1041" s="26">
        <v>3213115.7</v>
      </c>
      <c r="H1041" s="26">
        <v>3241000</v>
      </c>
    </row>
    <row r="1042" spans="1:8">
      <c r="A1042" s="24">
        <v>255112</v>
      </c>
      <c r="B1042" s="25" t="s">
        <v>90</v>
      </c>
      <c r="C1042" s="39" t="str">
        <f t="shared" si="32"/>
        <v>205</v>
      </c>
      <c r="D1042" s="39" t="str">
        <f t="shared" si="33"/>
        <v>20509</v>
      </c>
      <c r="E1042" s="39">
        <f>IF(ISNA(VLOOKUP(F1042,'2020功能科目'!A:B,2,FALSE)),"",VLOOKUP(F1042,'2020功能科目'!A:B,2,FALSE))</f>
        <v>2050904</v>
      </c>
      <c r="F1042" s="25" t="s">
        <v>380</v>
      </c>
      <c r="G1042" s="26">
        <v>1807960</v>
      </c>
      <c r="H1042" s="26">
        <v>1807960</v>
      </c>
    </row>
    <row r="1043" spans="1:8">
      <c r="A1043" s="24">
        <v>255112</v>
      </c>
      <c r="B1043" s="25" t="s">
        <v>90</v>
      </c>
      <c r="C1043" s="39" t="str">
        <f t="shared" si="32"/>
        <v>208</v>
      </c>
      <c r="D1043" s="39" t="str">
        <f t="shared" si="33"/>
        <v>20805</v>
      </c>
      <c r="E1043" s="39">
        <f>IF(ISNA(VLOOKUP(F1043,'2020功能科目'!A:B,2,FALSE)),"",VLOOKUP(F1043,'2020功能科目'!A:B,2,FALSE))</f>
        <v>2080502</v>
      </c>
      <c r="F1043" s="25" t="s">
        <v>381</v>
      </c>
      <c r="G1043" s="26">
        <v>779833</v>
      </c>
      <c r="H1043" s="26">
        <v>656208</v>
      </c>
    </row>
    <row r="1044" spans="1:8">
      <c r="A1044" s="24">
        <v>255112</v>
      </c>
      <c r="B1044" s="25" t="s">
        <v>90</v>
      </c>
      <c r="C1044" s="39" t="str">
        <f t="shared" si="32"/>
        <v>208</v>
      </c>
      <c r="D1044" s="39" t="str">
        <f t="shared" si="33"/>
        <v>20805</v>
      </c>
      <c r="E1044" s="39">
        <f>IF(ISNA(VLOOKUP(F1044,'2020功能科目'!A:B,2,FALSE)),"",VLOOKUP(F1044,'2020功能科目'!A:B,2,FALSE))</f>
        <v>2080505</v>
      </c>
      <c r="F1044" s="25" t="s">
        <v>382</v>
      </c>
      <c r="G1044" s="26">
        <v>5561744.2699999996</v>
      </c>
      <c r="H1044" s="26">
        <v>6067534.7199999997</v>
      </c>
    </row>
    <row r="1045" spans="1:8">
      <c r="A1045" s="24">
        <v>255112</v>
      </c>
      <c r="B1045" s="25" t="s">
        <v>90</v>
      </c>
      <c r="C1045" s="39" t="str">
        <f t="shared" si="32"/>
        <v>208</v>
      </c>
      <c r="D1045" s="39" t="str">
        <f t="shared" si="33"/>
        <v>20805</v>
      </c>
      <c r="E1045" s="39">
        <f>IF(ISNA(VLOOKUP(F1045,'2020功能科目'!A:B,2,FALSE)),"",VLOOKUP(F1045,'2020功能科目'!A:B,2,FALSE))</f>
        <v>2080506</v>
      </c>
      <c r="F1045" s="25" t="s">
        <v>383</v>
      </c>
      <c r="G1045" s="26">
        <v>2780872.04</v>
      </c>
      <c r="H1045" s="26">
        <v>3033767.36</v>
      </c>
    </row>
    <row r="1046" spans="1:8">
      <c r="A1046" s="24">
        <v>255112</v>
      </c>
      <c r="B1046" s="25" t="s">
        <v>90</v>
      </c>
      <c r="C1046" s="39" t="str">
        <f t="shared" si="32"/>
        <v>210</v>
      </c>
      <c r="D1046" s="39" t="str">
        <f t="shared" si="33"/>
        <v>21011</v>
      </c>
      <c r="E1046" s="39">
        <f>IF(ISNA(VLOOKUP(F1046,'2020功能科目'!A:B,2,FALSE)),"",VLOOKUP(F1046,'2020功能科目'!A:B,2,FALSE))</f>
        <v>2101102</v>
      </c>
      <c r="F1046" s="25" t="s">
        <v>385</v>
      </c>
      <c r="G1046" s="26">
        <v>5482356.9699999997</v>
      </c>
      <c r="H1046" s="26">
        <v>4929871.96</v>
      </c>
    </row>
    <row r="1047" spans="1:8">
      <c r="A1047" s="24">
        <v>255112</v>
      </c>
      <c r="B1047" s="25" t="s">
        <v>90</v>
      </c>
      <c r="C1047" s="39" t="str">
        <f t="shared" si="32"/>
        <v>221</v>
      </c>
      <c r="D1047" s="39" t="str">
        <f t="shared" si="33"/>
        <v>22102</v>
      </c>
      <c r="E1047" s="39">
        <f>IF(ISNA(VLOOKUP(F1047,'2020功能科目'!A:B,2,FALSE)),"",VLOOKUP(F1047,'2020功能科目'!A:B,2,FALSE))</f>
        <v>2210201</v>
      </c>
      <c r="F1047" s="25" t="s">
        <v>387</v>
      </c>
      <c r="G1047" s="26">
        <v>6796081</v>
      </c>
      <c r="H1047" s="26">
        <v>6158651.04</v>
      </c>
    </row>
    <row r="1048" spans="1:8">
      <c r="A1048" s="24">
        <v>255112</v>
      </c>
      <c r="B1048" s="25" t="s">
        <v>90</v>
      </c>
      <c r="C1048" s="39" t="str">
        <f t="shared" si="32"/>
        <v>221</v>
      </c>
      <c r="D1048" s="39" t="str">
        <f t="shared" si="33"/>
        <v>22102</v>
      </c>
      <c r="E1048" s="39">
        <f>IF(ISNA(VLOOKUP(F1048,'2020功能科目'!A:B,2,FALSE)),"",VLOOKUP(F1048,'2020功能科目'!A:B,2,FALSE))</f>
        <v>2210202</v>
      </c>
      <c r="F1048" s="25" t="s">
        <v>388</v>
      </c>
      <c r="G1048" s="26">
        <v>300060</v>
      </c>
      <c r="H1048" s="26">
        <v>302280</v>
      </c>
    </row>
    <row r="1049" spans="1:8">
      <c r="A1049" s="24">
        <v>255112</v>
      </c>
      <c r="B1049" s="25" t="s">
        <v>90</v>
      </c>
      <c r="C1049" s="39" t="str">
        <f t="shared" si="32"/>
        <v>221</v>
      </c>
      <c r="D1049" s="39" t="str">
        <f t="shared" si="33"/>
        <v>22102</v>
      </c>
      <c r="E1049" s="39">
        <f>IF(ISNA(VLOOKUP(F1049,'2020功能科目'!A:B,2,FALSE)),"",VLOOKUP(F1049,'2020功能科目'!A:B,2,FALSE))</f>
        <v>2210203</v>
      </c>
      <c r="F1049" s="25" t="s">
        <v>389</v>
      </c>
      <c r="G1049" s="26">
        <v>6910241</v>
      </c>
      <c r="H1049" s="26">
        <v>7001400</v>
      </c>
    </row>
    <row r="1050" spans="1:8">
      <c r="A1050" s="24">
        <v>255113</v>
      </c>
      <c r="B1050" s="25" t="s">
        <v>91</v>
      </c>
      <c r="C1050" s="39" t="str">
        <f t="shared" si="32"/>
        <v>205</v>
      </c>
      <c r="D1050" s="39" t="str">
        <f t="shared" si="33"/>
        <v>20502</v>
      </c>
      <c r="E1050" s="39">
        <f>IF(ISNA(VLOOKUP(F1050,'2020功能科目'!A:B,2,FALSE)),"",VLOOKUP(F1050,'2020功能科目'!A:B,2,FALSE))</f>
        <v>2050299</v>
      </c>
      <c r="F1050" s="25" t="s">
        <v>377</v>
      </c>
      <c r="G1050" s="26">
        <v>6246264.9100000001</v>
      </c>
      <c r="H1050" s="26">
        <v>4583995.51</v>
      </c>
    </row>
    <row r="1051" spans="1:8">
      <c r="A1051" s="24">
        <v>255113</v>
      </c>
      <c r="B1051" s="25" t="s">
        <v>91</v>
      </c>
      <c r="C1051" s="39" t="str">
        <f t="shared" si="32"/>
        <v>205</v>
      </c>
      <c r="D1051" s="39" t="str">
        <f t="shared" si="33"/>
        <v>20508</v>
      </c>
      <c r="E1051" s="39">
        <f>IF(ISNA(VLOOKUP(F1051,'2020功能科目'!A:B,2,FALSE)),"",VLOOKUP(F1051,'2020功能科目'!A:B,2,FALSE))</f>
        <v>2050803</v>
      </c>
      <c r="F1051" s="25" t="s">
        <v>378</v>
      </c>
      <c r="G1051" s="26">
        <v>0</v>
      </c>
      <c r="H1051" s="26">
        <v>12000</v>
      </c>
    </row>
    <row r="1052" spans="1:8">
      <c r="A1052" s="24">
        <v>255113</v>
      </c>
      <c r="B1052" s="25" t="s">
        <v>91</v>
      </c>
      <c r="C1052" s="39" t="str">
        <f t="shared" si="32"/>
        <v>208</v>
      </c>
      <c r="D1052" s="39" t="str">
        <f t="shared" si="33"/>
        <v>20805</v>
      </c>
      <c r="E1052" s="39">
        <f>IF(ISNA(VLOOKUP(F1052,'2020功能科目'!A:B,2,FALSE)),"",VLOOKUP(F1052,'2020功能科目'!A:B,2,FALSE))</f>
        <v>2080502</v>
      </c>
      <c r="F1052" s="25" t="s">
        <v>381</v>
      </c>
      <c r="G1052" s="26">
        <v>22989.599999999999</v>
      </c>
      <c r="H1052" s="26">
        <v>23470</v>
      </c>
    </row>
    <row r="1053" spans="1:8">
      <c r="A1053" s="24">
        <v>255113</v>
      </c>
      <c r="B1053" s="25" t="s">
        <v>91</v>
      </c>
      <c r="C1053" s="39" t="str">
        <f t="shared" si="32"/>
        <v>208</v>
      </c>
      <c r="D1053" s="39" t="str">
        <f t="shared" si="33"/>
        <v>20805</v>
      </c>
      <c r="E1053" s="39">
        <f>IF(ISNA(VLOOKUP(F1053,'2020功能科目'!A:B,2,FALSE)),"",VLOOKUP(F1053,'2020功能科目'!A:B,2,FALSE))</f>
        <v>2080505</v>
      </c>
      <c r="F1053" s="25" t="s">
        <v>382</v>
      </c>
      <c r="G1053" s="26">
        <v>330176.15999999997</v>
      </c>
      <c r="H1053" s="26">
        <v>349004.16</v>
      </c>
    </row>
    <row r="1054" spans="1:8">
      <c r="A1054" s="24">
        <v>255113</v>
      </c>
      <c r="B1054" s="25" t="s">
        <v>91</v>
      </c>
      <c r="C1054" s="39" t="str">
        <f t="shared" si="32"/>
        <v>208</v>
      </c>
      <c r="D1054" s="39" t="str">
        <f t="shared" si="33"/>
        <v>20805</v>
      </c>
      <c r="E1054" s="39">
        <f>IF(ISNA(VLOOKUP(F1054,'2020功能科目'!A:B,2,FALSE)),"",VLOOKUP(F1054,'2020功能科目'!A:B,2,FALSE))</f>
        <v>2080506</v>
      </c>
      <c r="F1054" s="25" t="s">
        <v>383</v>
      </c>
      <c r="G1054" s="26">
        <v>165088.07999999999</v>
      </c>
      <c r="H1054" s="26">
        <v>174502.08</v>
      </c>
    </row>
    <row r="1055" spans="1:8">
      <c r="A1055" s="24">
        <v>255113</v>
      </c>
      <c r="B1055" s="25" t="s">
        <v>91</v>
      </c>
      <c r="C1055" s="39" t="str">
        <f t="shared" si="32"/>
        <v>210</v>
      </c>
      <c r="D1055" s="39" t="str">
        <f t="shared" si="33"/>
        <v>21011</v>
      </c>
      <c r="E1055" s="39">
        <f>IF(ISNA(VLOOKUP(F1055,'2020功能科目'!A:B,2,FALSE)),"",VLOOKUP(F1055,'2020功能科目'!A:B,2,FALSE))</f>
        <v>2101102</v>
      </c>
      <c r="F1055" s="25" t="s">
        <v>385</v>
      </c>
      <c r="G1055" s="26">
        <v>339691.91</v>
      </c>
      <c r="H1055" s="26">
        <v>283565.88</v>
      </c>
    </row>
    <row r="1056" spans="1:8">
      <c r="A1056" s="24">
        <v>255113</v>
      </c>
      <c r="B1056" s="25" t="s">
        <v>91</v>
      </c>
      <c r="C1056" s="39" t="str">
        <f t="shared" si="32"/>
        <v>221</v>
      </c>
      <c r="D1056" s="39" t="str">
        <f t="shared" si="33"/>
        <v>22102</v>
      </c>
      <c r="E1056" s="39">
        <f>IF(ISNA(VLOOKUP(F1056,'2020功能科目'!A:B,2,FALSE)),"",VLOOKUP(F1056,'2020功能科目'!A:B,2,FALSE))</f>
        <v>2210201</v>
      </c>
      <c r="F1056" s="25" t="s">
        <v>387</v>
      </c>
      <c r="G1056" s="26">
        <v>403272</v>
      </c>
      <c r="H1056" s="26">
        <v>351753.12</v>
      </c>
    </row>
    <row r="1057" spans="1:8">
      <c r="A1057" s="24">
        <v>255113</v>
      </c>
      <c r="B1057" s="25" t="s">
        <v>91</v>
      </c>
      <c r="C1057" s="39" t="str">
        <f t="shared" si="32"/>
        <v>221</v>
      </c>
      <c r="D1057" s="39" t="str">
        <f t="shared" si="33"/>
        <v>22102</v>
      </c>
      <c r="E1057" s="39">
        <f>IF(ISNA(VLOOKUP(F1057,'2020功能科目'!A:B,2,FALSE)),"",VLOOKUP(F1057,'2020功能科目'!A:B,2,FALSE))</f>
        <v>2210202</v>
      </c>
      <c r="F1057" s="25" t="s">
        <v>388</v>
      </c>
      <c r="G1057" s="26">
        <v>16120</v>
      </c>
      <c r="H1057" s="26">
        <v>16200</v>
      </c>
    </row>
    <row r="1058" spans="1:8">
      <c r="A1058" s="24">
        <v>255113</v>
      </c>
      <c r="B1058" s="25" t="s">
        <v>91</v>
      </c>
      <c r="C1058" s="39" t="str">
        <f t="shared" si="32"/>
        <v>221</v>
      </c>
      <c r="D1058" s="39" t="str">
        <f t="shared" si="33"/>
        <v>22102</v>
      </c>
      <c r="E1058" s="39">
        <f>IF(ISNA(VLOOKUP(F1058,'2020功能科目'!A:B,2,FALSE)),"",VLOOKUP(F1058,'2020功能科目'!A:B,2,FALSE))</f>
        <v>2210203</v>
      </c>
      <c r="F1058" s="25" t="s">
        <v>389</v>
      </c>
      <c r="G1058" s="26">
        <v>408023</v>
      </c>
      <c r="H1058" s="26">
        <v>388344</v>
      </c>
    </row>
    <row r="1059" spans="1:8">
      <c r="A1059" s="24">
        <v>255114</v>
      </c>
      <c r="B1059" s="25" t="s">
        <v>92</v>
      </c>
      <c r="C1059" s="39" t="str">
        <f t="shared" si="32"/>
        <v>205</v>
      </c>
      <c r="D1059" s="39" t="str">
        <f t="shared" si="33"/>
        <v>20502</v>
      </c>
      <c r="E1059" s="39">
        <f>IF(ISNA(VLOOKUP(F1059,'2020功能科目'!A:B,2,FALSE)),"",VLOOKUP(F1059,'2020功能科目'!A:B,2,FALSE))</f>
        <v>2050204</v>
      </c>
      <c r="F1059" s="25" t="s">
        <v>376</v>
      </c>
      <c r="G1059" s="26">
        <v>107432738.72</v>
      </c>
      <c r="H1059" s="26">
        <v>75908884.689999998</v>
      </c>
    </row>
    <row r="1060" spans="1:8">
      <c r="A1060" s="24">
        <v>255114</v>
      </c>
      <c r="B1060" s="25" t="s">
        <v>92</v>
      </c>
      <c r="C1060" s="39" t="str">
        <f t="shared" si="32"/>
        <v>205</v>
      </c>
      <c r="D1060" s="39" t="str">
        <f t="shared" si="33"/>
        <v>20502</v>
      </c>
      <c r="E1060" s="39">
        <f>IF(ISNA(VLOOKUP(F1060,'2020功能科目'!A:B,2,FALSE)),"",VLOOKUP(F1060,'2020功能科目'!A:B,2,FALSE))</f>
        <v>2050299</v>
      </c>
      <c r="F1060" s="25" t="s">
        <v>377</v>
      </c>
      <c r="G1060" s="26">
        <v>1849440.59</v>
      </c>
      <c r="H1060" s="26">
        <v>1520000</v>
      </c>
    </row>
    <row r="1061" spans="1:8">
      <c r="A1061" s="24">
        <v>255114</v>
      </c>
      <c r="B1061" s="25" t="s">
        <v>92</v>
      </c>
      <c r="C1061" s="39" t="str">
        <f t="shared" si="32"/>
        <v>205</v>
      </c>
      <c r="D1061" s="39" t="str">
        <f t="shared" si="33"/>
        <v>20508</v>
      </c>
      <c r="E1061" s="39">
        <f>IF(ISNA(VLOOKUP(F1061,'2020功能科目'!A:B,2,FALSE)),"",VLOOKUP(F1061,'2020功能科目'!A:B,2,FALSE))</f>
        <v>2050803</v>
      </c>
      <c r="F1061" s="25" t="s">
        <v>378</v>
      </c>
      <c r="G1061" s="26">
        <v>109600</v>
      </c>
      <c r="H1061" s="26">
        <v>219200</v>
      </c>
    </row>
    <row r="1062" spans="1:8">
      <c r="A1062" s="24">
        <v>255114</v>
      </c>
      <c r="B1062" s="25" t="s">
        <v>92</v>
      </c>
      <c r="C1062" s="39" t="str">
        <f t="shared" si="32"/>
        <v>205</v>
      </c>
      <c r="D1062" s="39" t="str">
        <f t="shared" si="33"/>
        <v>20509</v>
      </c>
      <c r="E1062" s="39">
        <f>IF(ISNA(VLOOKUP(F1062,'2020功能科目'!A:B,2,FALSE)),"",VLOOKUP(F1062,'2020功能科目'!A:B,2,FALSE))</f>
        <v>2050903</v>
      </c>
      <c r="F1062" s="25" t="s">
        <v>379</v>
      </c>
      <c r="G1062" s="26">
        <v>2095755.97</v>
      </c>
      <c r="H1062" s="26">
        <v>2555000</v>
      </c>
    </row>
    <row r="1063" spans="1:8">
      <c r="A1063" s="24">
        <v>255114</v>
      </c>
      <c r="B1063" s="25" t="s">
        <v>92</v>
      </c>
      <c r="C1063" s="39" t="str">
        <f t="shared" si="32"/>
        <v>205</v>
      </c>
      <c r="D1063" s="39" t="str">
        <f t="shared" si="33"/>
        <v>20509</v>
      </c>
      <c r="E1063" s="39">
        <f>IF(ISNA(VLOOKUP(F1063,'2020功能科目'!A:B,2,FALSE)),"",VLOOKUP(F1063,'2020功能科目'!A:B,2,FALSE))</f>
        <v>2050904</v>
      </c>
      <c r="F1063" s="25" t="s">
        <v>380</v>
      </c>
      <c r="G1063" s="26">
        <v>1975534</v>
      </c>
      <c r="H1063" s="26">
        <v>1996140</v>
      </c>
    </row>
    <row r="1064" spans="1:8">
      <c r="A1064" s="24">
        <v>255114</v>
      </c>
      <c r="B1064" s="25" t="s">
        <v>92</v>
      </c>
      <c r="C1064" s="39" t="str">
        <f t="shared" si="32"/>
        <v>208</v>
      </c>
      <c r="D1064" s="39" t="str">
        <f t="shared" si="33"/>
        <v>20805</v>
      </c>
      <c r="E1064" s="39">
        <f>IF(ISNA(VLOOKUP(F1064,'2020功能科目'!A:B,2,FALSE)),"",VLOOKUP(F1064,'2020功能科目'!A:B,2,FALSE))</f>
        <v>2080502</v>
      </c>
      <c r="F1064" s="25" t="s">
        <v>381</v>
      </c>
      <c r="G1064" s="26">
        <v>8323093</v>
      </c>
      <c r="H1064" s="26">
        <v>6672829</v>
      </c>
    </row>
    <row r="1065" spans="1:8">
      <c r="A1065" s="24">
        <v>255114</v>
      </c>
      <c r="B1065" s="25" t="s">
        <v>92</v>
      </c>
      <c r="C1065" s="39" t="str">
        <f t="shared" si="32"/>
        <v>208</v>
      </c>
      <c r="D1065" s="39" t="str">
        <f t="shared" si="33"/>
        <v>20805</v>
      </c>
      <c r="E1065" s="39">
        <f>IF(ISNA(VLOOKUP(F1065,'2020功能科目'!A:B,2,FALSE)),"",VLOOKUP(F1065,'2020功能科目'!A:B,2,FALSE))</f>
        <v>2080505</v>
      </c>
      <c r="F1065" s="25" t="s">
        <v>382</v>
      </c>
      <c r="G1065" s="26">
        <v>6602176.6399999997</v>
      </c>
      <c r="H1065" s="26">
        <v>7142736.7999999998</v>
      </c>
    </row>
    <row r="1066" spans="1:8">
      <c r="A1066" s="24">
        <v>255114</v>
      </c>
      <c r="B1066" s="25" t="s">
        <v>92</v>
      </c>
      <c r="C1066" s="39" t="str">
        <f t="shared" si="32"/>
        <v>208</v>
      </c>
      <c r="D1066" s="39" t="str">
        <f t="shared" si="33"/>
        <v>20805</v>
      </c>
      <c r="E1066" s="39">
        <f>IF(ISNA(VLOOKUP(F1066,'2020功能科目'!A:B,2,FALSE)),"",VLOOKUP(F1066,'2020功能科目'!A:B,2,FALSE))</f>
        <v>2080506</v>
      </c>
      <c r="F1066" s="25" t="s">
        <v>383</v>
      </c>
      <c r="G1066" s="26">
        <v>3297186.28</v>
      </c>
      <c r="H1066" s="26">
        <v>3571368.4</v>
      </c>
    </row>
    <row r="1067" spans="1:8">
      <c r="A1067" s="24">
        <v>255114</v>
      </c>
      <c r="B1067" s="25" t="s">
        <v>92</v>
      </c>
      <c r="C1067" s="39" t="str">
        <f t="shared" si="32"/>
        <v>210</v>
      </c>
      <c r="D1067" s="39" t="str">
        <f t="shared" si="33"/>
        <v>21011</v>
      </c>
      <c r="E1067" s="39">
        <f>IF(ISNA(VLOOKUP(F1067,'2020功能科目'!A:B,2,FALSE)),"",VLOOKUP(F1067,'2020功能科目'!A:B,2,FALSE))</f>
        <v>2101102</v>
      </c>
      <c r="F1067" s="25" t="s">
        <v>385</v>
      </c>
      <c r="G1067" s="26">
        <v>5636272.79</v>
      </c>
      <c r="H1067" s="26">
        <v>5803473.6500000004</v>
      </c>
    </row>
    <row r="1068" spans="1:8">
      <c r="A1068" s="24">
        <v>255114</v>
      </c>
      <c r="B1068" s="25" t="s">
        <v>92</v>
      </c>
      <c r="C1068" s="39" t="str">
        <f t="shared" si="32"/>
        <v>210</v>
      </c>
      <c r="D1068" s="39" t="str">
        <f t="shared" si="33"/>
        <v>21011</v>
      </c>
      <c r="E1068" s="39">
        <f>IF(ISNA(VLOOKUP(F1068,'2020功能科目'!A:B,2,FALSE)),"",VLOOKUP(F1068,'2020功能科目'!A:B,2,FALSE))</f>
        <v>2101199</v>
      </c>
      <c r="F1068" s="25" t="s">
        <v>386</v>
      </c>
      <c r="G1068" s="26">
        <v>592500</v>
      </c>
      <c r="H1068" s="26">
        <v>630000</v>
      </c>
    </row>
    <row r="1069" spans="1:8">
      <c r="A1069" s="24">
        <v>255114</v>
      </c>
      <c r="B1069" s="25" t="s">
        <v>92</v>
      </c>
      <c r="C1069" s="39" t="str">
        <f t="shared" si="32"/>
        <v>221</v>
      </c>
      <c r="D1069" s="39" t="str">
        <f t="shared" si="33"/>
        <v>22102</v>
      </c>
      <c r="E1069" s="39">
        <f>IF(ISNA(VLOOKUP(F1069,'2020功能科目'!A:B,2,FALSE)),"",VLOOKUP(F1069,'2020功能科目'!A:B,2,FALSE))</f>
        <v>2210201</v>
      </c>
      <c r="F1069" s="25" t="s">
        <v>387</v>
      </c>
      <c r="G1069" s="26">
        <v>8090684</v>
      </c>
      <c r="H1069" s="26">
        <v>7001052.5999999996</v>
      </c>
    </row>
    <row r="1070" spans="1:8">
      <c r="A1070" s="24">
        <v>255114</v>
      </c>
      <c r="B1070" s="25" t="s">
        <v>92</v>
      </c>
      <c r="C1070" s="39" t="str">
        <f t="shared" si="32"/>
        <v>221</v>
      </c>
      <c r="D1070" s="39" t="str">
        <f t="shared" si="33"/>
        <v>22102</v>
      </c>
      <c r="E1070" s="39">
        <f>IF(ISNA(VLOOKUP(F1070,'2020功能科目'!A:B,2,FALSE)),"",VLOOKUP(F1070,'2020功能科目'!A:B,2,FALSE))</f>
        <v>2210202</v>
      </c>
      <c r="F1070" s="25" t="s">
        <v>388</v>
      </c>
      <c r="G1070" s="26">
        <v>468120</v>
      </c>
      <c r="H1070" s="26">
        <v>472800</v>
      </c>
    </row>
    <row r="1071" spans="1:8">
      <c r="A1071" s="24">
        <v>255114</v>
      </c>
      <c r="B1071" s="25" t="s">
        <v>92</v>
      </c>
      <c r="C1071" s="39" t="str">
        <f t="shared" si="32"/>
        <v>221</v>
      </c>
      <c r="D1071" s="39" t="str">
        <f t="shared" si="33"/>
        <v>22102</v>
      </c>
      <c r="E1071" s="39">
        <f>IF(ISNA(VLOOKUP(F1071,'2020功能科目'!A:B,2,FALSE)),"",VLOOKUP(F1071,'2020功能科目'!A:B,2,FALSE))</f>
        <v>2210203</v>
      </c>
      <c r="F1071" s="25" t="s">
        <v>389</v>
      </c>
      <c r="G1071" s="26">
        <v>7724075</v>
      </c>
      <c r="H1071" s="26">
        <v>7698108</v>
      </c>
    </row>
    <row r="1072" spans="1:8">
      <c r="A1072" s="24">
        <v>255115</v>
      </c>
      <c r="B1072" s="25" t="s">
        <v>93</v>
      </c>
      <c r="C1072" s="39" t="str">
        <f t="shared" si="32"/>
        <v>205</v>
      </c>
      <c r="D1072" s="39" t="str">
        <f t="shared" si="33"/>
        <v>20502</v>
      </c>
      <c r="E1072" s="39">
        <f>IF(ISNA(VLOOKUP(F1072,'2020功能科目'!A:B,2,FALSE)),"",VLOOKUP(F1072,'2020功能科目'!A:B,2,FALSE))</f>
        <v>2050204</v>
      </c>
      <c r="F1072" s="25" t="s">
        <v>376</v>
      </c>
      <c r="G1072" s="26">
        <v>105405105.81</v>
      </c>
      <c r="H1072" s="26">
        <v>88319598.180000007</v>
      </c>
    </row>
    <row r="1073" spans="1:8">
      <c r="A1073" s="24">
        <v>255115</v>
      </c>
      <c r="B1073" s="25" t="s">
        <v>93</v>
      </c>
      <c r="C1073" s="39" t="str">
        <f t="shared" si="32"/>
        <v>205</v>
      </c>
      <c r="D1073" s="39" t="str">
        <f t="shared" si="33"/>
        <v>20502</v>
      </c>
      <c r="E1073" s="39">
        <f>IF(ISNA(VLOOKUP(F1073,'2020功能科目'!A:B,2,FALSE)),"",VLOOKUP(F1073,'2020功能科目'!A:B,2,FALSE))</f>
        <v>2050299</v>
      </c>
      <c r="F1073" s="25" t="s">
        <v>377</v>
      </c>
      <c r="G1073" s="26">
        <v>288702.98</v>
      </c>
      <c r="H1073" s="26">
        <v>0</v>
      </c>
    </row>
    <row r="1074" spans="1:8">
      <c r="A1074" s="24">
        <v>255115</v>
      </c>
      <c r="B1074" s="25" t="s">
        <v>93</v>
      </c>
      <c r="C1074" s="39" t="str">
        <f t="shared" si="32"/>
        <v>205</v>
      </c>
      <c r="D1074" s="39" t="str">
        <f t="shared" si="33"/>
        <v>20508</v>
      </c>
      <c r="E1074" s="39">
        <f>IF(ISNA(VLOOKUP(F1074,'2020功能科目'!A:B,2,FALSE)),"",VLOOKUP(F1074,'2020功能科目'!A:B,2,FALSE))</f>
        <v>2050803</v>
      </c>
      <c r="F1074" s="25" t="s">
        <v>378</v>
      </c>
      <c r="G1074" s="26">
        <v>134000</v>
      </c>
      <c r="H1074" s="26">
        <v>268000</v>
      </c>
    </row>
    <row r="1075" spans="1:8">
      <c r="A1075" s="24">
        <v>255115</v>
      </c>
      <c r="B1075" s="25" t="s">
        <v>93</v>
      </c>
      <c r="C1075" s="39" t="str">
        <f t="shared" si="32"/>
        <v>205</v>
      </c>
      <c r="D1075" s="39" t="str">
        <f t="shared" si="33"/>
        <v>20509</v>
      </c>
      <c r="E1075" s="39">
        <f>IF(ISNA(VLOOKUP(F1075,'2020功能科目'!A:B,2,FALSE)),"",VLOOKUP(F1075,'2020功能科目'!A:B,2,FALSE))</f>
        <v>2050903</v>
      </c>
      <c r="F1075" s="25" t="s">
        <v>379</v>
      </c>
      <c r="G1075" s="26">
        <v>5908359.29</v>
      </c>
      <c r="H1075" s="26">
        <v>7119000</v>
      </c>
    </row>
    <row r="1076" spans="1:8">
      <c r="A1076" s="24">
        <v>255115</v>
      </c>
      <c r="B1076" s="25" t="s">
        <v>93</v>
      </c>
      <c r="C1076" s="39" t="str">
        <f t="shared" si="32"/>
        <v>205</v>
      </c>
      <c r="D1076" s="39" t="str">
        <f t="shared" si="33"/>
        <v>20509</v>
      </c>
      <c r="E1076" s="39">
        <f>IF(ISNA(VLOOKUP(F1076,'2020功能科目'!A:B,2,FALSE)),"",VLOOKUP(F1076,'2020功能科目'!A:B,2,FALSE))</f>
        <v>2050904</v>
      </c>
      <c r="F1076" s="25" t="s">
        <v>380</v>
      </c>
      <c r="G1076" s="26">
        <v>5296754</v>
      </c>
      <c r="H1076" s="26">
        <v>5307458</v>
      </c>
    </row>
    <row r="1077" spans="1:8">
      <c r="A1077" s="24">
        <v>255115</v>
      </c>
      <c r="B1077" s="25" t="s">
        <v>93</v>
      </c>
      <c r="C1077" s="39" t="str">
        <f t="shared" si="32"/>
        <v>208</v>
      </c>
      <c r="D1077" s="39" t="str">
        <f t="shared" si="33"/>
        <v>20805</v>
      </c>
      <c r="E1077" s="39">
        <f>IF(ISNA(VLOOKUP(F1077,'2020功能科目'!A:B,2,FALSE)),"",VLOOKUP(F1077,'2020功能科目'!A:B,2,FALSE))</f>
        <v>2080502</v>
      </c>
      <c r="F1077" s="25" t="s">
        <v>381</v>
      </c>
      <c r="G1077" s="26">
        <v>8581926</v>
      </c>
      <c r="H1077" s="26">
        <v>7358022</v>
      </c>
    </row>
    <row r="1078" spans="1:8">
      <c r="A1078" s="24">
        <v>255115</v>
      </c>
      <c r="B1078" s="25" t="s">
        <v>93</v>
      </c>
      <c r="C1078" s="39" t="str">
        <f t="shared" si="32"/>
        <v>208</v>
      </c>
      <c r="D1078" s="39" t="str">
        <f t="shared" si="33"/>
        <v>20805</v>
      </c>
      <c r="E1078" s="39">
        <f>IF(ISNA(VLOOKUP(F1078,'2020功能科目'!A:B,2,FALSE)),"",VLOOKUP(F1078,'2020功能科目'!A:B,2,FALSE))</f>
        <v>2080505</v>
      </c>
      <c r="F1078" s="25" t="s">
        <v>382</v>
      </c>
      <c r="G1078" s="26">
        <v>7947074.3399999999</v>
      </c>
      <c r="H1078" s="26">
        <v>8533006.4000000004</v>
      </c>
    </row>
    <row r="1079" spans="1:8">
      <c r="A1079" s="24">
        <v>255115</v>
      </c>
      <c r="B1079" s="25" t="s">
        <v>93</v>
      </c>
      <c r="C1079" s="39" t="str">
        <f t="shared" si="32"/>
        <v>208</v>
      </c>
      <c r="D1079" s="39" t="str">
        <f t="shared" si="33"/>
        <v>20805</v>
      </c>
      <c r="E1079" s="39">
        <f>IF(ISNA(VLOOKUP(F1079,'2020功能科目'!A:B,2,FALSE)),"",VLOOKUP(F1079,'2020功能科目'!A:B,2,FALSE))</f>
        <v>2080506</v>
      </c>
      <c r="F1079" s="25" t="s">
        <v>383</v>
      </c>
      <c r="G1079" s="26">
        <v>3972403.42</v>
      </c>
      <c r="H1079" s="26">
        <v>4266503.2</v>
      </c>
    </row>
    <row r="1080" spans="1:8">
      <c r="A1080" s="24">
        <v>255115</v>
      </c>
      <c r="B1080" s="25" t="s">
        <v>93</v>
      </c>
      <c r="C1080" s="39" t="str">
        <f t="shared" si="32"/>
        <v>210</v>
      </c>
      <c r="D1080" s="39" t="str">
        <f t="shared" si="33"/>
        <v>21011</v>
      </c>
      <c r="E1080" s="39">
        <f>IF(ISNA(VLOOKUP(F1080,'2020功能科目'!A:B,2,FALSE)),"",VLOOKUP(F1080,'2020功能科目'!A:B,2,FALSE))</f>
        <v>2101102</v>
      </c>
      <c r="F1080" s="25" t="s">
        <v>385</v>
      </c>
      <c r="G1080" s="26">
        <v>8765748.8000000007</v>
      </c>
      <c r="H1080" s="26">
        <v>6933067.7000000002</v>
      </c>
    </row>
    <row r="1081" spans="1:8">
      <c r="A1081" s="24">
        <v>255115</v>
      </c>
      <c r="B1081" s="25" t="s">
        <v>93</v>
      </c>
      <c r="C1081" s="39" t="str">
        <f t="shared" si="32"/>
        <v>210</v>
      </c>
      <c r="D1081" s="39" t="str">
        <f t="shared" si="33"/>
        <v>21011</v>
      </c>
      <c r="E1081" s="39">
        <f>IF(ISNA(VLOOKUP(F1081,'2020功能科目'!A:B,2,FALSE)),"",VLOOKUP(F1081,'2020功能科目'!A:B,2,FALSE))</f>
        <v>2101199</v>
      </c>
      <c r="F1081" s="25" t="s">
        <v>386</v>
      </c>
      <c r="G1081" s="26">
        <v>810000</v>
      </c>
      <c r="H1081" s="26">
        <v>900000</v>
      </c>
    </row>
    <row r="1082" spans="1:8">
      <c r="A1082" s="24">
        <v>255115</v>
      </c>
      <c r="B1082" s="25" t="s">
        <v>93</v>
      </c>
      <c r="C1082" s="39" t="str">
        <f t="shared" si="32"/>
        <v>221</v>
      </c>
      <c r="D1082" s="39" t="str">
        <f t="shared" si="33"/>
        <v>22102</v>
      </c>
      <c r="E1082" s="39">
        <f>IF(ISNA(VLOOKUP(F1082,'2020功能科目'!A:B,2,FALSE)),"",VLOOKUP(F1082,'2020功能科目'!A:B,2,FALSE))</f>
        <v>2210201</v>
      </c>
      <c r="F1082" s="25" t="s">
        <v>387</v>
      </c>
      <c r="G1082" s="26">
        <v>10296158</v>
      </c>
      <c r="H1082" s="26">
        <v>8409754.8000000007</v>
      </c>
    </row>
    <row r="1083" spans="1:8">
      <c r="A1083" s="24">
        <v>255115</v>
      </c>
      <c r="B1083" s="25" t="s">
        <v>93</v>
      </c>
      <c r="C1083" s="39" t="str">
        <f t="shared" si="32"/>
        <v>221</v>
      </c>
      <c r="D1083" s="39" t="str">
        <f t="shared" si="33"/>
        <v>22102</v>
      </c>
      <c r="E1083" s="39">
        <f>IF(ISNA(VLOOKUP(F1083,'2020功能科目'!A:B,2,FALSE)),"",VLOOKUP(F1083,'2020功能科目'!A:B,2,FALSE))</f>
        <v>2210202</v>
      </c>
      <c r="F1083" s="25" t="s">
        <v>388</v>
      </c>
      <c r="G1083" s="26">
        <v>494880</v>
      </c>
      <c r="H1083" s="26">
        <v>492840</v>
      </c>
    </row>
    <row r="1084" spans="1:8">
      <c r="A1084" s="24">
        <v>255115</v>
      </c>
      <c r="B1084" s="25" t="s">
        <v>93</v>
      </c>
      <c r="C1084" s="39" t="str">
        <f t="shared" si="32"/>
        <v>221</v>
      </c>
      <c r="D1084" s="39" t="str">
        <f t="shared" si="33"/>
        <v>22102</v>
      </c>
      <c r="E1084" s="39">
        <f>IF(ISNA(VLOOKUP(F1084,'2020功能科目'!A:B,2,FALSE)),"",VLOOKUP(F1084,'2020功能科目'!A:B,2,FALSE))</f>
        <v>2210203</v>
      </c>
      <c r="F1084" s="25" t="s">
        <v>389</v>
      </c>
      <c r="G1084" s="26">
        <v>8697755</v>
      </c>
      <c r="H1084" s="26">
        <v>8760120</v>
      </c>
    </row>
    <row r="1085" spans="1:8">
      <c r="A1085" s="24">
        <v>255116</v>
      </c>
      <c r="B1085" s="25" t="s">
        <v>94</v>
      </c>
      <c r="C1085" s="39" t="str">
        <f t="shared" si="32"/>
        <v>205</v>
      </c>
      <c r="D1085" s="39" t="str">
        <f t="shared" si="33"/>
        <v>20502</v>
      </c>
      <c r="E1085" s="39">
        <f>IF(ISNA(VLOOKUP(F1085,'2020功能科目'!A:B,2,FALSE)),"",VLOOKUP(F1085,'2020功能科目'!A:B,2,FALSE))</f>
        <v>2050204</v>
      </c>
      <c r="F1085" s="25" t="s">
        <v>376</v>
      </c>
      <c r="G1085" s="26">
        <v>36015546.200000003</v>
      </c>
      <c r="H1085" s="26">
        <v>30370114.5</v>
      </c>
    </row>
    <row r="1086" spans="1:8">
      <c r="A1086" s="24">
        <v>255116</v>
      </c>
      <c r="B1086" s="25" t="s">
        <v>94</v>
      </c>
      <c r="C1086" s="39" t="str">
        <f t="shared" si="32"/>
        <v>205</v>
      </c>
      <c r="D1086" s="39" t="str">
        <f t="shared" si="33"/>
        <v>20502</v>
      </c>
      <c r="E1086" s="39">
        <f>IF(ISNA(VLOOKUP(F1086,'2020功能科目'!A:B,2,FALSE)),"",VLOOKUP(F1086,'2020功能科目'!A:B,2,FALSE))</f>
        <v>2050299</v>
      </c>
      <c r="F1086" s="25" t="s">
        <v>377</v>
      </c>
      <c r="G1086" s="26">
        <v>2039.57</v>
      </c>
      <c r="H1086" s="26">
        <v>0</v>
      </c>
    </row>
    <row r="1087" spans="1:8">
      <c r="A1087" s="24">
        <v>255116</v>
      </c>
      <c r="B1087" s="25" t="s">
        <v>94</v>
      </c>
      <c r="C1087" s="39" t="str">
        <f t="shared" si="32"/>
        <v>205</v>
      </c>
      <c r="D1087" s="39" t="str">
        <f t="shared" si="33"/>
        <v>20508</v>
      </c>
      <c r="E1087" s="39">
        <f>IF(ISNA(VLOOKUP(F1087,'2020功能科目'!A:B,2,FALSE)),"",VLOOKUP(F1087,'2020功能科目'!A:B,2,FALSE))</f>
        <v>2050803</v>
      </c>
      <c r="F1087" s="25" t="s">
        <v>378</v>
      </c>
      <c r="G1087" s="26">
        <v>48000</v>
      </c>
      <c r="H1087" s="26">
        <v>96000</v>
      </c>
    </row>
    <row r="1088" spans="1:8">
      <c r="A1088" s="24">
        <v>255116</v>
      </c>
      <c r="B1088" s="25" t="s">
        <v>94</v>
      </c>
      <c r="C1088" s="39" t="str">
        <f t="shared" si="32"/>
        <v>205</v>
      </c>
      <c r="D1088" s="39" t="str">
        <f t="shared" si="33"/>
        <v>20509</v>
      </c>
      <c r="E1088" s="39">
        <f>IF(ISNA(VLOOKUP(F1088,'2020功能科目'!A:B,2,FALSE)),"",VLOOKUP(F1088,'2020功能科目'!A:B,2,FALSE))</f>
        <v>2050904</v>
      </c>
      <c r="F1088" s="25" t="s">
        <v>380</v>
      </c>
      <c r="G1088" s="26">
        <v>1122870</v>
      </c>
      <c r="H1088" s="26">
        <v>1128950</v>
      </c>
    </row>
    <row r="1089" spans="1:8">
      <c r="A1089" s="24">
        <v>255116</v>
      </c>
      <c r="B1089" s="25" t="s">
        <v>94</v>
      </c>
      <c r="C1089" s="39" t="str">
        <f t="shared" si="32"/>
        <v>208</v>
      </c>
      <c r="D1089" s="39" t="str">
        <f t="shared" si="33"/>
        <v>20805</v>
      </c>
      <c r="E1089" s="39">
        <f>IF(ISNA(VLOOKUP(F1089,'2020功能科目'!A:B,2,FALSE)),"",VLOOKUP(F1089,'2020功能科目'!A:B,2,FALSE))</f>
        <v>2080502</v>
      </c>
      <c r="F1089" s="25" t="s">
        <v>381</v>
      </c>
      <c r="G1089" s="26">
        <v>4182941.6</v>
      </c>
      <c r="H1089" s="26">
        <v>3274234</v>
      </c>
    </row>
    <row r="1090" spans="1:8">
      <c r="A1090" s="24">
        <v>255116</v>
      </c>
      <c r="B1090" s="25" t="s">
        <v>94</v>
      </c>
      <c r="C1090" s="39" t="str">
        <f t="shared" si="32"/>
        <v>208</v>
      </c>
      <c r="D1090" s="39" t="str">
        <f t="shared" si="33"/>
        <v>20805</v>
      </c>
      <c r="E1090" s="39">
        <f>IF(ISNA(VLOOKUP(F1090,'2020功能科目'!A:B,2,FALSE)),"",VLOOKUP(F1090,'2020功能科目'!A:B,2,FALSE))</f>
        <v>2080505</v>
      </c>
      <c r="F1090" s="25" t="s">
        <v>382</v>
      </c>
      <c r="G1090" s="26">
        <v>2605332.96</v>
      </c>
      <c r="H1090" s="26">
        <v>2859711.84</v>
      </c>
    </row>
    <row r="1091" spans="1:8">
      <c r="A1091" s="24">
        <v>255116</v>
      </c>
      <c r="B1091" s="25" t="s">
        <v>94</v>
      </c>
      <c r="C1091" s="39" t="str">
        <f t="shared" ref="C1091:C1154" si="34">LEFT(D1091,3)</f>
        <v>208</v>
      </c>
      <c r="D1091" s="39" t="str">
        <f t="shared" ref="D1091:D1154" si="35">LEFT(E1091,5)</f>
        <v>20805</v>
      </c>
      <c r="E1091" s="39">
        <f>IF(ISNA(VLOOKUP(F1091,'2020功能科目'!A:B,2,FALSE)),"",VLOOKUP(F1091,'2020功能科目'!A:B,2,FALSE))</f>
        <v>2080506</v>
      </c>
      <c r="F1091" s="25" t="s">
        <v>383</v>
      </c>
      <c r="G1091" s="26">
        <v>1302666.48</v>
      </c>
      <c r="H1091" s="26">
        <v>1429855.92</v>
      </c>
    </row>
    <row r="1092" spans="1:8">
      <c r="A1092" s="24">
        <v>255116</v>
      </c>
      <c r="B1092" s="25" t="s">
        <v>94</v>
      </c>
      <c r="C1092" s="39" t="str">
        <f t="shared" si="34"/>
        <v>210</v>
      </c>
      <c r="D1092" s="39" t="str">
        <f t="shared" si="35"/>
        <v>21011</v>
      </c>
      <c r="E1092" s="39">
        <f>IF(ISNA(VLOOKUP(F1092,'2020功能科目'!A:B,2,FALSE)),"",VLOOKUP(F1092,'2020功能科目'!A:B,2,FALSE))</f>
        <v>2101102</v>
      </c>
      <c r="F1092" s="25" t="s">
        <v>385</v>
      </c>
      <c r="G1092" s="26">
        <v>2818198.12</v>
      </c>
      <c r="H1092" s="26">
        <v>2323515.87</v>
      </c>
    </row>
    <row r="1093" spans="1:8">
      <c r="A1093" s="24">
        <v>255116</v>
      </c>
      <c r="B1093" s="25" t="s">
        <v>94</v>
      </c>
      <c r="C1093" s="39" t="str">
        <f t="shared" si="34"/>
        <v>210</v>
      </c>
      <c r="D1093" s="39" t="str">
        <f t="shared" si="35"/>
        <v>21011</v>
      </c>
      <c r="E1093" s="39">
        <f>IF(ISNA(VLOOKUP(F1093,'2020功能科目'!A:B,2,FALSE)),"",VLOOKUP(F1093,'2020功能科目'!A:B,2,FALSE))</f>
        <v>2101199</v>
      </c>
      <c r="F1093" s="25" t="s">
        <v>386</v>
      </c>
      <c r="G1093" s="26">
        <v>270000</v>
      </c>
      <c r="H1093" s="26">
        <v>270000</v>
      </c>
    </row>
    <row r="1094" spans="1:8">
      <c r="A1094" s="24">
        <v>255116</v>
      </c>
      <c r="B1094" s="25" t="s">
        <v>94</v>
      </c>
      <c r="C1094" s="39" t="str">
        <f t="shared" si="34"/>
        <v>221</v>
      </c>
      <c r="D1094" s="39" t="str">
        <f t="shared" si="35"/>
        <v>22102</v>
      </c>
      <c r="E1094" s="39">
        <f>IF(ISNA(VLOOKUP(F1094,'2020功能科目'!A:B,2,FALSE)),"",VLOOKUP(F1094,'2020功能科目'!A:B,2,FALSE))</f>
        <v>2210201</v>
      </c>
      <c r="F1094" s="25" t="s">
        <v>387</v>
      </c>
      <c r="G1094" s="26">
        <v>3363315</v>
      </c>
      <c r="H1094" s="26">
        <v>2864783.88</v>
      </c>
    </row>
    <row r="1095" spans="1:8">
      <c r="A1095" s="24">
        <v>255116</v>
      </c>
      <c r="B1095" s="25" t="s">
        <v>94</v>
      </c>
      <c r="C1095" s="39" t="str">
        <f t="shared" si="34"/>
        <v>221</v>
      </c>
      <c r="D1095" s="39" t="str">
        <f t="shared" si="35"/>
        <v>22102</v>
      </c>
      <c r="E1095" s="39">
        <f>IF(ISNA(VLOOKUP(F1095,'2020功能科目'!A:B,2,FALSE)),"",VLOOKUP(F1095,'2020功能科目'!A:B,2,FALSE))</f>
        <v>2210202</v>
      </c>
      <c r="F1095" s="25" t="s">
        <v>388</v>
      </c>
      <c r="G1095" s="26">
        <v>251120</v>
      </c>
      <c r="H1095" s="26">
        <v>254760</v>
      </c>
    </row>
    <row r="1096" spans="1:8">
      <c r="A1096" s="24">
        <v>255116</v>
      </c>
      <c r="B1096" s="25" t="s">
        <v>94</v>
      </c>
      <c r="C1096" s="39" t="str">
        <f t="shared" si="34"/>
        <v>221</v>
      </c>
      <c r="D1096" s="39" t="str">
        <f t="shared" si="35"/>
        <v>22102</v>
      </c>
      <c r="E1096" s="39">
        <f>IF(ISNA(VLOOKUP(F1096,'2020功能科目'!A:B,2,FALSE)),"",VLOOKUP(F1096,'2020功能科目'!A:B,2,FALSE))</f>
        <v>2210203</v>
      </c>
      <c r="F1096" s="25" t="s">
        <v>389</v>
      </c>
      <c r="G1096" s="26">
        <v>3037264</v>
      </c>
      <c r="H1096" s="26">
        <v>3069336</v>
      </c>
    </row>
    <row r="1097" spans="1:8">
      <c r="A1097" s="24">
        <v>255117</v>
      </c>
      <c r="B1097" s="25" t="s">
        <v>95</v>
      </c>
      <c r="C1097" s="39" t="str">
        <f t="shared" si="34"/>
        <v>205</v>
      </c>
      <c r="D1097" s="39" t="str">
        <f t="shared" si="35"/>
        <v>20502</v>
      </c>
      <c r="E1097" s="39">
        <f>IF(ISNA(VLOOKUP(F1097,'2020功能科目'!A:B,2,FALSE)),"",VLOOKUP(F1097,'2020功能科目'!A:B,2,FALSE))</f>
        <v>2050204</v>
      </c>
      <c r="F1097" s="25" t="s">
        <v>376</v>
      </c>
      <c r="G1097" s="26">
        <v>33052209.989999998</v>
      </c>
      <c r="H1097" s="26">
        <v>29087071.09</v>
      </c>
    </row>
    <row r="1098" spans="1:8">
      <c r="A1098" s="24">
        <v>255117</v>
      </c>
      <c r="B1098" s="25" t="s">
        <v>95</v>
      </c>
      <c r="C1098" s="39" t="str">
        <f t="shared" si="34"/>
        <v>205</v>
      </c>
      <c r="D1098" s="39" t="str">
        <f t="shared" si="35"/>
        <v>20508</v>
      </c>
      <c r="E1098" s="39">
        <f>IF(ISNA(VLOOKUP(F1098,'2020功能科目'!A:B,2,FALSE)),"",VLOOKUP(F1098,'2020功能科目'!A:B,2,FALSE))</f>
        <v>2050803</v>
      </c>
      <c r="F1098" s="25" t="s">
        <v>378</v>
      </c>
      <c r="G1098" s="26">
        <v>290</v>
      </c>
      <c r="H1098" s="26">
        <v>92800</v>
      </c>
    </row>
    <row r="1099" spans="1:8">
      <c r="A1099" s="24">
        <v>255117</v>
      </c>
      <c r="B1099" s="25" t="s">
        <v>95</v>
      </c>
      <c r="C1099" s="39" t="str">
        <f t="shared" si="34"/>
        <v>205</v>
      </c>
      <c r="D1099" s="39" t="str">
        <f t="shared" si="35"/>
        <v>20509</v>
      </c>
      <c r="E1099" s="39">
        <f>IF(ISNA(VLOOKUP(F1099,'2020功能科目'!A:B,2,FALSE)),"",VLOOKUP(F1099,'2020功能科目'!A:B,2,FALSE))</f>
        <v>2050903</v>
      </c>
      <c r="F1099" s="25" t="s">
        <v>379</v>
      </c>
      <c r="G1099" s="26">
        <v>1966861.5</v>
      </c>
      <c r="H1099" s="26">
        <v>2100000</v>
      </c>
    </row>
    <row r="1100" spans="1:8">
      <c r="A1100" s="24">
        <v>255117</v>
      </c>
      <c r="B1100" s="25" t="s">
        <v>95</v>
      </c>
      <c r="C1100" s="39" t="str">
        <f t="shared" si="34"/>
        <v>205</v>
      </c>
      <c r="D1100" s="39" t="str">
        <f t="shared" si="35"/>
        <v>20509</v>
      </c>
      <c r="E1100" s="39">
        <f>IF(ISNA(VLOOKUP(F1100,'2020功能科目'!A:B,2,FALSE)),"",VLOOKUP(F1100,'2020功能科目'!A:B,2,FALSE))</f>
        <v>2050904</v>
      </c>
      <c r="F1100" s="25" t="s">
        <v>380</v>
      </c>
      <c r="G1100" s="26">
        <v>1821387</v>
      </c>
      <c r="H1100" s="26">
        <v>1823887</v>
      </c>
    </row>
    <row r="1101" spans="1:8">
      <c r="A1101" s="24">
        <v>255117</v>
      </c>
      <c r="B1101" s="25" t="s">
        <v>95</v>
      </c>
      <c r="C1101" s="39" t="str">
        <f t="shared" si="34"/>
        <v>208</v>
      </c>
      <c r="D1101" s="39" t="str">
        <f t="shared" si="35"/>
        <v>20805</v>
      </c>
      <c r="E1101" s="39">
        <f>IF(ISNA(VLOOKUP(F1101,'2020功能科目'!A:B,2,FALSE)),"",VLOOKUP(F1101,'2020功能科目'!A:B,2,FALSE))</f>
        <v>2080502</v>
      </c>
      <c r="F1101" s="25" t="s">
        <v>381</v>
      </c>
      <c r="G1101" s="26">
        <v>2157918.36</v>
      </c>
      <c r="H1101" s="26">
        <v>1775181.36</v>
      </c>
    </row>
    <row r="1102" spans="1:8">
      <c r="A1102" s="24">
        <v>255117</v>
      </c>
      <c r="B1102" s="25" t="s">
        <v>95</v>
      </c>
      <c r="C1102" s="39" t="str">
        <f t="shared" si="34"/>
        <v>208</v>
      </c>
      <c r="D1102" s="39" t="str">
        <f t="shared" si="35"/>
        <v>20805</v>
      </c>
      <c r="E1102" s="39">
        <f>IF(ISNA(VLOOKUP(F1102,'2020功能科目'!A:B,2,FALSE)),"",VLOOKUP(F1102,'2020功能科目'!A:B,2,FALSE))</f>
        <v>2080505</v>
      </c>
      <c r="F1102" s="25" t="s">
        <v>382</v>
      </c>
      <c r="G1102" s="26">
        <v>2629662.19</v>
      </c>
      <c r="H1102" s="26">
        <v>3052246.72</v>
      </c>
    </row>
    <row r="1103" spans="1:8">
      <c r="A1103" s="24">
        <v>255117</v>
      </c>
      <c r="B1103" s="25" t="s">
        <v>95</v>
      </c>
      <c r="C1103" s="39" t="str">
        <f t="shared" si="34"/>
        <v>208</v>
      </c>
      <c r="D1103" s="39" t="str">
        <f t="shared" si="35"/>
        <v>20805</v>
      </c>
      <c r="E1103" s="39">
        <f>IF(ISNA(VLOOKUP(F1103,'2020功能科目'!A:B,2,FALSE)),"",VLOOKUP(F1103,'2020功能科目'!A:B,2,FALSE))</f>
        <v>2080506</v>
      </c>
      <c r="F1103" s="25" t="s">
        <v>383</v>
      </c>
      <c r="G1103" s="26">
        <v>1653219.36</v>
      </c>
      <c r="H1103" s="26">
        <v>1526123.36</v>
      </c>
    </row>
    <row r="1104" spans="1:8">
      <c r="A1104" s="24">
        <v>255117</v>
      </c>
      <c r="B1104" s="25" t="s">
        <v>95</v>
      </c>
      <c r="C1104" s="39" t="str">
        <f t="shared" si="34"/>
        <v>210</v>
      </c>
      <c r="D1104" s="39" t="str">
        <f t="shared" si="35"/>
        <v>21011</v>
      </c>
      <c r="E1104" s="39">
        <f>IF(ISNA(VLOOKUP(F1104,'2020功能科目'!A:B,2,FALSE)),"",VLOOKUP(F1104,'2020功能科目'!A:B,2,FALSE))</f>
        <v>2101102</v>
      </c>
      <c r="F1104" s="25" t="s">
        <v>385</v>
      </c>
      <c r="G1104" s="26">
        <v>2074277.16</v>
      </c>
      <c r="H1104" s="26">
        <v>2479950.46</v>
      </c>
    </row>
    <row r="1105" spans="1:8">
      <c r="A1105" s="24">
        <v>255117</v>
      </c>
      <c r="B1105" s="25" t="s">
        <v>95</v>
      </c>
      <c r="C1105" s="39" t="str">
        <f t="shared" si="34"/>
        <v>210</v>
      </c>
      <c r="D1105" s="39" t="str">
        <f t="shared" si="35"/>
        <v>21011</v>
      </c>
      <c r="E1105" s="39">
        <f>IF(ISNA(VLOOKUP(F1105,'2020功能科目'!A:B,2,FALSE)),"",VLOOKUP(F1105,'2020功能科目'!A:B,2,FALSE))</f>
        <v>2101199</v>
      </c>
      <c r="F1105" s="25" t="s">
        <v>386</v>
      </c>
      <c r="G1105" s="26">
        <v>90000</v>
      </c>
      <c r="H1105" s="26">
        <v>90000</v>
      </c>
    </row>
    <row r="1106" spans="1:8">
      <c r="A1106" s="24">
        <v>255117</v>
      </c>
      <c r="B1106" s="25" t="s">
        <v>95</v>
      </c>
      <c r="C1106" s="39" t="str">
        <f t="shared" si="34"/>
        <v>221</v>
      </c>
      <c r="D1106" s="39" t="str">
        <f t="shared" si="35"/>
        <v>22102</v>
      </c>
      <c r="E1106" s="39">
        <f>IF(ISNA(VLOOKUP(F1106,'2020功能科目'!A:B,2,FALSE)),"",VLOOKUP(F1106,'2020功能科目'!A:B,2,FALSE))</f>
        <v>2210201</v>
      </c>
      <c r="F1106" s="25" t="s">
        <v>387</v>
      </c>
      <c r="G1106" s="26">
        <v>3015944</v>
      </c>
      <c r="H1106" s="26">
        <v>2985185.04</v>
      </c>
    </row>
    <row r="1107" spans="1:8">
      <c r="A1107" s="24">
        <v>255117</v>
      </c>
      <c r="B1107" s="25" t="s">
        <v>95</v>
      </c>
      <c r="C1107" s="39" t="str">
        <f t="shared" si="34"/>
        <v>221</v>
      </c>
      <c r="D1107" s="39" t="str">
        <f t="shared" si="35"/>
        <v>22102</v>
      </c>
      <c r="E1107" s="39">
        <f>IF(ISNA(VLOOKUP(F1107,'2020功能科目'!A:B,2,FALSE)),"",VLOOKUP(F1107,'2020功能科目'!A:B,2,FALSE))</f>
        <v>2210202</v>
      </c>
      <c r="F1107" s="25" t="s">
        <v>388</v>
      </c>
      <c r="G1107" s="26">
        <v>231409.5</v>
      </c>
      <c r="H1107" s="26">
        <v>231480</v>
      </c>
    </row>
    <row r="1108" spans="1:8">
      <c r="A1108" s="24">
        <v>255117</v>
      </c>
      <c r="B1108" s="25" t="s">
        <v>95</v>
      </c>
      <c r="C1108" s="39" t="str">
        <f t="shared" si="34"/>
        <v>221</v>
      </c>
      <c r="D1108" s="39" t="str">
        <f t="shared" si="35"/>
        <v>22102</v>
      </c>
      <c r="E1108" s="39">
        <f>IF(ISNA(VLOOKUP(F1108,'2020功能科目'!A:B,2,FALSE)),"",VLOOKUP(F1108,'2020功能科目'!A:B,2,FALSE))</f>
        <v>2210203</v>
      </c>
      <c r="F1108" s="25" t="s">
        <v>389</v>
      </c>
      <c r="G1108" s="26">
        <v>3334488</v>
      </c>
      <c r="H1108" s="26">
        <v>3434160</v>
      </c>
    </row>
    <row r="1109" spans="1:8">
      <c r="A1109" s="24">
        <v>255119</v>
      </c>
      <c r="B1109" s="25" t="s">
        <v>96</v>
      </c>
      <c r="C1109" s="39" t="str">
        <f t="shared" si="34"/>
        <v>205</v>
      </c>
      <c r="D1109" s="39" t="str">
        <f t="shared" si="35"/>
        <v>20502</v>
      </c>
      <c r="E1109" s="39">
        <f>IF(ISNA(VLOOKUP(F1109,'2020功能科目'!A:B,2,FALSE)),"",VLOOKUP(F1109,'2020功能科目'!A:B,2,FALSE))</f>
        <v>2050204</v>
      </c>
      <c r="F1109" s="25" t="s">
        <v>376</v>
      </c>
      <c r="G1109" s="26">
        <v>78655891.219999999</v>
      </c>
      <c r="H1109" s="26">
        <v>66695512.600000001</v>
      </c>
    </row>
    <row r="1110" spans="1:8">
      <c r="A1110" s="24">
        <v>255119</v>
      </c>
      <c r="B1110" s="25" t="s">
        <v>96</v>
      </c>
      <c r="C1110" s="39" t="str">
        <f t="shared" si="34"/>
        <v>205</v>
      </c>
      <c r="D1110" s="39" t="str">
        <f t="shared" si="35"/>
        <v>20502</v>
      </c>
      <c r="E1110" s="39">
        <f>IF(ISNA(VLOOKUP(F1110,'2020功能科目'!A:B,2,FALSE)),"",VLOOKUP(F1110,'2020功能科目'!A:B,2,FALSE))</f>
        <v>2050299</v>
      </c>
      <c r="F1110" s="25" t="s">
        <v>377</v>
      </c>
      <c r="G1110" s="26">
        <v>135800</v>
      </c>
      <c r="H1110" s="26">
        <v>0</v>
      </c>
    </row>
    <row r="1111" spans="1:8">
      <c r="A1111" s="24">
        <v>255119</v>
      </c>
      <c r="B1111" s="25" t="s">
        <v>96</v>
      </c>
      <c r="C1111" s="39" t="str">
        <f t="shared" si="34"/>
        <v>205</v>
      </c>
      <c r="D1111" s="39" t="str">
        <f t="shared" si="35"/>
        <v>20508</v>
      </c>
      <c r="E1111" s="39">
        <f>IF(ISNA(VLOOKUP(F1111,'2020功能科目'!A:B,2,FALSE)),"",VLOOKUP(F1111,'2020功能科目'!A:B,2,FALSE))</f>
        <v>2050803</v>
      </c>
      <c r="F1111" s="25" t="s">
        <v>378</v>
      </c>
      <c r="G1111" s="26">
        <v>11177.38</v>
      </c>
      <c r="H1111" s="26">
        <v>212800</v>
      </c>
    </row>
    <row r="1112" spans="1:8">
      <c r="A1112" s="24">
        <v>255119</v>
      </c>
      <c r="B1112" s="25" t="s">
        <v>96</v>
      </c>
      <c r="C1112" s="39" t="str">
        <f t="shared" si="34"/>
        <v>205</v>
      </c>
      <c r="D1112" s="39" t="str">
        <f t="shared" si="35"/>
        <v>20509</v>
      </c>
      <c r="E1112" s="39">
        <f>IF(ISNA(VLOOKUP(F1112,'2020功能科目'!A:B,2,FALSE)),"",VLOOKUP(F1112,'2020功能科目'!A:B,2,FALSE))</f>
        <v>2050903</v>
      </c>
      <c r="F1112" s="25" t="s">
        <v>379</v>
      </c>
      <c r="G1112" s="26">
        <v>406372.75</v>
      </c>
      <c r="H1112" s="26">
        <v>532000</v>
      </c>
    </row>
    <row r="1113" spans="1:8">
      <c r="A1113" s="24">
        <v>255119</v>
      </c>
      <c r="B1113" s="25" t="s">
        <v>96</v>
      </c>
      <c r="C1113" s="39" t="str">
        <f t="shared" si="34"/>
        <v>205</v>
      </c>
      <c r="D1113" s="39" t="str">
        <f t="shared" si="35"/>
        <v>20509</v>
      </c>
      <c r="E1113" s="39">
        <f>IF(ISNA(VLOOKUP(F1113,'2020功能科目'!A:B,2,FALSE)),"",VLOOKUP(F1113,'2020功能科目'!A:B,2,FALSE))</f>
        <v>2050904</v>
      </c>
      <c r="F1113" s="25" t="s">
        <v>380</v>
      </c>
      <c r="G1113" s="26">
        <v>1351730.2</v>
      </c>
      <c r="H1113" s="26">
        <v>1564773.2</v>
      </c>
    </row>
    <row r="1114" spans="1:8">
      <c r="A1114" s="24">
        <v>255119</v>
      </c>
      <c r="B1114" s="25" t="s">
        <v>96</v>
      </c>
      <c r="C1114" s="39" t="str">
        <f t="shared" si="34"/>
        <v>208</v>
      </c>
      <c r="D1114" s="39" t="str">
        <f t="shared" si="35"/>
        <v>20805</v>
      </c>
      <c r="E1114" s="39">
        <f>IF(ISNA(VLOOKUP(F1114,'2020功能科目'!A:B,2,FALSE)),"",VLOOKUP(F1114,'2020功能科目'!A:B,2,FALSE))</f>
        <v>2080502</v>
      </c>
      <c r="F1114" s="25" t="s">
        <v>381</v>
      </c>
      <c r="G1114" s="26">
        <v>5788159.2000000002</v>
      </c>
      <c r="H1114" s="26">
        <v>4623460</v>
      </c>
    </row>
    <row r="1115" spans="1:8">
      <c r="A1115" s="24">
        <v>255119</v>
      </c>
      <c r="B1115" s="25" t="s">
        <v>96</v>
      </c>
      <c r="C1115" s="39" t="str">
        <f t="shared" si="34"/>
        <v>208</v>
      </c>
      <c r="D1115" s="39" t="str">
        <f t="shared" si="35"/>
        <v>20805</v>
      </c>
      <c r="E1115" s="39">
        <f>IF(ISNA(VLOOKUP(F1115,'2020功能科目'!A:B,2,FALSE)),"",VLOOKUP(F1115,'2020功能科目'!A:B,2,FALSE))</f>
        <v>2080505</v>
      </c>
      <c r="F1115" s="25" t="s">
        <v>382</v>
      </c>
      <c r="G1115" s="26">
        <v>6319236.6799999997</v>
      </c>
      <c r="H1115" s="26">
        <v>6752555.5199999996</v>
      </c>
    </row>
    <row r="1116" spans="1:8">
      <c r="A1116" s="24">
        <v>255119</v>
      </c>
      <c r="B1116" s="25" t="s">
        <v>96</v>
      </c>
      <c r="C1116" s="39" t="str">
        <f t="shared" si="34"/>
        <v>208</v>
      </c>
      <c r="D1116" s="39" t="str">
        <f t="shared" si="35"/>
        <v>20805</v>
      </c>
      <c r="E1116" s="39">
        <f>IF(ISNA(VLOOKUP(F1116,'2020功能科目'!A:B,2,FALSE)),"",VLOOKUP(F1116,'2020功能科目'!A:B,2,FALSE))</f>
        <v>2080506</v>
      </c>
      <c r="F1116" s="25" t="s">
        <v>383</v>
      </c>
      <c r="G1116" s="26">
        <v>3149212.92</v>
      </c>
      <c r="H1116" s="26">
        <v>3376277.76</v>
      </c>
    </row>
    <row r="1117" spans="1:8">
      <c r="A1117" s="24">
        <v>255119</v>
      </c>
      <c r="B1117" s="25" t="s">
        <v>96</v>
      </c>
      <c r="C1117" s="39" t="str">
        <f t="shared" si="34"/>
        <v>210</v>
      </c>
      <c r="D1117" s="39" t="str">
        <f t="shared" si="35"/>
        <v>21011</v>
      </c>
      <c r="E1117" s="39">
        <f>IF(ISNA(VLOOKUP(F1117,'2020功能科目'!A:B,2,FALSE)),"",VLOOKUP(F1117,'2020功能科目'!A:B,2,FALSE))</f>
        <v>2101102</v>
      </c>
      <c r="F1117" s="25" t="s">
        <v>385</v>
      </c>
      <c r="G1117" s="26">
        <v>6641797.4800000004</v>
      </c>
      <c r="H1117" s="26">
        <v>5486451.3600000003</v>
      </c>
    </row>
    <row r="1118" spans="1:8">
      <c r="A1118" s="24">
        <v>255119</v>
      </c>
      <c r="B1118" s="25" t="s">
        <v>96</v>
      </c>
      <c r="C1118" s="39" t="str">
        <f t="shared" si="34"/>
        <v>210</v>
      </c>
      <c r="D1118" s="39" t="str">
        <f t="shared" si="35"/>
        <v>21011</v>
      </c>
      <c r="E1118" s="39">
        <f>IF(ISNA(VLOOKUP(F1118,'2020功能科目'!A:B,2,FALSE)),"",VLOOKUP(F1118,'2020功能科目'!A:B,2,FALSE))</f>
        <v>2101199</v>
      </c>
      <c r="F1118" s="25" t="s">
        <v>386</v>
      </c>
      <c r="G1118" s="26">
        <v>360000</v>
      </c>
      <c r="H1118" s="26">
        <v>360000</v>
      </c>
    </row>
    <row r="1119" spans="1:8">
      <c r="A1119" s="24">
        <v>255119</v>
      </c>
      <c r="B1119" s="25" t="s">
        <v>96</v>
      </c>
      <c r="C1119" s="39" t="str">
        <f t="shared" si="34"/>
        <v>221</v>
      </c>
      <c r="D1119" s="39" t="str">
        <f t="shared" si="35"/>
        <v>22102</v>
      </c>
      <c r="E1119" s="39">
        <f>IF(ISNA(VLOOKUP(F1119,'2020功能科目'!A:B,2,FALSE)),"",VLOOKUP(F1119,'2020功能科目'!A:B,2,FALSE))</f>
        <v>2210201</v>
      </c>
      <c r="F1119" s="25" t="s">
        <v>387</v>
      </c>
      <c r="G1119" s="26">
        <v>7497925.3200000003</v>
      </c>
      <c r="H1119" s="26">
        <v>6660416.6399999997</v>
      </c>
    </row>
    <row r="1120" spans="1:8">
      <c r="A1120" s="24">
        <v>255119</v>
      </c>
      <c r="B1120" s="25" t="s">
        <v>96</v>
      </c>
      <c r="C1120" s="39" t="str">
        <f t="shared" si="34"/>
        <v>221</v>
      </c>
      <c r="D1120" s="39" t="str">
        <f t="shared" si="35"/>
        <v>22102</v>
      </c>
      <c r="E1120" s="39">
        <f>IF(ISNA(VLOOKUP(F1120,'2020功能科目'!A:B,2,FALSE)),"",VLOOKUP(F1120,'2020功能科目'!A:B,2,FALSE))</f>
        <v>2210202</v>
      </c>
      <c r="F1120" s="25" t="s">
        <v>388</v>
      </c>
      <c r="G1120" s="26">
        <v>357140</v>
      </c>
      <c r="H1120" s="26">
        <v>356880</v>
      </c>
    </row>
    <row r="1121" spans="1:8">
      <c r="A1121" s="24">
        <v>255119</v>
      </c>
      <c r="B1121" s="25" t="s">
        <v>96</v>
      </c>
      <c r="C1121" s="39" t="str">
        <f t="shared" si="34"/>
        <v>221</v>
      </c>
      <c r="D1121" s="39" t="str">
        <f t="shared" si="35"/>
        <v>22102</v>
      </c>
      <c r="E1121" s="39">
        <f>IF(ISNA(VLOOKUP(F1121,'2020功能科目'!A:B,2,FALSE)),"",VLOOKUP(F1121,'2020功能科目'!A:B,2,FALSE))</f>
        <v>2210203</v>
      </c>
      <c r="F1121" s="25" t="s">
        <v>389</v>
      </c>
      <c r="G1121" s="26">
        <v>7714600</v>
      </c>
      <c r="H1121" s="26">
        <v>7828937.04</v>
      </c>
    </row>
    <row r="1122" spans="1:8">
      <c r="A1122" s="24">
        <v>255122</v>
      </c>
      <c r="B1122" s="25" t="s">
        <v>97</v>
      </c>
      <c r="C1122" s="39" t="str">
        <f t="shared" si="34"/>
        <v>205</v>
      </c>
      <c r="D1122" s="39" t="str">
        <f t="shared" si="35"/>
        <v>20502</v>
      </c>
      <c r="E1122" s="39">
        <f>IF(ISNA(VLOOKUP(F1122,'2020功能科目'!A:B,2,FALSE)),"",VLOOKUP(F1122,'2020功能科目'!A:B,2,FALSE))</f>
        <v>2050299</v>
      </c>
      <c r="F1122" s="25" t="s">
        <v>377</v>
      </c>
      <c r="G1122" s="26">
        <v>248465</v>
      </c>
      <c r="H1122" s="26">
        <v>3198</v>
      </c>
    </row>
    <row r="1123" spans="1:8">
      <c r="A1123" s="24">
        <v>255122</v>
      </c>
      <c r="B1123" s="25" t="s">
        <v>97</v>
      </c>
      <c r="C1123" s="39" t="str">
        <f t="shared" si="34"/>
        <v>205</v>
      </c>
      <c r="D1123" s="39" t="str">
        <f t="shared" si="35"/>
        <v>20503</v>
      </c>
      <c r="E1123" s="39">
        <f>IF(ISNA(VLOOKUP(F1123,'2020功能科目'!A:B,2,FALSE)),"",VLOOKUP(F1123,'2020功能科目'!A:B,2,FALSE))</f>
        <v>2050302</v>
      </c>
      <c r="F1123" s="25" t="s">
        <v>391</v>
      </c>
      <c r="G1123" s="26">
        <v>26230494.170000002</v>
      </c>
      <c r="H1123" s="26">
        <v>23925940.23</v>
      </c>
    </row>
    <row r="1124" spans="1:8">
      <c r="A1124" s="24">
        <v>255122</v>
      </c>
      <c r="B1124" s="25" t="s">
        <v>97</v>
      </c>
      <c r="C1124" s="39" t="str">
        <f t="shared" si="34"/>
        <v>205</v>
      </c>
      <c r="D1124" s="39" t="str">
        <f t="shared" si="35"/>
        <v>20503</v>
      </c>
      <c r="E1124" s="39">
        <f>IF(ISNA(VLOOKUP(F1124,'2020功能科目'!A:B,2,FALSE)),"",VLOOKUP(F1124,'2020功能科目'!A:B,2,FALSE))</f>
        <v>2050399</v>
      </c>
      <c r="F1124" s="25" t="s">
        <v>392</v>
      </c>
      <c r="G1124" s="26">
        <v>32853.43</v>
      </c>
      <c r="H1124" s="26">
        <v>32853.43</v>
      </c>
    </row>
    <row r="1125" spans="1:8">
      <c r="A1125" s="24">
        <v>255122</v>
      </c>
      <c r="B1125" s="25" t="s">
        <v>97</v>
      </c>
      <c r="C1125" s="39" t="str">
        <f t="shared" si="34"/>
        <v>205</v>
      </c>
      <c r="D1125" s="39" t="str">
        <f t="shared" si="35"/>
        <v>20508</v>
      </c>
      <c r="E1125" s="39">
        <f>IF(ISNA(VLOOKUP(F1125,'2020功能科目'!A:B,2,FALSE)),"",VLOOKUP(F1125,'2020功能科目'!A:B,2,FALSE))</f>
        <v>2050803</v>
      </c>
      <c r="F1125" s="25" t="s">
        <v>378</v>
      </c>
      <c r="G1125" s="26">
        <v>28793.200000000001</v>
      </c>
      <c r="H1125" s="26">
        <v>71200</v>
      </c>
    </row>
    <row r="1126" spans="1:8">
      <c r="A1126" s="24">
        <v>255122</v>
      </c>
      <c r="B1126" s="25" t="s">
        <v>97</v>
      </c>
      <c r="C1126" s="39" t="str">
        <f t="shared" si="34"/>
        <v>205</v>
      </c>
      <c r="D1126" s="39" t="str">
        <f t="shared" si="35"/>
        <v>20509</v>
      </c>
      <c r="E1126" s="39">
        <f>IF(ISNA(VLOOKUP(F1126,'2020功能科目'!A:B,2,FALSE)),"",VLOOKUP(F1126,'2020功能科目'!A:B,2,FALSE))</f>
        <v>2050905</v>
      </c>
      <c r="F1126" s="25" t="s">
        <v>393</v>
      </c>
      <c r="G1126" s="26">
        <v>1297704.74</v>
      </c>
      <c r="H1126" s="26">
        <v>1442460</v>
      </c>
    </row>
    <row r="1127" spans="1:8">
      <c r="A1127" s="24">
        <v>255122</v>
      </c>
      <c r="B1127" s="25" t="s">
        <v>97</v>
      </c>
      <c r="C1127" s="39" t="str">
        <f t="shared" si="34"/>
        <v>208</v>
      </c>
      <c r="D1127" s="39" t="str">
        <f t="shared" si="35"/>
        <v>20805</v>
      </c>
      <c r="E1127" s="39">
        <f>IF(ISNA(VLOOKUP(F1127,'2020功能科目'!A:B,2,FALSE)),"",VLOOKUP(F1127,'2020功能科目'!A:B,2,FALSE))</f>
        <v>2080502</v>
      </c>
      <c r="F1127" s="25" t="s">
        <v>381</v>
      </c>
      <c r="G1127" s="26">
        <v>5282868.95</v>
      </c>
      <c r="H1127" s="26">
        <v>4245351</v>
      </c>
    </row>
    <row r="1128" spans="1:8">
      <c r="A1128" s="24">
        <v>255122</v>
      </c>
      <c r="B1128" s="25" t="s">
        <v>97</v>
      </c>
      <c r="C1128" s="39" t="str">
        <f t="shared" si="34"/>
        <v>208</v>
      </c>
      <c r="D1128" s="39" t="str">
        <f t="shared" si="35"/>
        <v>20805</v>
      </c>
      <c r="E1128" s="39">
        <f>IF(ISNA(VLOOKUP(F1128,'2020功能科目'!A:B,2,FALSE)),"",VLOOKUP(F1128,'2020功能科目'!A:B,2,FALSE))</f>
        <v>2080505</v>
      </c>
      <c r="F1128" s="25" t="s">
        <v>382</v>
      </c>
      <c r="G1128" s="26">
        <v>2309170.7200000002</v>
      </c>
      <c r="H1128" s="26">
        <v>2309170.7200000002</v>
      </c>
    </row>
    <row r="1129" spans="1:8">
      <c r="A1129" s="24">
        <v>255122</v>
      </c>
      <c r="B1129" s="25" t="s">
        <v>97</v>
      </c>
      <c r="C1129" s="39" t="str">
        <f t="shared" si="34"/>
        <v>208</v>
      </c>
      <c r="D1129" s="39" t="str">
        <f t="shared" si="35"/>
        <v>20805</v>
      </c>
      <c r="E1129" s="39">
        <f>IF(ISNA(VLOOKUP(F1129,'2020功能科目'!A:B,2,FALSE)),"",VLOOKUP(F1129,'2020功能科目'!A:B,2,FALSE))</f>
        <v>2080506</v>
      </c>
      <c r="F1129" s="25" t="s">
        <v>383</v>
      </c>
      <c r="G1129" s="26">
        <v>1154585.3600000001</v>
      </c>
      <c r="H1129" s="26">
        <v>1154585.3600000001</v>
      </c>
    </row>
    <row r="1130" spans="1:8">
      <c r="A1130" s="24">
        <v>255122</v>
      </c>
      <c r="B1130" s="25" t="s">
        <v>97</v>
      </c>
      <c r="C1130" s="39" t="str">
        <f t="shared" si="34"/>
        <v>210</v>
      </c>
      <c r="D1130" s="39" t="str">
        <f t="shared" si="35"/>
        <v>21011</v>
      </c>
      <c r="E1130" s="39">
        <f>IF(ISNA(VLOOKUP(F1130,'2020功能科目'!A:B,2,FALSE)),"",VLOOKUP(F1130,'2020功能科目'!A:B,2,FALSE))</f>
        <v>2101102</v>
      </c>
      <c r="F1130" s="25" t="s">
        <v>385</v>
      </c>
      <c r="G1130" s="26">
        <v>1876201.21</v>
      </c>
      <c r="H1130" s="26">
        <v>1876201.21</v>
      </c>
    </row>
    <row r="1131" spans="1:8">
      <c r="A1131" s="24">
        <v>255122</v>
      </c>
      <c r="B1131" s="25" t="s">
        <v>97</v>
      </c>
      <c r="C1131" s="39" t="str">
        <f t="shared" si="34"/>
        <v>210</v>
      </c>
      <c r="D1131" s="39" t="str">
        <f t="shared" si="35"/>
        <v>21011</v>
      </c>
      <c r="E1131" s="39">
        <f>IF(ISNA(VLOOKUP(F1131,'2020功能科目'!A:B,2,FALSE)),"",VLOOKUP(F1131,'2020功能科目'!A:B,2,FALSE))</f>
        <v>2101199</v>
      </c>
      <c r="F1131" s="25" t="s">
        <v>386</v>
      </c>
      <c r="G1131" s="26">
        <v>270000</v>
      </c>
      <c r="H1131" s="26">
        <v>270000</v>
      </c>
    </row>
    <row r="1132" spans="1:8">
      <c r="A1132" s="24">
        <v>255122</v>
      </c>
      <c r="B1132" s="25" t="s">
        <v>97</v>
      </c>
      <c r="C1132" s="39" t="str">
        <f t="shared" si="34"/>
        <v>213</v>
      </c>
      <c r="D1132" s="39" t="str">
        <f t="shared" si="35"/>
        <v>21305</v>
      </c>
      <c r="E1132" s="39">
        <f>IF(ISNA(VLOOKUP(F1132,'2020功能科目'!A:B,2,FALSE)),"",VLOOKUP(F1132,'2020功能科目'!A:B,2,FALSE))</f>
        <v>2130506</v>
      </c>
      <c r="F1132" s="25" t="s">
        <v>400</v>
      </c>
      <c r="G1132" s="26">
        <v>75000</v>
      </c>
      <c r="H1132" s="26">
        <v>0</v>
      </c>
    </row>
    <row r="1133" spans="1:8">
      <c r="A1133" s="24">
        <v>255122</v>
      </c>
      <c r="B1133" s="25" t="s">
        <v>97</v>
      </c>
      <c r="C1133" s="39" t="str">
        <f t="shared" si="34"/>
        <v>221</v>
      </c>
      <c r="D1133" s="39" t="str">
        <f t="shared" si="35"/>
        <v>22102</v>
      </c>
      <c r="E1133" s="39">
        <f>IF(ISNA(VLOOKUP(F1133,'2020功能科目'!A:B,2,FALSE)),"",VLOOKUP(F1133,'2020功能科目'!A:B,2,FALSE))</f>
        <v>2210201</v>
      </c>
      <c r="F1133" s="25" t="s">
        <v>387</v>
      </c>
      <c r="G1133" s="26">
        <v>2265878.04</v>
      </c>
      <c r="H1133" s="26">
        <v>2265878.04</v>
      </c>
    </row>
    <row r="1134" spans="1:8">
      <c r="A1134" s="24">
        <v>255122</v>
      </c>
      <c r="B1134" s="25" t="s">
        <v>97</v>
      </c>
      <c r="C1134" s="39" t="str">
        <f t="shared" si="34"/>
        <v>221</v>
      </c>
      <c r="D1134" s="39" t="str">
        <f t="shared" si="35"/>
        <v>22102</v>
      </c>
      <c r="E1134" s="39">
        <f>IF(ISNA(VLOOKUP(F1134,'2020功能科目'!A:B,2,FALSE)),"",VLOOKUP(F1134,'2020功能科目'!A:B,2,FALSE))</f>
        <v>2210202</v>
      </c>
      <c r="F1134" s="25" t="s">
        <v>388</v>
      </c>
      <c r="G1134" s="26">
        <v>412270</v>
      </c>
      <c r="H1134" s="26">
        <v>417960</v>
      </c>
    </row>
    <row r="1135" spans="1:8">
      <c r="A1135" s="24">
        <v>255122</v>
      </c>
      <c r="B1135" s="25" t="s">
        <v>97</v>
      </c>
      <c r="C1135" s="39" t="str">
        <f t="shared" si="34"/>
        <v>221</v>
      </c>
      <c r="D1135" s="39" t="str">
        <f t="shared" si="35"/>
        <v>22102</v>
      </c>
      <c r="E1135" s="39">
        <f>IF(ISNA(VLOOKUP(F1135,'2020功能科目'!A:B,2,FALSE)),"",VLOOKUP(F1135,'2020功能科目'!A:B,2,FALSE))</f>
        <v>2210203</v>
      </c>
      <c r="F1135" s="25" t="s">
        <v>389</v>
      </c>
      <c r="G1135" s="26">
        <v>1853425</v>
      </c>
      <c r="H1135" s="26">
        <v>2130804</v>
      </c>
    </row>
    <row r="1136" spans="1:8">
      <c r="A1136" s="24">
        <v>255124</v>
      </c>
      <c r="B1136" s="25" t="s">
        <v>98</v>
      </c>
      <c r="C1136" s="39" t="str">
        <f t="shared" si="34"/>
        <v>205</v>
      </c>
      <c r="D1136" s="39" t="str">
        <f t="shared" si="35"/>
        <v>20502</v>
      </c>
      <c r="E1136" s="39">
        <f>IF(ISNA(VLOOKUP(F1136,'2020功能科目'!A:B,2,FALSE)),"",VLOOKUP(F1136,'2020功能科目'!A:B,2,FALSE))</f>
        <v>2050204</v>
      </c>
      <c r="F1136" s="25" t="s">
        <v>376</v>
      </c>
      <c r="G1136" s="26">
        <v>17533616.25</v>
      </c>
      <c r="H1136" s="26">
        <v>15867683.640000001</v>
      </c>
    </row>
    <row r="1137" spans="1:8">
      <c r="A1137" s="24">
        <v>255124</v>
      </c>
      <c r="B1137" s="25" t="s">
        <v>98</v>
      </c>
      <c r="C1137" s="39" t="str">
        <f t="shared" si="34"/>
        <v>205</v>
      </c>
      <c r="D1137" s="39" t="str">
        <f t="shared" si="35"/>
        <v>20508</v>
      </c>
      <c r="E1137" s="39">
        <f>IF(ISNA(VLOOKUP(F1137,'2020功能科目'!A:B,2,FALSE)),"",VLOOKUP(F1137,'2020功能科目'!A:B,2,FALSE))</f>
        <v>2050803</v>
      </c>
      <c r="F1137" s="25" t="s">
        <v>378</v>
      </c>
      <c r="G1137" s="26">
        <v>0</v>
      </c>
      <c r="H1137" s="26">
        <v>34400</v>
      </c>
    </row>
    <row r="1138" spans="1:8">
      <c r="A1138" s="24">
        <v>255124</v>
      </c>
      <c r="B1138" s="25" t="s">
        <v>98</v>
      </c>
      <c r="C1138" s="39" t="str">
        <f t="shared" si="34"/>
        <v>208</v>
      </c>
      <c r="D1138" s="39" t="str">
        <f t="shared" si="35"/>
        <v>20805</v>
      </c>
      <c r="E1138" s="39">
        <f>IF(ISNA(VLOOKUP(F1138,'2020功能科目'!A:B,2,FALSE)),"",VLOOKUP(F1138,'2020功能科目'!A:B,2,FALSE))</f>
        <v>2080502</v>
      </c>
      <c r="F1138" s="25" t="s">
        <v>381</v>
      </c>
      <c r="G1138" s="26">
        <v>3336156</v>
      </c>
      <c r="H1138" s="26">
        <v>2572008</v>
      </c>
    </row>
    <row r="1139" spans="1:8">
      <c r="A1139" s="24">
        <v>255124</v>
      </c>
      <c r="B1139" s="25" t="s">
        <v>98</v>
      </c>
      <c r="C1139" s="39" t="str">
        <f t="shared" si="34"/>
        <v>208</v>
      </c>
      <c r="D1139" s="39" t="str">
        <f t="shared" si="35"/>
        <v>20805</v>
      </c>
      <c r="E1139" s="39">
        <f>IF(ISNA(VLOOKUP(F1139,'2020功能科目'!A:B,2,FALSE)),"",VLOOKUP(F1139,'2020功能科目'!A:B,2,FALSE))</f>
        <v>2080505</v>
      </c>
      <c r="F1139" s="25" t="s">
        <v>382</v>
      </c>
      <c r="G1139" s="26">
        <v>1005321</v>
      </c>
      <c r="H1139" s="26">
        <v>1152936.1599999999</v>
      </c>
    </row>
    <row r="1140" spans="1:8">
      <c r="A1140" s="24">
        <v>255124</v>
      </c>
      <c r="B1140" s="25" t="s">
        <v>98</v>
      </c>
      <c r="C1140" s="39" t="str">
        <f t="shared" si="34"/>
        <v>208</v>
      </c>
      <c r="D1140" s="39" t="str">
        <f t="shared" si="35"/>
        <v>20805</v>
      </c>
      <c r="E1140" s="39">
        <f>IF(ISNA(VLOOKUP(F1140,'2020功能科目'!A:B,2,FALSE)),"",VLOOKUP(F1140,'2020功能科目'!A:B,2,FALSE))</f>
        <v>2080506</v>
      </c>
      <c r="F1140" s="25" t="s">
        <v>383</v>
      </c>
      <c r="G1140" s="26">
        <v>576468.07999999996</v>
      </c>
      <c r="H1140" s="26">
        <v>576468.07999999996</v>
      </c>
    </row>
    <row r="1141" spans="1:8">
      <c r="A1141" s="24">
        <v>255124</v>
      </c>
      <c r="B1141" s="25" t="s">
        <v>98</v>
      </c>
      <c r="C1141" s="39" t="str">
        <f t="shared" si="34"/>
        <v>210</v>
      </c>
      <c r="D1141" s="39" t="str">
        <f t="shared" si="35"/>
        <v>21011</v>
      </c>
      <c r="E1141" s="39">
        <f>IF(ISNA(VLOOKUP(F1141,'2020功能科目'!A:B,2,FALSE)),"",VLOOKUP(F1141,'2020功能科目'!A:B,2,FALSE))</f>
        <v>2101102</v>
      </c>
      <c r="F1141" s="25" t="s">
        <v>385</v>
      </c>
      <c r="G1141" s="26">
        <v>765997.24</v>
      </c>
      <c r="H1141" s="26">
        <v>936760.63</v>
      </c>
    </row>
    <row r="1142" spans="1:8">
      <c r="A1142" s="24">
        <v>255124</v>
      </c>
      <c r="B1142" s="25" t="s">
        <v>98</v>
      </c>
      <c r="C1142" s="39" t="str">
        <f t="shared" si="34"/>
        <v>210</v>
      </c>
      <c r="D1142" s="39" t="str">
        <f t="shared" si="35"/>
        <v>21011</v>
      </c>
      <c r="E1142" s="39">
        <f>IF(ISNA(VLOOKUP(F1142,'2020功能科目'!A:B,2,FALSE)),"",VLOOKUP(F1142,'2020功能科目'!A:B,2,FALSE))</f>
        <v>2101199</v>
      </c>
      <c r="F1142" s="25" t="s">
        <v>386</v>
      </c>
      <c r="G1142" s="26">
        <v>260453.8</v>
      </c>
      <c r="H1142" s="26">
        <v>360000</v>
      </c>
    </row>
    <row r="1143" spans="1:8">
      <c r="A1143" s="24">
        <v>255124</v>
      </c>
      <c r="B1143" s="25" t="s">
        <v>98</v>
      </c>
      <c r="C1143" s="39" t="str">
        <f t="shared" si="34"/>
        <v>221</v>
      </c>
      <c r="D1143" s="39" t="str">
        <f t="shared" si="35"/>
        <v>22102</v>
      </c>
      <c r="E1143" s="39">
        <f>IF(ISNA(VLOOKUP(F1143,'2020功能科目'!A:B,2,FALSE)),"",VLOOKUP(F1143,'2020功能科目'!A:B,2,FALSE))</f>
        <v>2210201</v>
      </c>
      <c r="F1143" s="25" t="s">
        <v>387</v>
      </c>
      <c r="G1143" s="26">
        <v>1087438</v>
      </c>
      <c r="H1143" s="26">
        <v>1122702.1200000001</v>
      </c>
    </row>
    <row r="1144" spans="1:8">
      <c r="A1144" s="24">
        <v>255124</v>
      </c>
      <c r="B1144" s="25" t="s">
        <v>98</v>
      </c>
      <c r="C1144" s="39" t="str">
        <f t="shared" si="34"/>
        <v>221</v>
      </c>
      <c r="D1144" s="39" t="str">
        <f t="shared" si="35"/>
        <v>22102</v>
      </c>
      <c r="E1144" s="39">
        <f>IF(ISNA(VLOOKUP(F1144,'2020功能科目'!A:B,2,FALSE)),"",VLOOKUP(F1144,'2020功能科目'!A:B,2,FALSE))</f>
        <v>2210202</v>
      </c>
      <c r="F1144" s="25" t="s">
        <v>388</v>
      </c>
      <c r="G1144" s="26">
        <v>209410</v>
      </c>
      <c r="H1144" s="26">
        <v>211920</v>
      </c>
    </row>
    <row r="1145" spans="1:8">
      <c r="A1145" s="24">
        <v>255124</v>
      </c>
      <c r="B1145" s="25" t="s">
        <v>98</v>
      </c>
      <c r="C1145" s="39" t="str">
        <f t="shared" si="34"/>
        <v>221</v>
      </c>
      <c r="D1145" s="39" t="str">
        <f t="shared" si="35"/>
        <v>22102</v>
      </c>
      <c r="E1145" s="39">
        <f>IF(ISNA(VLOOKUP(F1145,'2020功能科目'!A:B,2,FALSE)),"",VLOOKUP(F1145,'2020功能科目'!A:B,2,FALSE))</f>
        <v>2210203</v>
      </c>
      <c r="F1145" s="25" t="s">
        <v>389</v>
      </c>
      <c r="G1145" s="26">
        <v>1083561</v>
      </c>
      <c r="H1145" s="26">
        <v>1086264</v>
      </c>
    </row>
    <row r="1146" spans="1:8">
      <c r="A1146" s="24">
        <v>255126</v>
      </c>
      <c r="B1146" s="25" t="s">
        <v>99</v>
      </c>
      <c r="C1146" s="39" t="str">
        <f t="shared" si="34"/>
        <v>205</v>
      </c>
      <c r="D1146" s="39" t="str">
        <f t="shared" si="35"/>
        <v>20502</v>
      </c>
      <c r="E1146" s="39">
        <f>IF(ISNA(VLOOKUP(F1146,'2020功能科目'!A:B,2,FALSE)),"",VLOOKUP(F1146,'2020功能科目'!A:B,2,FALSE))</f>
        <v>2050204</v>
      </c>
      <c r="F1146" s="25" t="s">
        <v>376</v>
      </c>
      <c r="G1146" s="26">
        <v>73447029.680000007</v>
      </c>
      <c r="H1146" s="26">
        <v>60302223.159999996</v>
      </c>
    </row>
    <row r="1147" spans="1:8">
      <c r="A1147" s="24">
        <v>255126</v>
      </c>
      <c r="B1147" s="25" t="s">
        <v>99</v>
      </c>
      <c r="C1147" s="39" t="str">
        <f t="shared" si="34"/>
        <v>205</v>
      </c>
      <c r="D1147" s="39" t="str">
        <f t="shared" si="35"/>
        <v>20502</v>
      </c>
      <c r="E1147" s="39">
        <f>IF(ISNA(VLOOKUP(F1147,'2020功能科目'!A:B,2,FALSE)),"",VLOOKUP(F1147,'2020功能科目'!A:B,2,FALSE))</f>
        <v>2050299</v>
      </c>
      <c r="F1147" s="25" t="s">
        <v>377</v>
      </c>
      <c r="G1147" s="26">
        <v>54186.61</v>
      </c>
      <c r="H1147" s="26">
        <v>0</v>
      </c>
    </row>
    <row r="1148" spans="1:8">
      <c r="A1148" s="24">
        <v>255126</v>
      </c>
      <c r="B1148" s="25" t="s">
        <v>99</v>
      </c>
      <c r="C1148" s="39" t="str">
        <f t="shared" si="34"/>
        <v>205</v>
      </c>
      <c r="D1148" s="39" t="str">
        <f t="shared" si="35"/>
        <v>20508</v>
      </c>
      <c r="E1148" s="39">
        <f>IF(ISNA(VLOOKUP(F1148,'2020功能科目'!A:B,2,FALSE)),"",VLOOKUP(F1148,'2020功能科目'!A:B,2,FALSE))</f>
        <v>2050803</v>
      </c>
      <c r="F1148" s="25" t="s">
        <v>378</v>
      </c>
      <c r="G1148" s="26">
        <v>91200</v>
      </c>
      <c r="H1148" s="26">
        <v>182400</v>
      </c>
    </row>
    <row r="1149" spans="1:8">
      <c r="A1149" s="24">
        <v>255126</v>
      </c>
      <c r="B1149" s="25" t="s">
        <v>99</v>
      </c>
      <c r="C1149" s="39" t="str">
        <f t="shared" si="34"/>
        <v>205</v>
      </c>
      <c r="D1149" s="39" t="str">
        <f t="shared" si="35"/>
        <v>20509</v>
      </c>
      <c r="E1149" s="39">
        <f>IF(ISNA(VLOOKUP(F1149,'2020功能科目'!A:B,2,FALSE)),"",VLOOKUP(F1149,'2020功能科目'!A:B,2,FALSE))</f>
        <v>2050903</v>
      </c>
      <c r="F1149" s="25" t="s">
        <v>379</v>
      </c>
      <c r="G1149" s="26">
        <v>1579668.09</v>
      </c>
      <c r="H1149" s="26">
        <v>2523500</v>
      </c>
    </row>
    <row r="1150" spans="1:8">
      <c r="A1150" s="24">
        <v>255126</v>
      </c>
      <c r="B1150" s="25" t="s">
        <v>99</v>
      </c>
      <c r="C1150" s="39" t="str">
        <f t="shared" si="34"/>
        <v>205</v>
      </c>
      <c r="D1150" s="39" t="str">
        <f t="shared" si="35"/>
        <v>20509</v>
      </c>
      <c r="E1150" s="39">
        <f>IF(ISNA(VLOOKUP(F1150,'2020功能科目'!A:B,2,FALSE)),"",VLOOKUP(F1150,'2020功能科目'!A:B,2,FALSE))</f>
        <v>2050904</v>
      </c>
      <c r="F1150" s="25" t="s">
        <v>380</v>
      </c>
      <c r="G1150" s="26">
        <v>1185800</v>
      </c>
      <c r="H1150" s="26">
        <v>1185800</v>
      </c>
    </row>
    <row r="1151" spans="1:8">
      <c r="A1151" s="24">
        <v>255126</v>
      </c>
      <c r="B1151" s="25" t="s">
        <v>99</v>
      </c>
      <c r="C1151" s="39" t="str">
        <f t="shared" si="34"/>
        <v>208</v>
      </c>
      <c r="D1151" s="39" t="str">
        <f t="shared" si="35"/>
        <v>20805</v>
      </c>
      <c r="E1151" s="39">
        <f>IF(ISNA(VLOOKUP(F1151,'2020功能科目'!A:B,2,FALSE)),"",VLOOKUP(F1151,'2020功能科目'!A:B,2,FALSE))</f>
        <v>2080502</v>
      </c>
      <c r="F1151" s="25" t="s">
        <v>381</v>
      </c>
      <c r="G1151" s="26">
        <v>6052608.7999999998</v>
      </c>
      <c r="H1151" s="26">
        <v>4837186</v>
      </c>
    </row>
    <row r="1152" spans="1:8">
      <c r="A1152" s="24">
        <v>255126</v>
      </c>
      <c r="B1152" s="25" t="s">
        <v>99</v>
      </c>
      <c r="C1152" s="39" t="str">
        <f t="shared" si="34"/>
        <v>208</v>
      </c>
      <c r="D1152" s="39" t="str">
        <f t="shared" si="35"/>
        <v>20805</v>
      </c>
      <c r="E1152" s="39">
        <f>IF(ISNA(VLOOKUP(F1152,'2020功能科目'!A:B,2,FALSE)),"",VLOOKUP(F1152,'2020功能科目'!A:B,2,FALSE))</f>
        <v>2080505</v>
      </c>
      <c r="F1152" s="25" t="s">
        <v>382</v>
      </c>
      <c r="G1152" s="26">
        <v>5586978.0800000001</v>
      </c>
      <c r="H1152" s="26">
        <v>5304632.8</v>
      </c>
    </row>
    <row r="1153" spans="1:8">
      <c r="A1153" s="24">
        <v>255126</v>
      </c>
      <c r="B1153" s="25" t="s">
        <v>99</v>
      </c>
      <c r="C1153" s="39" t="str">
        <f t="shared" si="34"/>
        <v>208</v>
      </c>
      <c r="D1153" s="39" t="str">
        <f t="shared" si="35"/>
        <v>20805</v>
      </c>
      <c r="E1153" s="39">
        <f>IF(ISNA(VLOOKUP(F1153,'2020功能科目'!A:B,2,FALSE)),"",VLOOKUP(F1153,'2020功能科目'!A:B,2,FALSE))</f>
        <v>2080506</v>
      </c>
      <c r="F1153" s="25" t="s">
        <v>383</v>
      </c>
      <c r="G1153" s="26">
        <v>2793474.48</v>
      </c>
      <c r="H1153" s="26">
        <v>2652316.4</v>
      </c>
    </row>
    <row r="1154" spans="1:8">
      <c r="A1154" s="24">
        <v>255126</v>
      </c>
      <c r="B1154" s="25" t="s">
        <v>99</v>
      </c>
      <c r="C1154" s="39" t="str">
        <f t="shared" si="34"/>
        <v>210</v>
      </c>
      <c r="D1154" s="39" t="str">
        <f t="shared" si="35"/>
        <v>21011</v>
      </c>
      <c r="E1154" s="39">
        <f>IF(ISNA(VLOOKUP(F1154,'2020功能科目'!A:B,2,FALSE)),"",VLOOKUP(F1154,'2020功能科目'!A:B,2,FALSE))</f>
        <v>2101102</v>
      </c>
      <c r="F1154" s="25" t="s">
        <v>385</v>
      </c>
      <c r="G1154" s="26">
        <v>4014320.79</v>
      </c>
      <c r="H1154" s="26">
        <v>4310014.1500000004</v>
      </c>
    </row>
    <row r="1155" spans="1:8">
      <c r="A1155" s="24">
        <v>255126</v>
      </c>
      <c r="B1155" s="25" t="s">
        <v>99</v>
      </c>
      <c r="C1155" s="39" t="str">
        <f t="shared" ref="C1155:C1218" si="36">LEFT(D1155,3)</f>
        <v>210</v>
      </c>
      <c r="D1155" s="39" t="str">
        <f t="shared" ref="D1155:D1218" si="37">LEFT(E1155,5)</f>
        <v>21011</v>
      </c>
      <c r="E1155" s="39">
        <f>IF(ISNA(VLOOKUP(F1155,'2020功能科目'!A:B,2,FALSE)),"",VLOOKUP(F1155,'2020功能科目'!A:B,2,FALSE))</f>
        <v>2101199</v>
      </c>
      <c r="F1155" s="25" t="s">
        <v>386</v>
      </c>
      <c r="G1155" s="26">
        <v>270000</v>
      </c>
      <c r="H1155" s="26">
        <v>450000</v>
      </c>
    </row>
    <row r="1156" spans="1:8">
      <c r="A1156" s="24">
        <v>255126</v>
      </c>
      <c r="B1156" s="25" t="s">
        <v>99</v>
      </c>
      <c r="C1156" s="39" t="str">
        <f t="shared" si="36"/>
        <v>221</v>
      </c>
      <c r="D1156" s="39" t="str">
        <f t="shared" si="37"/>
        <v>22102</v>
      </c>
      <c r="E1156" s="39">
        <f>IF(ISNA(VLOOKUP(F1156,'2020功能科目'!A:B,2,FALSE)),"",VLOOKUP(F1156,'2020功能科目'!A:B,2,FALSE))</f>
        <v>2210201</v>
      </c>
      <c r="F1156" s="25" t="s">
        <v>387</v>
      </c>
      <c r="G1156" s="26">
        <v>6464007</v>
      </c>
      <c r="H1156" s="26">
        <v>5346474.5999999996</v>
      </c>
    </row>
    <row r="1157" spans="1:8">
      <c r="A1157" s="24">
        <v>255126</v>
      </c>
      <c r="B1157" s="25" t="s">
        <v>99</v>
      </c>
      <c r="C1157" s="39" t="str">
        <f t="shared" si="36"/>
        <v>221</v>
      </c>
      <c r="D1157" s="39" t="str">
        <f t="shared" si="37"/>
        <v>22102</v>
      </c>
      <c r="E1157" s="39">
        <f>IF(ISNA(VLOOKUP(F1157,'2020功能科目'!A:B,2,FALSE)),"",VLOOKUP(F1157,'2020功能科目'!A:B,2,FALSE))</f>
        <v>2210202</v>
      </c>
      <c r="F1157" s="25" t="s">
        <v>388</v>
      </c>
      <c r="G1157" s="26">
        <v>512840</v>
      </c>
      <c r="H1157" s="26">
        <v>536880</v>
      </c>
    </row>
    <row r="1158" spans="1:8">
      <c r="A1158" s="24">
        <v>255126</v>
      </c>
      <c r="B1158" s="25" t="s">
        <v>99</v>
      </c>
      <c r="C1158" s="39" t="str">
        <f t="shared" si="36"/>
        <v>221</v>
      </c>
      <c r="D1158" s="39" t="str">
        <f t="shared" si="37"/>
        <v>22102</v>
      </c>
      <c r="E1158" s="39">
        <f>IF(ISNA(VLOOKUP(F1158,'2020功能科目'!A:B,2,FALSE)),"",VLOOKUP(F1158,'2020功能科目'!A:B,2,FALSE))</f>
        <v>2210203</v>
      </c>
      <c r="F1158" s="25" t="s">
        <v>389</v>
      </c>
      <c r="G1158" s="26">
        <v>6124089</v>
      </c>
      <c r="H1158" s="26">
        <v>6120684</v>
      </c>
    </row>
    <row r="1159" spans="1:8">
      <c r="A1159" s="24">
        <v>255127</v>
      </c>
      <c r="B1159" s="25" t="s">
        <v>100</v>
      </c>
      <c r="C1159" s="39" t="str">
        <f t="shared" si="36"/>
        <v>205</v>
      </c>
      <c r="D1159" s="39" t="str">
        <f t="shared" si="37"/>
        <v>20502</v>
      </c>
      <c r="E1159" s="39">
        <f>IF(ISNA(VLOOKUP(F1159,'2020功能科目'!A:B,2,FALSE)),"",VLOOKUP(F1159,'2020功能科目'!A:B,2,FALSE))</f>
        <v>2050204</v>
      </c>
      <c r="F1159" s="25" t="s">
        <v>376</v>
      </c>
      <c r="G1159" s="26">
        <v>40890430.880000003</v>
      </c>
      <c r="H1159" s="26">
        <v>39459343.689999998</v>
      </c>
    </row>
    <row r="1160" spans="1:8">
      <c r="A1160" s="24">
        <v>255127</v>
      </c>
      <c r="B1160" s="25" t="s">
        <v>100</v>
      </c>
      <c r="C1160" s="39" t="str">
        <f t="shared" si="36"/>
        <v>205</v>
      </c>
      <c r="D1160" s="39" t="str">
        <f t="shared" si="37"/>
        <v>20502</v>
      </c>
      <c r="E1160" s="39">
        <f>IF(ISNA(VLOOKUP(F1160,'2020功能科目'!A:B,2,FALSE)),"",VLOOKUP(F1160,'2020功能科目'!A:B,2,FALSE))</f>
        <v>2050299</v>
      </c>
      <c r="F1160" s="25" t="s">
        <v>377</v>
      </c>
      <c r="G1160" s="26">
        <v>60154.239999999998</v>
      </c>
      <c r="H1160" s="26">
        <v>0</v>
      </c>
    </row>
    <row r="1161" spans="1:8">
      <c r="A1161" s="24">
        <v>255127</v>
      </c>
      <c r="B1161" s="25" t="s">
        <v>100</v>
      </c>
      <c r="C1161" s="39" t="str">
        <f t="shared" si="36"/>
        <v>205</v>
      </c>
      <c r="D1161" s="39" t="str">
        <f t="shared" si="37"/>
        <v>20508</v>
      </c>
      <c r="E1161" s="39">
        <f>IF(ISNA(VLOOKUP(F1161,'2020功能科目'!A:B,2,FALSE)),"",VLOOKUP(F1161,'2020功能科目'!A:B,2,FALSE))</f>
        <v>2050803</v>
      </c>
      <c r="F1161" s="25" t="s">
        <v>378</v>
      </c>
      <c r="G1161" s="26">
        <v>50478</v>
      </c>
      <c r="H1161" s="26">
        <v>109600</v>
      </c>
    </row>
    <row r="1162" spans="1:8">
      <c r="A1162" s="24">
        <v>255127</v>
      </c>
      <c r="B1162" s="25" t="s">
        <v>100</v>
      </c>
      <c r="C1162" s="39" t="str">
        <f t="shared" si="36"/>
        <v>205</v>
      </c>
      <c r="D1162" s="39" t="str">
        <f t="shared" si="37"/>
        <v>20509</v>
      </c>
      <c r="E1162" s="39">
        <f>IF(ISNA(VLOOKUP(F1162,'2020功能科目'!A:B,2,FALSE)),"",VLOOKUP(F1162,'2020功能科目'!A:B,2,FALSE))</f>
        <v>2050904</v>
      </c>
      <c r="F1162" s="25" t="s">
        <v>380</v>
      </c>
      <c r="G1162" s="26">
        <v>377934.6</v>
      </c>
      <c r="H1162" s="26">
        <v>1218000</v>
      </c>
    </row>
    <row r="1163" spans="1:8">
      <c r="A1163" s="24">
        <v>255127</v>
      </c>
      <c r="B1163" s="25" t="s">
        <v>100</v>
      </c>
      <c r="C1163" s="39" t="str">
        <f t="shared" si="36"/>
        <v>208</v>
      </c>
      <c r="D1163" s="39" t="str">
        <f t="shared" si="37"/>
        <v>20805</v>
      </c>
      <c r="E1163" s="39">
        <f>IF(ISNA(VLOOKUP(F1163,'2020功能科目'!A:B,2,FALSE)),"",VLOOKUP(F1163,'2020功能科目'!A:B,2,FALSE))</f>
        <v>2080502</v>
      </c>
      <c r="F1163" s="25" t="s">
        <v>381</v>
      </c>
      <c r="G1163" s="26">
        <v>2952869.8</v>
      </c>
      <c r="H1163" s="26">
        <v>2032065</v>
      </c>
    </row>
    <row r="1164" spans="1:8">
      <c r="A1164" s="24">
        <v>255127</v>
      </c>
      <c r="B1164" s="25" t="s">
        <v>100</v>
      </c>
      <c r="C1164" s="39" t="str">
        <f t="shared" si="36"/>
        <v>208</v>
      </c>
      <c r="D1164" s="39" t="str">
        <f t="shared" si="37"/>
        <v>20805</v>
      </c>
      <c r="E1164" s="39">
        <f>IF(ISNA(VLOOKUP(F1164,'2020功能科目'!A:B,2,FALSE)),"",VLOOKUP(F1164,'2020功能科目'!A:B,2,FALSE))</f>
        <v>2080505</v>
      </c>
      <c r="F1164" s="25" t="s">
        <v>382</v>
      </c>
      <c r="G1164" s="26">
        <v>3180124.76</v>
      </c>
      <c r="H1164" s="26">
        <v>3984775.04</v>
      </c>
    </row>
    <row r="1165" spans="1:8">
      <c r="A1165" s="24">
        <v>255127</v>
      </c>
      <c r="B1165" s="25" t="s">
        <v>100</v>
      </c>
      <c r="C1165" s="39" t="str">
        <f t="shared" si="36"/>
        <v>208</v>
      </c>
      <c r="D1165" s="39" t="str">
        <f t="shared" si="37"/>
        <v>20805</v>
      </c>
      <c r="E1165" s="39">
        <f>IF(ISNA(VLOOKUP(F1165,'2020功能科目'!A:B,2,FALSE)),"",VLOOKUP(F1165,'2020功能科目'!A:B,2,FALSE))</f>
        <v>2080506</v>
      </c>
      <c r="F1165" s="25" t="s">
        <v>383</v>
      </c>
      <c r="G1165" s="26">
        <v>1592186.24</v>
      </c>
      <c r="H1165" s="26">
        <v>1992387.52</v>
      </c>
    </row>
    <row r="1166" spans="1:8">
      <c r="A1166" s="24">
        <v>255127</v>
      </c>
      <c r="B1166" s="25" t="s">
        <v>100</v>
      </c>
      <c r="C1166" s="39" t="str">
        <f t="shared" si="36"/>
        <v>210</v>
      </c>
      <c r="D1166" s="39" t="str">
        <f t="shared" si="37"/>
        <v>21011</v>
      </c>
      <c r="E1166" s="39">
        <f>IF(ISNA(VLOOKUP(F1166,'2020功能科目'!A:B,2,FALSE)),"",VLOOKUP(F1166,'2020功能科目'!A:B,2,FALSE))</f>
        <v>2101102</v>
      </c>
      <c r="F1166" s="25" t="s">
        <v>385</v>
      </c>
      <c r="G1166" s="26">
        <v>3091385.65</v>
      </c>
      <c r="H1166" s="26">
        <v>3237629.72</v>
      </c>
    </row>
    <row r="1167" spans="1:8">
      <c r="A1167" s="24">
        <v>255127</v>
      </c>
      <c r="B1167" s="25" t="s">
        <v>100</v>
      </c>
      <c r="C1167" s="39" t="str">
        <f t="shared" si="36"/>
        <v>210</v>
      </c>
      <c r="D1167" s="39" t="str">
        <f t="shared" si="37"/>
        <v>21011</v>
      </c>
      <c r="E1167" s="39">
        <f>IF(ISNA(VLOOKUP(F1167,'2020功能科目'!A:B,2,FALSE)),"",VLOOKUP(F1167,'2020功能科目'!A:B,2,FALSE))</f>
        <v>2101199</v>
      </c>
      <c r="F1167" s="25" t="s">
        <v>386</v>
      </c>
      <c r="G1167" s="26">
        <v>180000</v>
      </c>
      <c r="H1167" s="26">
        <v>180000</v>
      </c>
    </row>
    <row r="1168" spans="1:8">
      <c r="A1168" s="24">
        <v>255127</v>
      </c>
      <c r="B1168" s="25" t="s">
        <v>100</v>
      </c>
      <c r="C1168" s="39" t="str">
        <f t="shared" si="36"/>
        <v>221</v>
      </c>
      <c r="D1168" s="39" t="str">
        <f t="shared" si="37"/>
        <v>22102</v>
      </c>
      <c r="E1168" s="39">
        <f>IF(ISNA(VLOOKUP(F1168,'2020功能科目'!A:B,2,FALSE)),"",VLOOKUP(F1168,'2020功能科目'!A:B,2,FALSE))</f>
        <v>2210201</v>
      </c>
      <c r="F1168" s="25" t="s">
        <v>387</v>
      </c>
      <c r="G1168" s="26">
        <v>3492178.43</v>
      </c>
      <c r="H1168" s="26">
        <v>3810581.28</v>
      </c>
    </row>
    <row r="1169" spans="1:8">
      <c r="A1169" s="24">
        <v>255127</v>
      </c>
      <c r="B1169" s="25" t="s">
        <v>100</v>
      </c>
      <c r="C1169" s="39" t="str">
        <f t="shared" si="36"/>
        <v>221</v>
      </c>
      <c r="D1169" s="39" t="str">
        <f t="shared" si="37"/>
        <v>22102</v>
      </c>
      <c r="E1169" s="39">
        <f>IF(ISNA(VLOOKUP(F1169,'2020功能科目'!A:B,2,FALSE)),"",VLOOKUP(F1169,'2020功能科目'!A:B,2,FALSE))</f>
        <v>2210202</v>
      </c>
      <c r="F1169" s="25" t="s">
        <v>388</v>
      </c>
      <c r="G1169" s="26">
        <v>275720</v>
      </c>
      <c r="H1169" s="26">
        <v>280080</v>
      </c>
    </row>
    <row r="1170" spans="1:8">
      <c r="A1170" s="24">
        <v>255127</v>
      </c>
      <c r="B1170" s="25" t="s">
        <v>100</v>
      </c>
      <c r="C1170" s="39" t="str">
        <f t="shared" si="36"/>
        <v>221</v>
      </c>
      <c r="D1170" s="39" t="str">
        <f t="shared" si="37"/>
        <v>22102</v>
      </c>
      <c r="E1170" s="39">
        <f>IF(ISNA(VLOOKUP(F1170,'2020功能科目'!A:B,2,FALSE)),"",VLOOKUP(F1170,'2020功能科目'!A:B,2,FALSE))</f>
        <v>2210203</v>
      </c>
      <c r="F1170" s="25" t="s">
        <v>389</v>
      </c>
      <c r="G1170" s="26">
        <v>3848032</v>
      </c>
      <c r="H1170" s="26">
        <v>3833172</v>
      </c>
    </row>
    <row r="1171" spans="1:8">
      <c r="A1171" s="24">
        <v>255129</v>
      </c>
      <c r="B1171" s="25" t="s">
        <v>101</v>
      </c>
      <c r="C1171" s="39" t="str">
        <f t="shared" si="36"/>
        <v>205</v>
      </c>
      <c r="D1171" s="39" t="str">
        <f t="shared" si="37"/>
        <v>20502</v>
      </c>
      <c r="E1171" s="39">
        <f>IF(ISNA(VLOOKUP(F1171,'2020功能科目'!A:B,2,FALSE)),"",VLOOKUP(F1171,'2020功能科目'!A:B,2,FALSE))</f>
        <v>2050204</v>
      </c>
      <c r="F1171" s="25" t="s">
        <v>376</v>
      </c>
      <c r="G1171" s="26">
        <v>176027927.72</v>
      </c>
      <c r="H1171" s="26">
        <v>146426619.83000001</v>
      </c>
    </row>
    <row r="1172" spans="1:8">
      <c r="A1172" s="24">
        <v>255129</v>
      </c>
      <c r="B1172" s="25" t="s">
        <v>101</v>
      </c>
      <c r="C1172" s="39" t="str">
        <f t="shared" si="36"/>
        <v>205</v>
      </c>
      <c r="D1172" s="39" t="str">
        <f t="shared" si="37"/>
        <v>20502</v>
      </c>
      <c r="E1172" s="39">
        <f>IF(ISNA(VLOOKUP(F1172,'2020功能科目'!A:B,2,FALSE)),"",VLOOKUP(F1172,'2020功能科目'!A:B,2,FALSE))</f>
        <v>2050299</v>
      </c>
      <c r="F1172" s="25" t="s">
        <v>377</v>
      </c>
      <c r="G1172" s="26">
        <v>19211.64</v>
      </c>
      <c r="H1172" s="26">
        <v>0</v>
      </c>
    </row>
    <row r="1173" spans="1:8">
      <c r="A1173" s="24">
        <v>255129</v>
      </c>
      <c r="B1173" s="25" t="s">
        <v>101</v>
      </c>
      <c r="C1173" s="39" t="str">
        <f t="shared" si="36"/>
        <v>205</v>
      </c>
      <c r="D1173" s="39" t="str">
        <f t="shared" si="37"/>
        <v>20508</v>
      </c>
      <c r="E1173" s="39">
        <f>IF(ISNA(VLOOKUP(F1173,'2020功能科目'!A:B,2,FALSE)),"",VLOOKUP(F1173,'2020功能科目'!A:B,2,FALSE))</f>
        <v>2050803</v>
      </c>
      <c r="F1173" s="25" t="s">
        <v>378</v>
      </c>
      <c r="G1173" s="26">
        <v>69269</v>
      </c>
      <c r="H1173" s="26">
        <v>433600</v>
      </c>
    </row>
    <row r="1174" spans="1:8">
      <c r="A1174" s="24">
        <v>255129</v>
      </c>
      <c r="B1174" s="25" t="s">
        <v>101</v>
      </c>
      <c r="C1174" s="39" t="str">
        <f t="shared" si="36"/>
        <v>205</v>
      </c>
      <c r="D1174" s="39" t="str">
        <f t="shared" si="37"/>
        <v>20509</v>
      </c>
      <c r="E1174" s="39">
        <f>IF(ISNA(VLOOKUP(F1174,'2020功能科目'!A:B,2,FALSE)),"",VLOOKUP(F1174,'2020功能科目'!A:B,2,FALSE))</f>
        <v>2050903</v>
      </c>
      <c r="F1174" s="25" t="s">
        <v>379</v>
      </c>
      <c r="G1174" s="26">
        <v>623000</v>
      </c>
      <c r="H1174" s="26">
        <v>959000</v>
      </c>
    </row>
    <row r="1175" spans="1:8">
      <c r="A1175" s="24">
        <v>255129</v>
      </c>
      <c r="B1175" s="25" t="s">
        <v>101</v>
      </c>
      <c r="C1175" s="39" t="str">
        <f t="shared" si="36"/>
        <v>205</v>
      </c>
      <c r="D1175" s="39" t="str">
        <f t="shared" si="37"/>
        <v>20509</v>
      </c>
      <c r="E1175" s="39">
        <f>IF(ISNA(VLOOKUP(F1175,'2020功能科目'!A:B,2,FALSE)),"",VLOOKUP(F1175,'2020功能科目'!A:B,2,FALSE))</f>
        <v>2050904</v>
      </c>
      <c r="F1175" s="25" t="s">
        <v>380</v>
      </c>
      <c r="G1175" s="26">
        <v>2088340</v>
      </c>
      <c r="H1175" s="26">
        <v>2591740</v>
      </c>
    </row>
    <row r="1176" spans="1:8">
      <c r="A1176" s="24">
        <v>255129</v>
      </c>
      <c r="B1176" s="25" t="s">
        <v>101</v>
      </c>
      <c r="C1176" s="39" t="str">
        <f t="shared" si="36"/>
        <v>208</v>
      </c>
      <c r="D1176" s="39" t="str">
        <f t="shared" si="37"/>
        <v>20805</v>
      </c>
      <c r="E1176" s="39">
        <f>IF(ISNA(VLOOKUP(F1176,'2020功能科目'!A:B,2,FALSE)),"",VLOOKUP(F1176,'2020功能科目'!A:B,2,FALSE))</f>
        <v>2080502</v>
      </c>
      <c r="F1176" s="25" t="s">
        <v>381</v>
      </c>
      <c r="G1176" s="26">
        <v>15145398.76</v>
      </c>
      <c r="H1176" s="26">
        <v>12133544</v>
      </c>
    </row>
    <row r="1177" spans="1:8">
      <c r="A1177" s="24">
        <v>255129</v>
      </c>
      <c r="B1177" s="25" t="s">
        <v>101</v>
      </c>
      <c r="C1177" s="39" t="str">
        <f t="shared" si="36"/>
        <v>208</v>
      </c>
      <c r="D1177" s="39" t="str">
        <f t="shared" si="37"/>
        <v>20805</v>
      </c>
      <c r="E1177" s="39">
        <f>IF(ISNA(VLOOKUP(F1177,'2020功能科目'!A:B,2,FALSE)),"",VLOOKUP(F1177,'2020功能科目'!A:B,2,FALSE))</f>
        <v>2080505</v>
      </c>
      <c r="F1177" s="25" t="s">
        <v>382</v>
      </c>
      <c r="G1177" s="26">
        <v>13762456.27</v>
      </c>
      <c r="H1177" s="26">
        <v>13918531.84</v>
      </c>
    </row>
    <row r="1178" spans="1:8">
      <c r="A1178" s="24">
        <v>255129</v>
      </c>
      <c r="B1178" s="25" t="s">
        <v>101</v>
      </c>
      <c r="C1178" s="39" t="str">
        <f t="shared" si="36"/>
        <v>208</v>
      </c>
      <c r="D1178" s="39" t="str">
        <f t="shared" si="37"/>
        <v>20805</v>
      </c>
      <c r="E1178" s="39">
        <f>IF(ISNA(VLOOKUP(F1178,'2020功能科目'!A:B,2,FALSE)),"",VLOOKUP(F1178,'2020功能科目'!A:B,2,FALSE))</f>
        <v>2080506</v>
      </c>
      <c r="F1178" s="25" t="s">
        <v>383</v>
      </c>
      <c r="G1178" s="26">
        <v>6881229.4800000004</v>
      </c>
      <c r="H1178" s="26">
        <v>6959265.9199999999</v>
      </c>
    </row>
    <row r="1179" spans="1:8">
      <c r="A1179" s="24">
        <v>255129</v>
      </c>
      <c r="B1179" s="25" t="s">
        <v>101</v>
      </c>
      <c r="C1179" s="39" t="str">
        <f t="shared" si="36"/>
        <v>210</v>
      </c>
      <c r="D1179" s="39" t="str">
        <f t="shared" si="37"/>
        <v>21011</v>
      </c>
      <c r="E1179" s="39">
        <f>IF(ISNA(VLOOKUP(F1179,'2020功能科目'!A:B,2,FALSE)),"",VLOOKUP(F1179,'2020功能科目'!A:B,2,FALSE))</f>
        <v>2101102</v>
      </c>
      <c r="F1179" s="25" t="s">
        <v>385</v>
      </c>
      <c r="G1179" s="26">
        <v>13883736.310000001</v>
      </c>
      <c r="H1179" s="26">
        <v>11308807.119999999</v>
      </c>
    </row>
    <row r="1180" spans="1:8">
      <c r="A1180" s="24">
        <v>255129</v>
      </c>
      <c r="B1180" s="25" t="s">
        <v>101</v>
      </c>
      <c r="C1180" s="39" t="str">
        <f t="shared" si="36"/>
        <v>210</v>
      </c>
      <c r="D1180" s="39" t="str">
        <f t="shared" si="37"/>
        <v>21011</v>
      </c>
      <c r="E1180" s="39">
        <f>IF(ISNA(VLOOKUP(F1180,'2020功能科目'!A:B,2,FALSE)),"",VLOOKUP(F1180,'2020功能科目'!A:B,2,FALSE))</f>
        <v>2101199</v>
      </c>
      <c r="F1180" s="25" t="s">
        <v>386</v>
      </c>
      <c r="G1180" s="26">
        <v>1335000</v>
      </c>
      <c r="H1180" s="26">
        <v>1350000</v>
      </c>
    </row>
    <row r="1181" spans="1:8">
      <c r="A1181" s="24">
        <v>255129</v>
      </c>
      <c r="B1181" s="25" t="s">
        <v>101</v>
      </c>
      <c r="C1181" s="39" t="str">
        <f t="shared" si="36"/>
        <v>221</v>
      </c>
      <c r="D1181" s="39" t="str">
        <f t="shared" si="37"/>
        <v>22102</v>
      </c>
      <c r="E1181" s="39">
        <f>IF(ISNA(VLOOKUP(F1181,'2020功能科目'!A:B,2,FALSE)),"",VLOOKUP(F1181,'2020功能科目'!A:B,2,FALSE))</f>
        <v>2210201</v>
      </c>
      <c r="F1181" s="25" t="s">
        <v>387</v>
      </c>
      <c r="G1181" s="26">
        <v>16304300</v>
      </c>
      <c r="H1181" s="26">
        <v>13690898.880000001</v>
      </c>
    </row>
    <row r="1182" spans="1:8">
      <c r="A1182" s="24">
        <v>255129</v>
      </c>
      <c r="B1182" s="25" t="s">
        <v>101</v>
      </c>
      <c r="C1182" s="39" t="str">
        <f t="shared" si="36"/>
        <v>221</v>
      </c>
      <c r="D1182" s="39" t="str">
        <f t="shared" si="37"/>
        <v>22102</v>
      </c>
      <c r="E1182" s="39">
        <f>IF(ISNA(VLOOKUP(F1182,'2020功能科目'!A:B,2,FALSE)),"",VLOOKUP(F1182,'2020功能科目'!A:B,2,FALSE))</f>
        <v>2210202</v>
      </c>
      <c r="F1182" s="25" t="s">
        <v>388</v>
      </c>
      <c r="G1182" s="26">
        <v>835510</v>
      </c>
      <c r="H1182" s="26">
        <v>837240</v>
      </c>
    </row>
    <row r="1183" spans="1:8">
      <c r="A1183" s="24">
        <v>255129</v>
      </c>
      <c r="B1183" s="25" t="s">
        <v>101</v>
      </c>
      <c r="C1183" s="39" t="str">
        <f t="shared" si="36"/>
        <v>221</v>
      </c>
      <c r="D1183" s="39" t="str">
        <f t="shared" si="37"/>
        <v>22102</v>
      </c>
      <c r="E1183" s="39">
        <f>IF(ISNA(VLOOKUP(F1183,'2020功能科目'!A:B,2,FALSE)),"",VLOOKUP(F1183,'2020功能科目'!A:B,2,FALSE))</f>
        <v>2210203</v>
      </c>
      <c r="F1183" s="25" t="s">
        <v>389</v>
      </c>
      <c r="G1183" s="26">
        <v>14516744</v>
      </c>
      <c r="H1183" s="26">
        <v>14681220</v>
      </c>
    </row>
    <row r="1184" spans="1:8">
      <c r="A1184" s="24">
        <v>255131</v>
      </c>
      <c r="B1184" s="25" t="s">
        <v>102</v>
      </c>
      <c r="C1184" s="39" t="str">
        <f t="shared" si="36"/>
        <v>205</v>
      </c>
      <c r="D1184" s="39" t="str">
        <f t="shared" si="37"/>
        <v>20502</v>
      </c>
      <c r="E1184" s="39">
        <f>IF(ISNA(VLOOKUP(F1184,'2020功能科目'!A:B,2,FALSE)),"",VLOOKUP(F1184,'2020功能科目'!A:B,2,FALSE))</f>
        <v>2050202</v>
      </c>
      <c r="F1184" s="25" t="s">
        <v>375</v>
      </c>
      <c r="G1184" s="26">
        <v>59360632.030000001</v>
      </c>
      <c r="H1184" s="26">
        <v>46299888.240000002</v>
      </c>
    </row>
    <row r="1185" spans="1:8">
      <c r="A1185" s="24">
        <v>255131</v>
      </c>
      <c r="B1185" s="25" t="s">
        <v>102</v>
      </c>
      <c r="C1185" s="39" t="str">
        <f t="shared" si="36"/>
        <v>205</v>
      </c>
      <c r="D1185" s="39" t="str">
        <f t="shared" si="37"/>
        <v>20502</v>
      </c>
      <c r="E1185" s="39">
        <f>IF(ISNA(VLOOKUP(F1185,'2020功能科目'!A:B,2,FALSE)),"",VLOOKUP(F1185,'2020功能科目'!A:B,2,FALSE))</f>
        <v>2050299</v>
      </c>
      <c r="F1185" s="25" t="s">
        <v>377</v>
      </c>
      <c r="G1185" s="26">
        <v>120968.61</v>
      </c>
      <c r="H1185" s="26">
        <v>0</v>
      </c>
    </row>
    <row r="1186" spans="1:8">
      <c r="A1186" s="24">
        <v>255131</v>
      </c>
      <c r="B1186" s="25" t="s">
        <v>102</v>
      </c>
      <c r="C1186" s="39" t="str">
        <f t="shared" si="36"/>
        <v>205</v>
      </c>
      <c r="D1186" s="39" t="str">
        <f t="shared" si="37"/>
        <v>20508</v>
      </c>
      <c r="E1186" s="39">
        <f>IF(ISNA(VLOOKUP(F1186,'2020功能科目'!A:B,2,FALSE)),"",VLOOKUP(F1186,'2020功能科目'!A:B,2,FALSE))</f>
        <v>2050803</v>
      </c>
      <c r="F1186" s="25" t="s">
        <v>378</v>
      </c>
      <c r="G1186" s="26">
        <v>2725</v>
      </c>
      <c r="H1186" s="26">
        <v>133600</v>
      </c>
    </row>
    <row r="1187" spans="1:8">
      <c r="A1187" s="24">
        <v>255131</v>
      </c>
      <c r="B1187" s="25" t="s">
        <v>102</v>
      </c>
      <c r="C1187" s="39" t="str">
        <f t="shared" si="36"/>
        <v>205</v>
      </c>
      <c r="D1187" s="39" t="str">
        <f t="shared" si="37"/>
        <v>20509</v>
      </c>
      <c r="E1187" s="39">
        <f>IF(ISNA(VLOOKUP(F1187,'2020功能科目'!A:B,2,FALSE)),"",VLOOKUP(F1187,'2020功能科目'!A:B,2,FALSE))</f>
        <v>2050903</v>
      </c>
      <c r="F1187" s="25" t="s">
        <v>379</v>
      </c>
      <c r="G1187" s="26">
        <v>1193953.32</v>
      </c>
      <c r="H1187" s="26">
        <v>1974000</v>
      </c>
    </row>
    <row r="1188" spans="1:8">
      <c r="A1188" s="24">
        <v>255131</v>
      </c>
      <c r="B1188" s="25" t="s">
        <v>102</v>
      </c>
      <c r="C1188" s="39" t="str">
        <f t="shared" si="36"/>
        <v>205</v>
      </c>
      <c r="D1188" s="39" t="str">
        <f t="shared" si="37"/>
        <v>20509</v>
      </c>
      <c r="E1188" s="39">
        <f>IF(ISNA(VLOOKUP(F1188,'2020功能科目'!A:B,2,FALSE)),"",VLOOKUP(F1188,'2020功能科目'!A:B,2,FALSE))</f>
        <v>2050904</v>
      </c>
      <c r="F1188" s="25" t="s">
        <v>380</v>
      </c>
      <c r="G1188" s="26">
        <v>1711220</v>
      </c>
      <c r="H1188" s="26">
        <v>2480918</v>
      </c>
    </row>
    <row r="1189" spans="1:8">
      <c r="A1189" s="24">
        <v>255131</v>
      </c>
      <c r="B1189" s="25" t="s">
        <v>102</v>
      </c>
      <c r="C1189" s="39" t="str">
        <f t="shared" si="36"/>
        <v>208</v>
      </c>
      <c r="D1189" s="39" t="str">
        <f t="shared" si="37"/>
        <v>20805</v>
      </c>
      <c r="E1189" s="39">
        <f>IF(ISNA(VLOOKUP(F1189,'2020功能科目'!A:B,2,FALSE)),"",VLOOKUP(F1189,'2020功能科目'!A:B,2,FALSE))</f>
        <v>2080502</v>
      </c>
      <c r="F1189" s="25" t="s">
        <v>381</v>
      </c>
      <c r="G1189" s="26">
        <v>4769843</v>
      </c>
      <c r="H1189" s="26">
        <v>3682318</v>
      </c>
    </row>
    <row r="1190" spans="1:8">
      <c r="A1190" s="24">
        <v>255131</v>
      </c>
      <c r="B1190" s="25" t="s">
        <v>102</v>
      </c>
      <c r="C1190" s="39" t="str">
        <f t="shared" si="36"/>
        <v>208</v>
      </c>
      <c r="D1190" s="39" t="str">
        <f t="shared" si="37"/>
        <v>20805</v>
      </c>
      <c r="E1190" s="39">
        <f>IF(ISNA(VLOOKUP(F1190,'2020功能科目'!A:B,2,FALSE)),"",VLOOKUP(F1190,'2020功能科目'!A:B,2,FALSE))</f>
        <v>2080505</v>
      </c>
      <c r="F1190" s="25" t="s">
        <v>382</v>
      </c>
      <c r="G1190" s="26">
        <v>4093873.44</v>
      </c>
      <c r="H1190" s="26">
        <v>4093873.44</v>
      </c>
    </row>
    <row r="1191" spans="1:8">
      <c r="A1191" s="24">
        <v>255131</v>
      </c>
      <c r="B1191" s="25" t="s">
        <v>102</v>
      </c>
      <c r="C1191" s="39" t="str">
        <f t="shared" si="36"/>
        <v>208</v>
      </c>
      <c r="D1191" s="39" t="str">
        <f t="shared" si="37"/>
        <v>20805</v>
      </c>
      <c r="E1191" s="39">
        <f>IF(ISNA(VLOOKUP(F1191,'2020功能科目'!A:B,2,FALSE)),"",VLOOKUP(F1191,'2020功能科目'!A:B,2,FALSE))</f>
        <v>2080506</v>
      </c>
      <c r="F1191" s="25" t="s">
        <v>383</v>
      </c>
      <c r="G1191" s="26">
        <v>2046936.72</v>
      </c>
      <c r="H1191" s="26">
        <v>2046936.72</v>
      </c>
    </row>
    <row r="1192" spans="1:8">
      <c r="A1192" s="24">
        <v>255131</v>
      </c>
      <c r="B1192" s="25" t="s">
        <v>102</v>
      </c>
      <c r="C1192" s="39" t="str">
        <f t="shared" si="36"/>
        <v>210</v>
      </c>
      <c r="D1192" s="39" t="str">
        <f t="shared" si="37"/>
        <v>21011</v>
      </c>
      <c r="E1192" s="39">
        <f>IF(ISNA(VLOOKUP(F1192,'2020功能科目'!A:B,2,FALSE)),"",VLOOKUP(F1192,'2020功能科目'!A:B,2,FALSE))</f>
        <v>2101102</v>
      </c>
      <c r="F1192" s="25" t="s">
        <v>385</v>
      </c>
      <c r="G1192" s="26">
        <v>3730238.91</v>
      </c>
      <c r="H1192" s="26">
        <v>3326272.17</v>
      </c>
    </row>
    <row r="1193" spans="1:8">
      <c r="A1193" s="24">
        <v>255131</v>
      </c>
      <c r="B1193" s="25" t="s">
        <v>102</v>
      </c>
      <c r="C1193" s="39" t="str">
        <f t="shared" si="36"/>
        <v>210</v>
      </c>
      <c r="D1193" s="39" t="str">
        <f t="shared" si="37"/>
        <v>21011</v>
      </c>
      <c r="E1193" s="39">
        <f>IF(ISNA(VLOOKUP(F1193,'2020功能科目'!A:B,2,FALSE)),"",VLOOKUP(F1193,'2020功能科目'!A:B,2,FALSE))</f>
        <v>2101199</v>
      </c>
      <c r="F1193" s="25" t="s">
        <v>386</v>
      </c>
      <c r="G1193" s="26">
        <v>180000</v>
      </c>
      <c r="H1193" s="26">
        <v>270000</v>
      </c>
    </row>
    <row r="1194" spans="1:8">
      <c r="A1194" s="24">
        <v>255131</v>
      </c>
      <c r="B1194" s="25" t="s">
        <v>102</v>
      </c>
      <c r="C1194" s="39" t="str">
        <f t="shared" si="36"/>
        <v>221</v>
      </c>
      <c r="D1194" s="39" t="str">
        <f t="shared" si="37"/>
        <v>22102</v>
      </c>
      <c r="E1194" s="39">
        <f>IF(ISNA(VLOOKUP(F1194,'2020功能科目'!A:B,2,FALSE)),"",VLOOKUP(F1194,'2020功能科目'!A:B,2,FALSE))</f>
        <v>2210201</v>
      </c>
      <c r="F1194" s="25" t="s">
        <v>387</v>
      </c>
      <c r="G1194" s="26">
        <v>4072405.08</v>
      </c>
      <c r="H1194" s="26">
        <v>4072405.08</v>
      </c>
    </row>
    <row r="1195" spans="1:8">
      <c r="A1195" s="24">
        <v>255131</v>
      </c>
      <c r="B1195" s="25" t="s">
        <v>102</v>
      </c>
      <c r="C1195" s="39" t="str">
        <f t="shared" si="36"/>
        <v>221</v>
      </c>
      <c r="D1195" s="39" t="str">
        <f t="shared" si="37"/>
        <v>22102</v>
      </c>
      <c r="E1195" s="39">
        <f>IF(ISNA(VLOOKUP(F1195,'2020功能科目'!A:B,2,FALSE)),"",VLOOKUP(F1195,'2020功能科目'!A:B,2,FALSE))</f>
        <v>2210202</v>
      </c>
      <c r="F1195" s="25" t="s">
        <v>388</v>
      </c>
      <c r="G1195" s="26">
        <v>323387</v>
      </c>
      <c r="H1195" s="26">
        <v>431160</v>
      </c>
    </row>
    <row r="1196" spans="1:8">
      <c r="A1196" s="24">
        <v>255131</v>
      </c>
      <c r="B1196" s="25" t="s">
        <v>102</v>
      </c>
      <c r="C1196" s="39" t="str">
        <f t="shared" si="36"/>
        <v>221</v>
      </c>
      <c r="D1196" s="39" t="str">
        <f t="shared" si="37"/>
        <v>22102</v>
      </c>
      <c r="E1196" s="39">
        <f>IF(ISNA(VLOOKUP(F1196,'2020功能科目'!A:B,2,FALSE)),"",VLOOKUP(F1196,'2020功能科目'!A:B,2,FALSE))</f>
        <v>2210203</v>
      </c>
      <c r="F1196" s="25" t="s">
        <v>389</v>
      </c>
      <c r="G1196" s="26">
        <v>4282947</v>
      </c>
      <c r="H1196" s="26">
        <v>4296780</v>
      </c>
    </row>
    <row r="1197" spans="1:8">
      <c r="A1197" s="24">
        <v>255132</v>
      </c>
      <c r="B1197" s="25" t="s">
        <v>103</v>
      </c>
      <c r="C1197" s="39" t="str">
        <f t="shared" si="36"/>
        <v>205</v>
      </c>
      <c r="D1197" s="39" t="str">
        <f t="shared" si="37"/>
        <v>20502</v>
      </c>
      <c r="E1197" s="39">
        <f>IF(ISNA(VLOOKUP(F1197,'2020功能科目'!A:B,2,FALSE)),"",VLOOKUP(F1197,'2020功能科目'!A:B,2,FALSE))</f>
        <v>2050202</v>
      </c>
      <c r="F1197" s="25" t="s">
        <v>375</v>
      </c>
      <c r="G1197" s="26">
        <v>37402400</v>
      </c>
      <c r="H1197" s="26">
        <v>28466642.969999999</v>
      </c>
    </row>
    <row r="1198" spans="1:8">
      <c r="A1198" s="24">
        <v>255132</v>
      </c>
      <c r="B1198" s="25" t="s">
        <v>103</v>
      </c>
      <c r="C1198" s="39" t="str">
        <f t="shared" si="36"/>
        <v>205</v>
      </c>
      <c r="D1198" s="39" t="str">
        <f t="shared" si="37"/>
        <v>20502</v>
      </c>
      <c r="E1198" s="39">
        <f>IF(ISNA(VLOOKUP(F1198,'2020功能科目'!A:B,2,FALSE)),"",VLOOKUP(F1198,'2020功能科目'!A:B,2,FALSE))</f>
        <v>2050299</v>
      </c>
      <c r="F1198" s="25" t="s">
        <v>377</v>
      </c>
      <c r="G1198" s="26">
        <v>254991.38</v>
      </c>
      <c r="H1198" s="26">
        <v>179982.07999999999</v>
      </c>
    </row>
    <row r="1199" spans="1:8">
      <c r="A1199" s="24">
        <v>255132</v>
      </c>
      <c r="B1199" s="25" t="s">
        <v>103</v>
      </c>
      <c r="C1199" s="39" t="str">
        <f t="shared" si="36"/>
        <v>205</v>
      </c>
      <c r="D1199" s="39" t="str">
        <f t="shared" si="37"/>
        <v>20508</v>
      </c>
      <c r="E1199" s="39">
        <f>IF(ISNA(VLOOKUP(F1199,'2020功能科目'!A:B,2,FALSE)),"",VLOOKUP(F1199,'2020功能科目'!A:B,2,FALSE))</f>
        <v>2050803</v>
      </c>
      <c r="F1199" s="25" t="s">
        <v>378</v>
      </c>
      <c r="G1199" s="26">
        <v>11675.13</v>
      </c>
      <c r="H1199" s="26">
        <v>77600</v>
      </c>
    </row>
    <row r="1200" spans="1:8">
      <c r="A1200" s="24">
        <v>255132</v>
      </c>
      <c r="B1200" s="25" t="s">
        <v>103</v>
      </c>
      <c r="C1200" s="39" t="str">
        <f t="shared" si="36"/>
        <v>205</v>
      </c>
      <c r="D1200" s="39" t="str">
        <f t="shared" si="37"/>
        <v>20509</v>
      </c>
      <c r="E1200" s="39">
        <f>IF(ISNA(VLOOKUP(F1200,'2020功能科目'!A:B,2,FALSE)),"",VLOOKUP(F1200,'2020功能科目'!A:B,2,FALSE))</f>
        <v>2050903</v>
      </c>
      <c r="F1200" s="25" t="s">
        <v>379</v>
      </c>
      <c r="G1200" s="26">
        <v>105000</v>
      </c>
      <c r="H1200" s="26">
        <v>350000</v>
      </c>
    </row>
    <row r="1201" spans="1:8">
      <c r="A1201" s="24">
        <v>255132</v>
      </c>
      <c r="B1201" s="25" t="s">
        <v>103</v>
      </c>
      <c r="C1201" s="39" t="str">
        <f t="shared" si="36"/>
        <v>205</v>
      </c>
      <c r="D1201" s="39" t="str">
        <f t="shared" si="37"/>
        <v>20509</v>
      </c>
      <c r="E1201" s="39">
        <f>IF(ISNA(VLOOKUP(F1201,'2020功能科目'!A:B,2,FALSE)),"",VLOOKUP(F1201,'2020功能科目'!A:B,2,FALSE))</f>
        <v>2050904</v>
      </c>
      <c r="F1201" s="25" t="s">
        <v>380</v>
      </c>
      <c r="G1201" s="26">
        <v>115422</v>
      </c>
      <c r="H1201" s="26">
        <v>127000</v>
      </c>
    </row>
    <row r="1202" spans="1:8">
      <c r="A1202" s="24">
        <v>255132</v>
      </c>
      <c r="B1202" s="25" t="s">
        <v>103</v>
      </c>
      <c r="C1202" s="39" t="str">
        <f t="shared" si="36"/>
        <v>208</v>
      </c>
      <c r="D1202" s="39" t="str">
        <f t="shared" si="37"/>
        <v>20805</v>
      </c>
      <c r="E1202" s="39">
        <f>IF(ISNA(VLOOKUP(F1202,'2020功能科目'!A:B,2,FALSE)),"",VLOOKUP(F1202,'2020功能科目'!A:B,2,FALSE))</f>
        <v>2080502</v>
      </c>
      <c r="F1202" s="25" t="s">
        <v>381</v>
      </c>
      <c r="G1202" s="26">
        <v>2614046.7799999998</v>
      </c>
      <c r="H1202" s="26">
        <v>1904432</v>
      </c>
    </row>
    <row r="1203" spans="1:8">
      <c r="A1203" s="24">
        <v>255132</v>
      </c>
      <c r="B1203" s="25" t="s">
        <v>103</v>
      </c>
      <c r="C1203" s="39" t="str">
        <f t="shared" si="36"/>
        <v>208</v>
      </c>
      <c r="D1203" s="39" t="str">
        <f t="shared" si="37"/>
        <v>20805</v>
      </c>
      <c r="E1203" s="39">
        <f>IF(ISNA(VLOOKUP(F1203,'2020功能科目'!A:B,2,FALSE)),"",VLOOKUP(F1203,'2020功能科目'!A:B,2,FALSE))</f>
        <v>2080505</v>
      </c>
      <c r="F1203" s="25" t="s">
        <v>382</v>
      </c>
      <c r="G1203" s="26">
        <v>2555888.6400000001</v>
      </c>
      <c r="H1203" s="26">
        <v>2080679.51</v>
      </c>
    </row>
    <row r="1204" spans="1:8">
      <c r="A1204" s="24">
        <v>255132</v>
      </c>
      <c r="B1204" s="25" t="s">
        <v>103</v>
      </c>
      <c r="C1204" s="39" t="str">
        <f t="shared" si="36"/>
        <v>208</v>
      </c>
      <c r="D1204" s="39" t="str">
        <f t="shared" si="37"/>
        <v>20805</v>
      </c>
      <c r="E1204" s="39">
        <f>IF(ISNA(VLOOKUP(F1204,'2020功能科目'!A:B,2,FALSE)),"",VLOOKUP(F1204,'2020功能科目'!A:B,2,FALSE))</f>
        <v>2080506</v>
      </c>
      <c r="F1204" s="25" t="s">
        <v>383</v>
      </c>
      <c r="G1204" s="26">
        <v>1277944.3200000001</v>
      </c>
      <c r="H1204" s="26">
        <v>1040339.75</v>
      </c>
    </row>
    <row r="1205" spans="1:8">
      <c r="A1205" s="24">
        <v>255132</v>
      </c>
      <c r="B1205" s="25" t="s">
        <v>103</v>
      </c>
      <c r="C1205" s="39" t="str">
        <f t="shared" si="36"/>
        <v>210</v>
      </c>
      <c r="D1205" s="39" t="str">
        <f t="shared" si="37"/>
        <v>21011</v>
      </c>
      <c r="E1205" s="39">
        <f>IF(ISNA(VLOOKUP(F1205,'2020功能科目'!A:B,2,FALSE)),"",VLOOKUP(F1205,'2020功能科目'!A:B,2,FALSE))</f>
        <v>2101102</v>
      </c>
      <c r="F1205" s="25" t="s">
        <v>385</v>
      </c>
      <c r="G1205" s="26">
        <v>2572152.02</v>
      </c>
      <c r="H1205" s="26">
        <v>1690552.1</v>
      </c>
    </row>
    <row r="1206" spans="1:8">
      <c r="A1206" s="24">
        <v>255132</v>
      </c>
      <c r="B1206" s="25" t="s">
        <v>103</v>
      </c>
      <c r="C1206" s="39" t="str">
        <f t="shared" si="36"/>
        <v>210</v>
      </c>
      <c r="D1206" s="39" t="str">
        <f t="shared" si="37"/>
        <v>21011</v>
      </c>
      <c r="E1206" s="39">
        <f>IF(ISNA(VLOOKUP(F1206,'2020功能科目'!A:B,2,FALSE)),"",VLOOKUP(F1206,'2020功能科目'!A:B,2,FALSE))</f>
        <v>2101199</v>
      </c>
      <c r="F1206" s="25" t="s">
        <v>386</v>
      </c>
      <c r="G1206" s="26">
        <v>180000</v>
      </c>
      <c r="H1206" s="26">
        <v>180000</v>
      </c>
    </row>
    <row r="1207" spans="1:8">
      <c r="A1207" s="24">
        <v>255132</v>
      </c>
      <c r="B1207" s="25" t="s">
        <v>103</v>
      </c>
      <c r="C1207" s="39" t="str">
        <f t="shared" si="36"/>
        <v>221</v>
      </c>
      <c r="D1207" s="39" t="str">
        <f t="shared" si="37"/>
        <v>22102</v>
      </c>
      <c r="E1207" s="39">
        <f>IF(ISNA(VLOOKUP(F1207,'2020功能科目'!A:B,2,FALSE)),"",VLOOKUP(F1207,'2020功能科目'!A:B,2,FALSE))</f>
        <v>2210201</v>
      </c>
      <c r="F1207" s="25" t="s">
        <v>387</v>
      </c>
      <c r="G1207" s="26">
        <v>2157003</v>
      </c>
      <c r="H1207" s="26">
        <v>2142509.63</v>
      </c>
    </row>
    <row r="1208" spans="1:8">
      <c r="A1208" s="24">
        <v>255132</v>
      </c>
      <c r="B1208" s="25" t="s">
        <v>103</v>
      </c>
      <c r="C1208" s="39" t="str">
        <f t="shared" si="36"/>
        <v>221</v>
      </c>
      <c r="D1208" s="39" t="str">
        <f t="shared" si="37"/>
        <v>22102</v>
      </c>
      <c r="E1208" s="39">
        <f>IF(ISNA(VLOOKUP(F1208,'2020功能科目'!A:B,2,FALSE)),"",VLOOKUP(F1208,'2020功能科目'!A:B,2,FALSE))</f>
        <v>2210202</v>
      </c>
      <c r="F1208" s="25" t="s">
        <v>388</v>
      </c>
      <c r="G1208" s="26">
        <v>227440</v>
      </c>
      <c r="H1208" s="26">
        <v>229200</v>
      </c>
    </row>
    <row r="1209" spans="1:8">
      <c r="A1209" s="24">
        <v>255132</v>
      </c>
      <c r="B1209" s="25" t="s">
        <v>103</v>
      </c>
      <c r="C1209" s="39" t="str">
        <f t="shared" si="36"/>
        <v>221</v>
      </c>
      <c r="D1209" s="39" t="str">
        <f t="shared" si="37"/>
        <v>22102</v>
      </c>
      <c r="E1209" s="39">
        <f>IF(ISNA(VLOOKUP(F1209,'2020功能科目'!A:B,2,FALSE)),"",VLOOKUP(F1209,'2020功能科目'!A:B,2,FALSE))</f>
        <v>2210203</v>
      </c>
      <c r="F1209" s="25" t="s">
        <v>389</v>
      </c>
      <c r="G1209" s="26">
        <v>2351612.58</v>
      </c>
      <c r="H1209" s="26">
        <v>2288676</v>
      </c>
    </row>
    <row r="1210" spans="1:8">
      <c r="A1210" s="24">
        <v>255133</v>
      </c>
      <c r="B1210" s="25" t="s">
        <v>104</v>
      </c>
      <c r="C1210" s="39" t="str">
        <f t="shared" si="36"/>
        <v>205</v>
      </c>
      <c r="D1210" s="39" t="str">
        <f t="shared" si="37"/>
        <v>20502</v>
      </c>
      <c r="E1210" s="39">
        <f>IF(ISNA(VLOOKUP(F1210,'2020功能科目'!A:B,2,FALSE)),"",VLOOKUP(F1210,'2020功能科目'!A:B,2,FALSE))</f>
        <v>2050202</v>
      </c>
      <c r="F1210" s="25" t="s">
        <v>375</v>
      </c>
      <c r="G1210" s="26">
        <v>78676760.319999993</v>
      </c>
      <c r="H1210" s="26">
        <v>60849747.359999999</v>
      </c>
    </row>
    <row r="1211" spans="1:8">
      <c r="A1211" s="24">
        <v>255133</v>
      </c>
      <c r="B1211" s="25" t="s">
        <v>104</v>
      </c>
      <c r="C1211" s="39" t="str">
        <f t="shared" si="36"/>
        <v>205</v>
      </c>
      <c r="D1211" s="39" t="str">
        <f t="shared" si="37"/>
        <v>20502</v>
      </c>
      <c r="E1211" s="39">
        <f>IF(ISNA(VLOOKUP(F1211,'2020功能科目'!A:B,2,FALSE)),"",VLOOKUP(F1211,'2020功能科目'!A:B,2,FALSE))</f>
        <v>2050299</v>
      </c>
      <c r="F1211" s="25" t="s">
        <v>377</v>
      </c>
      <c r="G1211" s="26">
        <v>234399.08</v>
      </c>
      <c r="H1211" s="26">
        <v>39599.08</v>
      </c>
    </row>
    <row r="1212" spans="1:8">
      <c r="A1212" s="24">
        <v>255133</v>
      </c>
      <c r="B1212" s="25" t="s">
        <v>104</v>
      </c>
      <c r="C1212" s="39" t="str">
        <f t="shared" si="36"/>
        <v>205</v>
      </c>
      <c r="D1212" s="39" t="str">
        <f t="shared" si="37"/>
        <v>20508</v>
      </c>
      <c r="E1212" s="39">
        <f>IF(ISNA(VLOOKUP(F1212,'2020功能科目'!A:B,2,FALSE)),"",VLOOKUP(F1212,'2020功能科目'!A:B,2,FALSE))</f>
        <v>2050803</v>
      </c>
      <c r="F1212" s="25" t="s">
        <v>378</v>
      </c>
      <c r="G1212" s="26">
        <v>25828</v>
      </c>
      <c r="H1212" s="26">
        <v>173600</v>
      </c>
    </row>
    <row r="1213" spans="1:8">
      <c r="A1213" s="24">
        <v>255133</v>
      </c>
      <c r="B1213" s="25" t="s">
        <v>104</v>
      </c>
      <c r="C1213" s="39" t="str">
        <f t="shared" si="36"/>
        <v>205</v>
      </c>
      <c r="D1213" s="39" t="str">
        <f t="shared" si="37"/>
        <v>20509</v>
      </c>
      <c r="E1213" s="39">
        <f>IF(ISNA(VLOOKUP(F1213,'2020功能科目'!A:B,2,FALSE)),"",VLOOKUP(F1213,'2020功能科目'!A:B,2,FALSE))</f>
        <v>2050903</v>
      </c>
      <c r="F1213" s="25" t="s">
        <v>379</v>
      </c>
      <c r="G1213" s="26">
        <v>839702.57</v>
      </c>
      <c r="H1213" s="26">
        <v>840000</v>
      </c>
    </row>
    <row r="1214" spans="1:8">
      <c r="A1214" s="24">
        <v>255133</v>
      </c>
      <c r="B1214" s="25" t="s">
        <v>104</v>
      </c>
      <c r="C1214" s="39" t="str">
        <f t="shared" si="36"/>
        <v>205</v>
      </c>
      <c r="D1214" s="39" t="str">
        <f t="shared" si="37"/>
        <v>20509</v>
      </c>
      <c r="E1214" s="39">
        <f>IF(ISNA(VLOOKUP(F1214,'2020功能科目'!A:B,2,FALSE)),"",VLOOKUP(F1214,'2020功能科目'!A:B,2,FALSE))</f>
        <v>2050904</v>
      </c>
      <c r="F1214" s="25" t="s">
        <v>380</v>
      </c>
      <c r="G1214" s="26">
        <v>156842</v>
      </c>
      <c r="H1214" s="26">
        <v>160716</v>
      </c>
    </row>
    <row r="1215" spans="1:8">
      <c r="A1215" s="24">
        <v>255133</v>
      </c>
      <c r="B1215" s="25" t="s">
        <v>104</v>
      </c>
      <c r="C1215" s="39" t="str">
        <f t="shared" si="36"/>
        <v>208</v>
      </c>
      <c r="D1215" s="39" t="str">
        <f t="shared" si="37"/>
        <v>20805</v>
      </c>
      <c r="E1215" s="39">
        <f>IF(ISNA(VLOOKUP(F1215,'2020功能科目'!A:B,2,FALSE)),"",VLOOKUP(F1215,'2020功能科目'!A:B,2,FALSE))</f>
        <v>2080502</v>
      </c>
      <c r="F1215" s="25" t="s">
        <v>381</v>
      </c>
      <c r="G1215" s="26">
        <v>1066041.7</v>
      </c>
      <c r="H1215" s="26">
        <v>925978</v>
      </c>
    </row>
    <row r="1216" spans="1:8">
      <c r="A1216" s="24">
        <v>255133</v>
      </c>
      <c r="B1216" s="25" t="s">
        <v>104</v>
      </c>
      <c r="C1216" s="39" t="str">
        <f t="shared" si="36"/>
        <v>208</v>
      </c>
      <c r="D1216" s="39" t="str">
        <f t="shared" si="37"/>
        <v>20805</v>
      </c>
      <c r="E1216" s="39">
        <f>IF(ISNA(VLOOKUP(F1216,'2020功能科目'!A:B,2,FALSE)),"",VLOOKUP(F1216,'2020功能科目'!A:B,2,FALSE))</f>
        <v>2080505</v>
      </c>
      <c r="F1216" s="25" t="s">
        <v>382</v>
      </c>
      <c r="G1216" s="26">
        <v>5206766.55</v>
      </c>
      <c r="H1216" s="26">
        <v>5224558.5599999996</v>
      </c>
    </row>
    <row r="1217" spans="1:8">
      <c r="A1217" s="24">
        <v>255133</v>
      </c>
      <c r="B1217" s="25" t="s">
        <v>104</v>
      </c>
      <c r="C1217" s="39" t="str">
        <f t="shared" si="36"/>
        <v>208</v>
      </c>
      <c r="D1217" s="39" t="str">
        <f t="shared" si="37"/>
        <v>20805</v>
      </c>
      <c r="E1217" s="39">
        <f>IF(ISNA(VLOOKUP(F1217,'2020功能科目'!A:B,2,FALSE)),"",VLOOKUP(F1217,'2020功能科目'!A:B,2,FALSE))</f>
        <v>2080506</v>
      </c>
      <c r="F1217" s="25" t="s">
        <v>383</v>
      </c>
      <c r="G1217" s="26">
        <v>2608075.4</v>
      </c>
      <c r="H1217" s="26">
        <v>2612279.2799999998</v>
      </c>
    </row>
    <row r="1218" spans="1:8">
      <c r="A1218" s="24">
        <v>255133</v>
      </c>
      <c r="B1218" s="25" t="s">
        <v>104</v>
      </c>
      <c r="C1218" s="39" t="str">
        <f t="shared" si="36"/>
        <v>210</v>
      </c>
      <c r="D1218" s="39" t="str">
        <f t="shared" si="37"/>
        <v>21011</v>
      </c>
      <c r="E1218" s="39">
        <f>IF(ISNA(VLOOKUP(F1218,'2020功能科目'!A:B,2,FALSE)),"",VLOOKUP(F1218,'2020功能科目'!A:B,2,FALSE))</f>
        <v>2101102</v>
      </c>
      <c r="F1218" s="25" t="s">
        <v>385</v>
      </c>
      <c r="G1218" s="26">
        <v>4630496.6399999997</v>
      </c>
      <c r="H1218" s="26">
        <v>4244953.83</v>
      </c>
    </row>
    <row r="1219" spans="1:8">
      <c r="A1219" s="24">
        <v>255133</v>
      </c>
      <c r="B1219" s="25" t="s">
        <v>104</v>
      </c>
      <c r="C1219" s="39" t="str">
        <f t="shared" ref="C1219:C1282" si="38">LEFT(D1219,3)</f>
        <v>221</v>
      </c>
      <c r="D1219" s="39" t="str">
        <f t="shared" ref="D1219:D1282" si="39">LEFT(E1219,5)</f>
        <v>22102</v>
      </c>
      <c r="E1219" s="39">
        <f>IF(ISNA(VLOOKUP(F1219,'2020功能科目'!A:B,2,FALSE)),"",VLOOKUP(F1219,'2020功能科目'!A:B,2,FALSE))</f>
        <v>2210201</v>
      </c>
      <c r="F1219" s="25" t="s">
        <v>387</v>
      </c>
      <c r="G1219" s="26">
        <v>5251106</v>
      </c>
      <c r="H1219" s="26">
        <v>5220418.92</v>
      </c>
    </row>
    <row r="1220" spans="1:8">
      <c r="A1220" s="24">
        <v>255133</v>
      </c>
      <c r="B1220" s="25" t="s">
        <v>104</v>
      </c>
      <c r="C1220" s="39" t="str">
        <f t="shared" si="38"/>
        <v>221</v>
      </c>
      <c r="D1220" s="39" t="str">
        <f t="shared" si="39"/>
        <v>22102</v>
      </c>
      <c r="E1220" s="39">
        <f>IF(ISNA(VLOOKUP(F1220,'2020功能科目'!A:B,2,FALSE)),"",VLOOKUP(F1220,'2020功能科目'!A:B,2,FALSE))</f>
        <v>2210202</v>
      </c>
      <c r="F1220" s="25" t="s">
        <v>388</v>
      </c>
      <c r="G1220" s="26">
        <v>283680</v>
      </c>
      <c r="H1220" s="26">
        <v>282060</v>
      </c>
    </row>
    <row r="1221" spans="1:8">
      <c r="A1221" s="24">
        <v>255133</v>
      </c>
      <c r="B1221" s="25" t="s">
        <v>104</v>
      </c>
      <c r="C1221" s="39" t="str">
        <f t="shared" si="38"/>
        <v>221</v>
      </c>
      <c r="D1221" s="39" t="str">
        <f t="shared" si="39"/>
        <v>22102</v>
      </c>
      <c r="E1221" s="39">
        <f>IF(ISNA(VLOOKUP(F1221,'2020功能科目'!A:B,2,FALSE)),"",VLOOKUP(F1221,'2020功能科目'!A:B,2,FALSE))</f>
        <v>2210203</v>
      </c>
      <c r="F1221" s="25" t="s">
        <v>389</v>
      </c>
      <c r="G1221" s="26">
        <v>5755644</v>
      </c>
      <c r="H1221" s="26">
        <v>5255280</v>
      </c>
    </row>
    <row r="1222" spans="1:8">
      <c r="A1222" s="24">
        <v>255134</v>
      </c>
      <c r="B1222" s="25" t="s">
        <v>105</v>
      </c>
      <c r="C1222" s="39" t="str">
        <f t="shared" si="38"/>
        <v>205</v>
      </c>
      <c r="D1222" s="39" t="str">
        <f t="shared" si="39"/>
        <v>20502</v>
      </c>
      <c r="E1222" s="39">
        <f>IF(ISNA(VLOOKUP(F1222,'2020功能科目'!A:B,2,FALSE)),"",VLOOKUP(F1222,'2020功能科目'!A:B,2,FALSE))</f>
        <v>2050202</v>
      </c>
      <c r="F1222" s="25" t="s">
        <v>375</v>
      </c>
      <c r="G1222" s="26">
        <v>27639216.010000002</v>
      </c>
      <c r="H1222" s="26">
        <v>15864445.4</v>
      </c>
    </row>
    <row r="1223" spans="1:8">
      <c r="A1223" s="24">
        <v>255134</v>
      </c>
      <c r="B1223" s="25" t="s">
        <v>105</v>
      </c>
      <c r="C1223" s="39" t="str">
        <f t="shared" si="38"/>
        <v>205</v>
      </c>
      <c r="D1223" s="39" t="str">
        <f t="shared" si="39"/>
        <v>20502</v>
      </c>
      <c r="E1223" s="39">
        <f>IF(ISNA(VLOOKUP(F1223,'2020功能科目'!A:B,2,FALSE)),"",VLOOKUP(F1223,'2020功能科目'!A:B,2,FALSE))</f>
        <v>2050299</v>
      </c>
      <c r="F1223" s="25" t="s">
        <v>377</v>
      </c>
      <c r="G1223" s="26">
        <v>201870.07999999999</v>
      </c>
      <c r="H1223" s="26">
        <v>0</v>
      </c>
    </row>
    <row r="1224" spans="1:8">
      <c r="A1224" s="24">
        <v>255134</v>
      </c>
      <c r="B1224" s="25" t="s">
        <v>105</v>
      </c>
      <c r="C1224" s="39" t="str">
        <f t="shared" si="38"/>
        <v>205</v>
      </c>
      <c r="D1224" s="39" t="str">
        <f t="shared" si="39"/>
        <v>20508</v>
      </c>
      <c r="E1224" s="39">
        <f>IF(ISNA(VLOOKUP(F1224,'2020功能科目'!A:B,2,FALSE)),"",VLOOKUP(F1224,'2020功能科目'!A:B,2,FALSE))</f>
        <v>2050803</v>
      </c>
      <c r="F1224" s="25" t="s">
        <v>378</v>
      </c>
      <c r="G1224" s="26">
        <v>31600</v>
      </c>
      <c r="H1224" s="26">
        <v>63200</v>
      </c>
    </row>
    <row r="1225" spans="1:8">
      <c r="A1225" s="24">
        <v>255134</v>
      </c>
      <c r="B1225" s="25" t="s">
        <v>105</v>
      </c>
      <c r="C1225" s="39" t="str">
        <f t="shared" si="38"/>
        <v>205</v>
      </c>
      <c r="D1225" s="39" t="str">
        <f t="shared" si="39"/>
        <v>20509</v>
      </c>
      <c r="E1225" s="39">
        <f>IF(ISNA(VLOOKUP(F1225,'2020功能科目'!A:B,2,FALSE)),"",VLOOKUP(F1225,'2020功能科目'!A:B,2,FALSE))</f>
        <v>2050903</v>
      </c>
      <c r="F1225" s="25" t="s">
        <v>379</v>
      </c>
      <c r="G1225" s="26">
        <v>1585406.33</v>
      </c>
      <c r="H1225" s="26">
        <v>7828298</v>
      </c>
    </row>
    <row r="1226" spans="1:8">
      <c r="A1226" s="24">
        <v>255134</v>
      </c>
      <c r="B1226" s="25" t="s">
        <v>105</v>
      </c>
      <c r="C1226" s="39" t="str">
        <f t="shared" si="38"/>
        <v>205</v>
      </c>
      <c r="D1226" s="39" t="str">
        <f t="shared" si="39"/>
        <v>20509</v>
      </c>
      <c r="E1226" s="39">
        <f>IF(ISNA(VLOOKUP(F1226,'2020功能科目'!A:B,2,FALSE)),"",VLOOKUP(F1226,'2020功能科目'!A:B,2,FALSE))</f>
        <v>2050904</v>
      </c>
      <c r="F1226" s="25" t="s">
        <v>380</v>
      </c>
      <c r="G1226" s="26">
        <v>1243200</v>
      </c>
      <c r="H1226" s="26">
        <v>1246200</v>
      </c>
    </row>
    <row r="1227" spans="1:8">
      <c r="A1227" s="24">
        <v>255134</v>
      </c>
      <c r="B1227" s="25" t="s">
        <v>105</v>
      </c>
      <c r="C1227" s="39" t="str">
        <f t="shared" si="38"/>
        <v>208</v>
      </c>
      <c r="D1227" s="39" t="str">
        <f t="shared" si="39"/>
        <v>20805</v>
      </c>
      <c r="E1227" s="39">
        <f>IF(ISNA(VLOOKUP(F1227,'2020功能科目'!A:B,2,FALSE)),"",VLOOKUP(F1227,'2020功能科目'!A:B,2,FALSE))</f>
        <v>2080502</v>
      </c>
      <c r="F1227" s="25" t="s">
        <v>381</v>
      </c>
      <c r="G1227" s="26">
        <v>2590352</v>
      </c>
      <c r="H1227" s="26">
        <v>1603430</v>
      </c>
    </row>
    <row r="1228" spans="1:8">
      <c r="A1228" s="24">
        <v>255134</v>
      </c>
      <c r="B1228" s="25" t="s">
        <v>105</v>
      </c>
      <c r="C1228" s="39" t="str">
        <f t="shared" si="38"/>
        <v>208</v>
      </c>
      <c r="D1228" s="39" t="str">
        <f t="shared" si="39"/>
        <v>20805</v>
      </c>
      <c r="E1228" s="39">
        <f>IF(ISNA(VLOOKUP(F1228,'2020功能科目'!A:B,2,FALSE)),"",VLOOKUP(F1228,'2020功能科目'!A:B,2,FALSE))</f>
        <v>2080505</v>
      </c>
      <c r="F1228" s="25" t="s">
        <v>382</v>
      </c>
      <c r="G1228" s="26">
        <v>1740151.89</v>
      </c>
      <c r="H1228" s="26">
        <v>1870683.84</v>
      </c>
    </row>
    <row r="1229" spans="1:8">
      <c r="A1229" s="24">
        <v>255134</v>
      </c>
      <c r="B1229" s="25" t="s">
        <v>105</v>
      </c>
      <c r="C1229" s="39" t="str">
        <f t="shared" si="38"/>
        <v>208</v>
      </c>
      <c r="D1229" s="39" t="str">
        <f t="shared" si="39"/>
        <v>20805</v>
      </c>
      <c r="E1229" s="39">
        <f>IF(ISNA(VLOOKUP(F1229,'2020功能科目'!A:B,2,FALSE)),"",VLOOKUP(F1229,'2020功能科目'!A:B,2,FALSE))</f>
        <v>2080506</v>
      </c>
      <c r="F1229" s="25" t="s">
        <v>383</v>
      </c>
      <c r="G1229" s="26">
        <v>870075.91</v>
      </c>
      <c r="H1229" s="26">
        <v>935341.92</v>
      </c>
    </row>
    <row r="1230" spans="1:8">
      <c r="A1230" s="24">
        <v>255134</v>
      </c>
      <c r="B1230" s="25" t="s">
        <v>105</v>
      </c>
      <c r="C1230" s="39" t="str">
        <f t="shared" si="38"/>
        <v>210</v>
      </c>
      <c r="D1230" s="39" t="str">
        <f t="shared" si="39"/>
        <v>21011</v>
      </c>
      <c r="E1230" s="39">
        <f>IF(ISNA(VLOOKUP(F1230,'2020功能科目'!A:B,2,FALSE)),"",VLOOKUP(F1230,'2020功能科目'!A:B,2,FALSE))</f>
        <v>2101102</v>
      </c>
      <c r="F1230" s="25" t="s">
        <v>385</v>
      </c>
      <c r="G1230" s="26">
        <v>1778053.62</v>
      </c>
      <c r="H1230" s="26">
        <v>1519930.62</v>
      </c>
    </row>
    <row r="1231" spans="1:8">
      <c r="A1231" s="24">
        <v>255134</v>
      </c>
      <c r="B1231" s="25" t="s">
        <v>105</v>
      </c>
      <c r="C1231" s="39" t="str">
        <f t="shared" si="38"/>
        <v>210</v>
      </c>
      <c r="D1231" s="39" t="str">
        <f t="shared" si="39"/>
        <v>21011</v>
      </c>
      <c r="E1231" s="39">
        <f>IF(ISNA(VLOOKUP(F1231,'2020功能科目'!A:B,2,FALSE)),"",VLOOKUP(F1231,'2020功能科目'!A:B,2,FALSE))</f>
        <v>2101199</v>
      </c>
      <c r="F1231" s="25" t="s">
        <v>386</v>
      </c>
      <c r="G1231" s="26">
        <v>90000</v>
      </c>
      <c r="H1231" s="26">
        <v>90000</v>
      </c>
    </row>
    <row r="1232" spans="1:8">
      <c r="A1232" s="24">
        <v>255134</v>
      </c>
      <c r="B1232" s="25" t="s">
        <v>105</v>
      </c>
      <c r="C1232" s="39" t="str">
        <f t="shared" si="38"/>
        <v>221</v>
      </c>
      <c r="D1232" s="39" t="str">
        <f t="shared" si="39"/>
        <v>22102</v>
      </c>
      <c r="E1232" s="39">
        <f>IF(ISNA(VLOOKUP(F1232,'2020功能科目'!A:B,2,FALSE)),"",VLOOKUP(F1232,'2020功能科目'!A:B,2,FALSE))</f>
        <v>2210201</v>
      </c>
      <c r="F1232" s="25" t="s">
        <v>387</v>
      </c>
      <c r="G1232" s="26">
        <v>1914825.88</v>
      </c>
      <c r="H1232" s="26">
        <v>1877012.88</v>
      </c>
    </row>
    <row r="1233" spans="1:8">
      <c r="A1233" s="24">
        <v>255134</v>
      </c>
      <c r="B1233" s="25" t="s">
        <v>105</v>
      </c>
      <c r="C1233" s="39" t="str">
        <f t="shared" si="38"/>
        <v>221</v>
      </c>
      <c r="D1233" s="39" t="str">
        <f t="shared" si="39"/>
        <v>22102</v>
      </c>
      <c r="E1233" s="39">
        <f>IF(ISNA(VLOOKUP(F1233,'2020功能科目'!A:B,2,FALSE)),"",VLOOKUP(F1233,'2020功能科目'!A:B,2,FALSE))</f>
        <v>2210202</v>
      </c>
      <c r="F1233" s="25" t="s">
        <v>388</v>
      </c>
      <c r="G1233" s="26">
        <v>196080</v>
      </c>
      <c r="H1233" s="26">
        <v>198720</v>
      </c>
    </row>
    <row r="1234" spans="1:8">
      <c r="A1234" s="24">
        <v>255134</v>
      </c>
      <c r="B1234" s="25" t="s">
        <v>105</v>
      </c>
      <c r="C1234" s="39" t="str">
        <f t="shared" si="38"/>
        <v>221</v>
      </c>
      <c r="D1234" s="39" t="str">
        <f t="shared" si="39"/>
        <v>22102</v>
      </c>
      <c r="E1234" s="39">
        <f>IF(ISNA(VLOOKUP(F1234,'2020功能科目'!A:B,2,FALSE)),"",VLOOKUP(F1234,'2020功能科目'!A:B,2,FALSE))</f>
        <v>2210203</v>
      </c>
      <c r="F1234" s="25" t="s">
        <v>389</v>
      </c>
      <c r="G1234" s="26">
        <v>2070882</v>
      </c>
      <c r="H1234" s="26">
        <v>2021496</v>
      </c>
    </row>
    <row r="1235" spans="1:8">
      <c r="A1235" s="24">
        <v>255135</v>
      </c>
      <c r="B1235" s="25" t="s">
        <v>106</v>
      </c>
      <c r="C1235" s="39" t="str">
        <f t="shared" si="38"/>
        <v>205</v>
      </c>
      <c r="D1235" s="39" t="str">
        <f t="shared" si="39"/>
        <v>20502</v>
      </c>
      <c r="E1235" s="39">
        <f>IF(ISNA(VLOOKUP(F1235,'2020功能科目'!A:B,2,FALSE)),"",VLOOKUP(F1235,'2020功能科目'!A:B,2,FALSE))</f>
        <v>2050202</v>
      </c>
      <c r="F1235" s="25" t="s">
        <v>375</v>
      </c>
      <c r="G1235" s="26">
        <v>70638162.769999996</v>
      </c>
      <c r="H1235" s="26">
        <v>59028617.859999999</v>
      </c>
    </row>
    <row r="1236" spans="1:8">
      <c r="A1236" s="24">
        <v>255135</v>
      </c>
      <c r="B1236" s="25" t="s">
        <v>106</v>
      </c>
      <c r="C1236" s="39" t="str">
        <f t="shared" si="38"/>
        <v>205</v>
      </c>
      <c r="D1236" s="39" t="str">
        <f t="shared" si="39"/>
        <v>20502</v>
      </c>
      <c r="E1236" s="39">
        <f>IF(ISNA(VLOOKUP(F1236,'2020功能科目'!A:B,2,FALSE)),"",VLOOKUP(F1236,'2020功能科目'!A:B,2,FALSE))</f>
        <v>2050299</v>
      </c>
      <c r="F1236" s="25" t="s">
        <v>377</v>
      </c>
      <c r="G1236" s="26">
        <v>161200</v>
      </c>
      <c r="H1236" s="26">
        <v>0</v>
      </c>
    </row>
    <row r="1237" spans="1:8">
      <c r="A1237" s="24">
        <v>255135</v>
      </c>
      <c r="B1237" s="25" t="s">
        <v>106</v>
      </c>
      <c r="C1237" s="39" t="str">
        <f t="shared" si="38"/>
        <v>205</v>
      </c>
      <c r="D1237" s="39" t="str">
        <f t="shared" si="39"/>
        <v>20508</v>
      </c>
      <c r="E1237" s="39">
        <f>IF(ISNA(VLOOKUP(F1237,'2020功能科目'!A:B,2,FALSE)),"",VLOOKUP(F1237,'2020功能科目'!A:B,2,FALSE))</f>
        <v>2050803</v>
      </c>
      <c r="F1237" s="25" t="s">
        <v>378</v>
      </c>
      <c r="G1237" s="26">
        <v>0</v>
      </c>
      <c r="H1237" s="26">
        <v>172800</v>
      </c>
    </row>
    <row r="1238" spans="1:8">
      <c r="A1238" s="24">
        <v>255135</v>
      </c>
      <c r="B1238" s="25" t="s">
        <v>106</v>
      </c>
      <c r="C1238" s="39" t="str">
        <f t="shared" si="38"/>
        <v>205</v>
      </c>
      <c r="D1238" s="39" t="str">
        <f t="shared" si="39"/>
        <v>20509</v>
      </c>
      <c r="E1238" s="39">
        <f>IF(ISNA(VLOOKUP(F1238,'2020功能科目'!A:B,2,FALSE)),"",VLOOKUP(F1238,'2020功能科目'!A:B,2,FALSE))</f>
        <v>2050903</v>
      </c>
      <c r="F1238" s="25" t="s">
        <v>379</v>
      </c>
      <c r="G1238" s="26">
        <v>4857069.8099999996</v>
      </c>
      <c r="H1238" s="26">
        <v>4879000</v>
      </c>
    </row>
    <row r="1239" spans="1:8">
      <c r="A1239" s="24">
        <v>255135</v>
      </c>
      <c r="B1239" s="25" t="s">
        <v>106</v>
      </c>
      <c r="C1239" s="39" t="str">
        <f t="shared" si="38"/>
        <v>205</v>
      </c>
      <c r="D1239" s="39" t="str">
        <f t="shared" si="39"/>
        <v>20509</v>
      </c>
      <c r="E1239" s="39">
        <f>IF(ISNA(VLOOKUP(F1239,'2020功能科目'!A:B,2,FALSE)),"",VLOOKUP(F1239,'2020功能科目'!A:B,2,FALSE))</f>
        <v>2050904</v>
      </c>
      <c r="F1239" s="25" t="s">
        <v>380</v>
      </c>
      <c r="G1239" s="26">
        <v>367291.2</v>
      </c>
      <c r="H1239" s="26">
        <v>367460</v>
      </c>
    </row>
    <row r="1240" spans="1:8">
      <c r="A1240" s="24">
        <v>255135</v>
      </c>
      <c r="B1240" s="25" t="s">
        <v>106</v>
      </c>
      <c r="C1240" s="39" t="str">
        <f t="shared" si="38"/>
        <v>208</v>
      </c>
      <c r="D1240" s="39" t="str">
        <f t="shared" si="39"/>
        <v>20805</v>
      </c>
      <c r="E1240" s="39">
        <f>IF(ISNA(VLOOKUP(F1240,'2020功能科目'!A:B,2,FALSE)),"",VLOOKUP(F1240,'2020功能科目'!A:B,2,FALSE))</f>
        <v>2080502</v>
      </c>
      <c r="F1240" s="25" t="s">
        <v>381</v>
      </c>
      <c r="G1240" s="26">
        <v>2981988.6</v>
      </c>
      <c r="H1240" s="26">
        <v>2469711</v>
      </c>
    </row>
    <row r="1241" spans="1:8">
      <c r="A1241" s="24">
        <v>255135</v>
      </c>
      <c r="B1241" s="25" t="s">
        <v>106</v>
      </c>
      <c r="C1241" s="39" t="str">
        <f t="shared" si="38"/>
        <v>208</v>
      </c>
      <c r="D1241" s="39" t="str">
        <f t="shared" si="39"/>
        <v>20805</v>
      </c>
      <c r="E1241" s="39">
        <f>IF(ISNA(VLOOKUP(F1241,'2020功能科目'!A:B,2,FALSE)),"",VLOOKUP(F1241,'2020功能科目'!A:B,2,FALSE))</f>
        <v>2080505</v>
      </c>
      <c r="F1241" s="25" t="s">
        <v>382</v>
      </c>
      <c r="G1241" s="26">
        <v>5590922.7199999997</v>
      </c>
      <c r="H1241" s="26">
        <v>5133937.5999999996</v>
      </c>
    </row>
    <row r="1242" spans="1:8">
      <c r="A1242" s="24">
        <v>255135</v>
      </c>
      <c r="B1242" s="25" t="s">
        <v>106</v>
      </c>
      <c r="C1242" s="39" t="str">
        <f t="shared" si="38"/>
        <v>208</v>
      </c>
      <c r="D1242" s="39" t="str">
        <f t="shared" si="39"/>
        <v>20805</v>
      </c>
      <c r="E1242" s="39">
        <f>IF(ISNA(VLOOKUP(F1242,'2020功能科目'!A:B,2,FALSE)),"",VLOOKUP(F1242,'2020功能科目'!A:B,2,FALSE))</f>
        <v>2080506</v>
      </c>
      <c r="F1242" s="25" t="s">
        <v>383</v>
      </c>
      <c r="G1242" s="26">
        <v>2795461.36</v>
      </c>
      <c r="H1242" s="26">
        <v>2566968.7999999998</v>
      </c>
    </row>
    <row r="1243" spans="1:8">
      <c r="A1243" s="24">
        <v>255135</v>
      </c>
      <c r="B1243" s="25" t="s">
        <v>106</v>
      </c>
      <c r="C1243" s="39" t="str">
        <f t="shared" si="38"/>
        <v>208</v>
      </c>
      <c r="D1243" s="39" t="str">
        <f t="shared" si="39"/>
        <v>20808</v>
      </c>
      <c r="E1243" s="39">
        <f>IF(ISNA(VLOOKUP(F1243,'2020功能科目'!A:B,2,FALSE)),"",VLOOKUP(F1243,'2020功能科目'!A:B,2,FALSE))</f>
        <v>2080801</v>
      </c>
      <c r="F1243" s="25" t="s">
        <v>384</v>
      </c>
      <c r="G1243" s="26">
        <v>315718</v>
      </c>
      <c r="H1243" s="26">
        <v>0</v>
      </c>
    </row>
    <row r="1244" spans="1:8">
      <c r="A1244" s="24">
        <v>255135</v>
      </c>
      <c r="B1244" s="25" t="s">
        <v>106</v>
      </c>
      <c r="C1244" s="39" t="str">
        <f t="shared" si="38"/>
        <v>210</v>
      </c>
      <c r="D1244" s="39" t="str">
        <f t="shared" si="39"/>
        <v>21011</v>
      </c>
      <c r="E1244" s="39">
        <f>IF(ISNA(VLOOKUP(F1244,'2020功能科目'!A:B,2,FALSE)),"",VLOOKUP(F1244,'2020功能科目'!A:B,2,FALSE))</f>
        <v>2101102</v>
      </c>
      <c r="F1244" s="25" t="s">
        <v>385</v>
      </c>
      <c r="G1244" s="26">
        <v>4503606.45</v>
      </c>
      <c r="H1244" s="26">
        <v>4171324.3</v>
      </c>
    </row>
    <row r="1245" spans="1:8">
      <c r="A1245" s="24">
        <v>255135</v>
      </c>
      <c r="B1245" s="25" t="s">
        <v>106</v>
      </c>
      <c r="C1245" s="39" t="str">
        <f t="shared" si="38"/>
        <v>210</v>
      </c>
      <c r="D1245" s="39" t="str">
        <f t="shared" si="39"/>
        <v>21011</v>
      </c>
      <c r="E1245" s="39">
        <f>IF(ISNA(VLOOKUP(F1245,'2020功能科目'!A:B,2,FALSE)),"",VLOOKUP(F1245,'2020功能科目'!A:B,2,FALSE))</f>
        <v>2101199</v>
      </c>
      <c r="F1245" s="25" t="s">
        <v>386</v>
      </c>
      <c r="G1245" s="26">
        <v>180000</v>
      </c>
      <c r="H1245" s="26">
        <v>180000</v>
      </c>
    </row>
    <row r="1246" spans="1:8">
      <c r="A1246" s="24">
        <v>255135</v>
      </c>
      <c r="B1246" s="25" t="s">
        <v>106</v>
      </c>
      <c r="C1246" s="39" t="str">
        <f t="shared" si="38"/>
        <v>221</v>
      </c>
      <c r="D1246" s="39" t="str">
        <f t="shared" si="39"/>
        <v>22102</v>
      </c>
      <c r="E1246" s="39">
        <f>IF(ISNA(VLOOKUP(F1246,'2020功能科目'!A:B,2,FALSE)),"",VLOOKUP(F1246,'2020功能科目'!A:B,2,FALSE))</f>
        <v>2210201</v>
      </c>
      <c r="F1246" s="25" t="s">
        <v>387</v>
      </c>
      <c r="G1246" s="26">
        <v>5181635</v>
      </c>
      <c r="H1246" s="26">
        <v>5146453.2</v>
      </c>
    </row>
    <row r="1247" spans="1:8">
      <c r="A1247" s="24">
        <v>255135</v>
      </c>
      <c r="B1247" s="25" t="s">
        <v>106</v>
      </c>
      <c r="C1247" s="39" t="str">
        <f t="shared" si="38"/>
        <v>221</v>
      </c>
      <c r="D1247" s="39" t="str">
        <f t="shared" si="39"/>
        <v>22102</v>
      </c>
      <c r="E1247" s="39">
        <f>IF(ISNA(VLOOKUP(F1247,'2020功能科目'!A:B,2,FALSE)),"",VLOOKUP(F1247,'2020功能科目'!A:B,2,FALSE))</f>
        <v>2210202</v>
      </c>
      <c r="F1247" s="25" t="s">
        <v>388</v>
      </c>
      <c r="G1247" s="26">
        <v>377360</v>
      </c>
      <c r="H1247" s="26">
        <v>382320</v>
      </c>
    </row>
    <row r="1248" spans="1:8">
      <c r="A1248" s="24">
        <v>255135</v>
      </c>
      <c r="B1248" s="25" t="s">
        <v>106</v>
      </c>
      <c r="C1248" s="39" t="str">
        <f t="shared" si="38"/>
        <v>221</v>
      </c>
      <c r="D1248" s="39" t="str">
        <f t="shared" si="39"/>
        <v>22102</v>
      </c>
      <c r="E1248" s="39">
        <f>IF(ISNA(VLOOKUP(F1248,'2020功能科目'!A:B,2,FALSE)),"",VLOOKUP(F1248,'2020功能科目'!A:B,2,FALSE))</f>
        <v>2210203</v>
      </c>
      <c r="F1248" s="25" t="s">
        <v>389</v>
      </c>
      <c r="G1248" s="26">
        <v>5560209</v>
      </c>
      <c r="H1248" s="26">
        <v>5459402.7599999998</v>
      </c>
    </row>
    <row r="1249" spans="1:8">
      <c r="A1249" s="24">
        <v>255137</v>
      </c>
      <c r="B1249" s="25" t="s">
        <v>107</v>
      </c>
      <c r="C1249" s="39" t="str">
        <f t="shared" si="38"/>
        <v>205</v>
      </c>
      <c r="D1249" s="39" t="str">
        <f t="shared" si="39"/>
        <v>20502</v>
      </c>
      <c r="E1249" s="39">
        <f>IF(ISNA(VLOOKUP(F1249,'2020功能科目'!A:B,2,FALSE)),"",VLOOKUP(F1249,'2020功能科目'!A:B,2,FALSE))</f>
        <v>2050202</v>
      </c>
      <c r="F1249" s="25" t="s">
        <v>375</v>
      </c>
      <c r="G1249" s="26">
        <v>19574564.18</v>
      </c>
      <c r="H1249" s="26">
        <v>14200262.32</v>
      </c>
    </row>
    <row r="1250" spans="1:8">
      <c r="A1250" s="24">
        <v>255137</v>
      </c>
      <c r="B1250" s="25" t="s">
        <v>107</v>
      </c>
      <c r="C1250" s="39" t="str">
        <f t="shared" si="38"/>
        <v>205</v>
      </c>
      <c r="D1250" s="39" t="str">
        <f t="shared" si="39"/>
        <v>20502</v>
      </c>
      <c r="E1250" s="39">
        <f>IF(ISNA(VLOOKUP(F1250,'2020功能科目'!A:B,2,FALSE)),"",VLOOKUP(F1250,'2020功能科目'!A:B,2,FALSE))</f>
        <v>2050299</v>
      </c>
      <c r="F1250" s="25" t="s">
        <v>377</v>
      </c>
      <c r="G1250" s="26">
        <v>52454.37</v>
      </c>
      <c r="H1250" s="26">
        <v>0</v>
      </c>
    </row>
    <row r="1251" spans="1:8">
      <c r="A1251" s="24">
        <v>255137</v>
      </c>
      <c r="B1251" s="25" t="s">
        <v>107</v>
      </c>
      <c r="C1251" s="39" t="str">
        <f t="shared" si="38"/>
        <v>205</v>
      </c>
      <c r="D1251" s="39" t="str">
        <f t="shared" si="39"/>
        <v>20508</v>
      </c>
      <c r="E1251" s="39">
        <f>IF(ISNA(VLOOKUP(F1251,'2020功能科目'!A:B,2,FALSE)),"",VLOOKUP(F1251,'2020功能科目'!A:B,2,FALSE))</f>
        <v>2050803</v>
      </c>
      <c r="F1251" s="25" t="s">
        <v>378</v>
      </c>
      <c r="G1251" s="26">
        <v>19600</v>
      </c>
      <c r="H1251" s="26">
        <v>39200</v>
      </c>
    </row>
    <row r="1252" spans="1:8">
      <c r="A1252" s="24">
        <v>255137</v>
      </c>
      <c r="B1252" s="25" t="s">
        <v>107</v>
      </c>
      <c r="C1252" s="39" t="str">
        <f t="shared" si="38"/>
        <v>205</v>
      </c>
      <c r="D1252" s="39" t="str">
        <f t="shared" si="39"/>
        <v>20509</v>
      </c>
      <c r="E1252" s="39">
        <f>IF(ISNA(VLOOKUP(F1252,'2020功能科目'!A:B,2,FALSE)),"",VLOOKUP(F1252,'2020功能科目'!A:B,2,FALSE))</f>
        <v>2050903</v>
      </c>
      <c r="F1252" s="25" t="s">
        <v>379</v>
      </c>
      <c r="G1252" s="26">
        <v>279836</v>
      </c>
      <c r="H1252" s="26">
        <v>280000</v>
      </c>
    </row>
    <row r="1253" spans="1:8">
      <c r="A1253" s="24">
        <v>255137</v>
      </c>
      <c r="B1253" s="25" t="s">
        <v>107</v>
      </c>
      <c r="C1253" s="39" t="str">
        <f t="shared" si="38"/>
        <v>205</v>
      </c>
      <c r="D1253" s="39" t="str">
        <f t="shared" si="39"/>
        <v>20509</v>
      </c>
      <c r="E1253" s="39">
        <f>IF(ISNA(VLOOKUP(F1253,'2020功能科目'!A:B,2,FALSE)),"",VLOOKUP(F1253,'2020功能科目'!A:B,2,FALSE))</f>
        <v>2050904</v>
      </c>
      <c r="F1253" s="25" t="s">
        <v>380</v>
      </c>
      <c r="G1253" s="26">
        <v>510119.2</v>
      </c>
      <c r="H1253" s="26">
        <v>513440.2</v>
      </c>
    </row>
    <row r="1254" spans="1:8">
      <c r="A1254" s="24">
        <v>255137</v>
      </c>
      <c r="B1254" s="25" t="s">
        <v>107</v>
      </c>
      <c r="C1254" s="39" t="str">
        <f t="shared" si="38"/>
        <v>208</v>
      </c>
      <c r="D1254" s="39" t="str">
        <f t="shared" si="39"/>
        <v>20805</v>
      </c>
      <c r="E1254" s="39">
        <f>IF(ISNA(VLOOKUP(F1254,'2020功能科目'!A:B,2,FALSE)),"",VLOOKUP(F1254,'2020功能科目'!A:B,2,FALSE))</f>
        <v>2080502</v>
      </c>
      <c r="F1254" s="25" t="s">
        <v>381</v>
      </c>
      <c r="G1254" s="26">
        <v>724223.04</v>
      </c>
      <c r="H1254" s="26">
        <v>717366</v>
      </c>
    </row>
    <row r="1255" spans="1:8">
      <c r="A1255" s="24">
        <v>255137</v>
      </c>
      <c r="B1255" s="25" t="s">
        <v>107</v>
      </c>
      <c r="C1255" s="39" t="str">
        <f t="shared" si="38"/>
        <v>208</v>
      </c>
      <c r="D1255" s="39" t="str">
        <f t="shared" si="39"/>
        <v>20805</v>
      </c>
      <c r="E1255" s="39">
        <f>IF(ISNA(VLOOKUP(F1255,'2020功能科目'!A:B,2,FALSE)),"",VLOOKUP(F1255,'2020功能科目'!A:B,2,FALSE))</f>
        <v>2080505</v>
      </c>
      <c r="F1255" s="25" t="s">
        <v>382</v>
      </c>
      <c r="G1255" s="26">
        <v>980449.12</v>
      </c>
      <c r="H1255" s="26">
        <v>1021689.6</v>
      </c>
    </row>
    <row r="1256" spans="1:8">
      <c r="A1256" s="24">
        <v>255137</v>
      </c>
      <c r="B1256" s="25" t="s">
        <v>107</v>
      </c>
      <c r="C1256" s="39" t="str">
        <f t="shared" si="38"/>
        <v>208</v>
      </c>
      <c r="D1256" s="39" t="str">
        <f t="shared" si="39"/>
        <v>20805</v>
      </c>
      <c r="E1256" s="39">
        <f>IF(ISNA(VLOOKUP(F1256,'2020功能科目'!A:B,2,FALSE)),"",VLOOKUP(F1256,'2020功能科目'!A:B,2,FALSE))</f>
        <v>2080506</v>
      </c>
      <c r="F1256" s="25" t="s">
        <v>383</v>
      </c>
      <c r="G1256" s="26">
        <v>490224.56</v>
      </c>
      <c r="H1256" s="26">
        <v>510844.8</v>
      </c>
    </row>
    <row r="1257" spans="1:8">
      <c r="A1257" s="24">
        <v>255137</v>
      </c>
      <c r="B1257" s="25" t="s">
        <v>107</v>
      </c>
      <c r="C1257" s="39" t="str">
        <f t="shared" si="38"/>
        <v>210</v>
      </c>
      <c r="D1257" s="39" t="str">
        <f t="shared" si="39"/>
        <v>21011</v>
      </c>
      <c r="E1257" s="39">
        <f>IF(ISNA(VLOOKUP(F1257,'2020功能科目'!A:B,2,FALSE)),"",VLOOKUP(F1257,'2020功能科目'!A:B,2,FALSE))</f>
        <v>2101102</v>
      </c>
      <c r="F1257" s="25" t="s">
        <v>385</v>
      </c>
      <c r="G1257" s="26">
        <v>818155.74</v>
      </c>
      <c r="H1257" s="26">
        <v>830122.8</v>
      </c>
    </row>
    <row r="1258" spans="1:8">
      <c r="A1258" s="24">
        <v>255137</v>
      </c>
      <c r="B1258" s="25" t="s">
        <v>107</v>
      </c>
      <c r="C1258" s="39" t="str">
        <f t="shared" si="38"/>
        <v>221</v>
      </c>
      <c r="D1258" s="39" t="str">
        <f t="shared" si="39"/>
        <v>22102</v>
      </c>
      <c r="E1258" s="39">
        <f>IF(ISNA(VLOOKUP(F1258,'2020功能科目'!A:B,2,FALSE)),"",VLOOKUP(F1258,'2020功能科目'!A:B,2,FALSE))</f>
        <v>2210201</v>
      </c>
      <c r="F1258" s="25" t="s">
        <v>387</v>
      </c>
      <c r="G1258" s="26">
        <v>1105250</v>
      </c>
      <c r="H1258" s="26">
        <v>1060267.2</v>
      </c>
    </row>
    <row r="1259" spans="1:8">
      <c r="A1259" s="24">
        <v>255137</v>
      </c>
      <c r="B1259" s="25" t="s">
        <v>107</v>
      </c>
      <c r="C1259" s="39" t="str">
        <f t="shared" si="38"/>
        <v>221</v>
      </c>
      <c r="D1259" s="39" t="str">
        <f t="shared" si="39"/>
        <v>22102</v>
      </c>
      <c r="E1259" s="39">
        <f>IF(ISNA(VLOOKUP(F1259,'2020功能科目'!A:B,2,FALSE)),"",VLOOKUP(F1259,'2020功能科目'!A:B,2,FALSE))</f>
        <v>2210202</v>
      </c>
      <c r="F1259" s="25" t="s">
        <v>388</v>
      </c>
      <c r="G1259" s="26">
        <v>109320</v>
      </c>
      <c r="H1259" s="26">
        <v>109320</v>
      </c>
    </row>
    <row r="1260" spans="1:8">
      <c r="A1260" s="24">
        <v>255137</v>
      </c>
      <c r="B1260" s="25" t="s">
        <v>107</v>
      </c>
      <c r="C1260" s="39" t="str">
        <f t="shared" si="38"/>
        <v>221</v>
      </c>
      <c r="D1260" s="39" t="str">
        <f t="shared" si="39"/>
        <v>22102</v>
      </c>
      <c r="E1260" s="39">
        <f>IF(ISNA(VLOOKUP(F1260,'2020功能科目'!A:B,2,FALSE)),"",VLOOKUP(F1260,'2020功能科目'!A:B,2,FALSE))</f>
        <v>2210203</v>
      </c>
      <c r="F1260" s="25" t="s">
        <v>389</v>
      </c>
      <c r="G1260" s="26">
        <v>1223594</v>
      </c>
      <c r="H1260" s="26">
        <v>1231200</v>
      </c>
    </row>
    <row r="1261" spans="1:8">
      <c r="A1261" s="24">
        <v>255138</v>
      </c>
      <c r="B1261" s="25" t="s">
        <v>108</v>
      </c>
      <c r="C1261" s="39" t="str">
        <f t="shared" si="38"/>
        <v>205</v>
      </c>
      <c r="D1261" s="39" t="str">
        <f t="shared" si="39"/>
        <v>20502</v>
      </c>
      <c r="E1261" s="39">
        <f>IF(ISNA(VLOOKUP(F1261,'2020功能科目'!A:B,2,FALSE)),"",VLOOKUP(F1261,'2020功能科目'!A:B,2,FALSE))</f>
        <v>2050202</v>
      </c>
      <c r="F1261" s="25" t="s">
        <v>375</v>
      </c>
      <c r="G1261" s="26">
        <v>23342312.23</v>
      </c>
      <c r="H1261" s="26">
        <v>17166510.300000001</v>
      </c>
    </row>
    <row r="1262" spans="1:8">
      <c r="A1262" s="24">
        <v>255138</v>
      </c>
      <c r="B1262" s="25" t="s">
        <v>108</v>
      </c>
      <c r="C1262" s="39" t="str">
        <f t="shared" si="38"/>
        <v>205</v>
      </c>
      <c r="D1262" s="39" t="str">
        <f t="shared" si="39"/>
        <v>20502</v>
      </c>
      <c r="E1262" s="39">
        <f>IF(ISNA(VLOOKUP(F1262,'2020功能科目'!A:B,2,FALSE)),"",VLOOKUP(F1262,'2020功能科目'!A:B,2,FALSE))</f>
        <v>2050299</v>
      </c>
      <c r="F1262" s="25" t="s">
        <v>377</v>
      </c>
      <c r="G1262" s="26">
        <v>46909.03</v>
      </c>
      <c r="H1262" s="26">
        <v>0</v>
      </c>
    </row>
    <row r="1263" spans="1:8">
      <c r="A1263" s="24">
        <v>255138</v>
      </c>
      <c r="B1263" s="25" t="s">
        <v>108</v>
      </c>
      <c r="C1263" s="39" t="str">
        <f t="shared" si="38"/>
        <v>205</v>
      </c>
      <c r="D1263" s="39" t="str">
        <f t="shared" si="39"/>
        <v>20508</v>
      </c>
      <c r="E1263" s="39">
        <f>IF(ISNA(VLOOKUP(F1263,'2020功能科目'!A:B,2,FALSE)),"",VLOOKUP(F1263,'2020功能科目'!A:B,2,FALSE))</f>
        <v>2050803</v>
      </c>
      <c r="F1263" s="25" t="s">
        <v>378</v>
      </c>
      <c r="G1263" s="26">
        <v>25600</v>
      </c>
      <c r="H1263" s="26">
        <v>51200</v>
      </c>
    </row>
    <row r="1264" spans="1:8">
      <c r="A1264" s="24">
        <v>255138</v>
      </c>
      <c r="B1264" s="25" t="s">
        <v>108</v>
      </c>
      <c r="C1264" s="39" t="str">
        <f t="shared" si="38"/>
        <v>205</v>
      </c>
      <c r="D1264" s="39" t="str">
        <f t="shared" si="39"/>
        <v>20509</v>
      </c>
      <c r="E1264" s="39">
        <f>IF(ISNA(VLOOKUP(F1264,'2020功能科目'!A:B,2,FALSE)),"",VLOOKUP(F1264,'2020功能科目'!A:B,2,FALSE))</f>
        <v>2050904</v>
      </c>
      <c r="F1264" s="25" t="s">
        <v>380</v>
      </c>
      <c r="G1264" s="26">
        <v>350000</v>
      </c>
      <c r="H1264" s="26">
        <v>350000</v>
      </c>
    </row>
    <row r="1265" spans="1:8">
      <c r="A1265" s="24">
        <v>255138</v>
      </c>
      <c r="B1265" s="25" t="s">
        <v>108</v>
      </c>
      <c r="C1265" s="39" t="str">
        <f t="shared" si="38"/>
        <v>208</v>
      </c>
      <c r="D1265" s="39" t="str">
        <f t="shared" si="39"/>
        <v>20805</v>
      </c>
      <c r="E1265" s="39">
        <f>IF(ISNA(VLOOKUP(F1265,'2020功能科目'!A:B,2,FALSE)),"",VLOOKUP(F1265,'2020功能科目'!A:B,2,FALSE))</f>
        <v>2080502</v>
      </c>
      <c r="F1265" s="25" t="s">
        <v>381</v>
      </c>
      <c r="G1265" s="26">
        <v>894288.36</v>
      </c>
      <c r="H1265" s="26">
        <v>758986.36</v>
      </c>
    </row>
    <row r="1266" spans="1:8">
      <c r="A1266" s="24">
        <v>255138</v>
      </c>
      <c r="B1266" s="25" t="s">
        <v>108</v>
      </c>
      <c r="C1266" s="39" t="str">
        <f t="shared" si="38"/>
        <v>208</v>
      </c>
      <c r="D1266" s="39" t="str">
        <f t="shared" si="39"/>
        <v>20805</v>
      </c>
      <c r="E1266" s="39">
        <f>IF(ISNA(VLOOKUP(F1266,'2020功能科目'!A:B,2,FALSE)),"",VLOOKUP(F1266,'2020功能科目'!A:B,2,FALSE))</f>
        <v>2080505</v>
      </c>
      <c r="F1266" s="25" t="s">
        <v>382</v>
      </c>
      <c r="G1266" s="26">
        <v>1428152.56</v>
      </c>
      <c r="H1266" s="26">
        <v>1452120</v>
      </c>
    </row>
    <row r="1267" spans="1:8">
      <c r="A1267" s="24">
        <v>255138</v>
      </c>
      <c r="B1267" s="25" t="s">
        <v>108</v>
      </c>
      <c r="C1267" s="39" t="str">
        <f t="shared" si="38"/>
        <v>208</v>
      </c>
      <c r="D1267" s="39" t="str">
        <f t="shared" si="39"/>
        <v>20805</v>
      </c>
      <c r="E1267" s="39">
        <f>IF(ISNA(VLOOKUP(F1267,'2020功能科目'!A:B,2,FALSE)),"",VLOOKUP(F1267,'2020功能科目'!A:B,2,FALSE))</f>
        <v>2080506</v>
      </c>
      <c r="F1267" s="25" t="s">
        <v>383</v>
      </c>
      <c r="G1267" s="26">
        <v>712296.8</v>
      </c>
      <c r="H1267" s="26">
        <v>726060</v>
      </c>
    </row>
    <row r="1268" spans="1:8">
      <c r="A1268" s="24">
        <v>255138</v>
      </c>
      <c r="B1268" s="25" t="s">
        <v>108</v>
      </c>
      <c r="C1268" s="39" t="str">
        <f t="shared" si="38"/>
        <v>210</v>
      </c>
      <c r="D1268" s="39" t="str">
        <f t="shared" si="39"/>
        <v>21011</v>
      </c>
      <c r="E1268" s="39">
        <f>IF(ISNA(VLOOKUP(F1268,'2020功能科目'!A:B,2,FALSE)),"",VLOOKUP(F1268,'2020功能科目'!A:B,2,FALSE))</f>
        <v>2101102</v>
      </c>
      <c r="F1268" s="25" t="s">
        <v>385</v>
      </c>
      <c r="G1268" s="26">
        <v>1304054.28</v>
      </c>
      <c r="H1268" s="26">
        <v>1179847.5</v>
      </c>
    </row>
    <row r="1269" spans="1:8">
      <c r="A1269" s="24">
        <v>255138</v>
      </c>
      <c r="B1269" s="25" t="s">
        <v>108</v>
      </c>
      <c r="C1269" s="39" t="str">
        <f t="shared" si="38"/>
        <v>221</v>
      </c>
      <c r="D1269" s="39" t="str">
        <f t="shared" si="39"/>
        <v>22102</v>
      </c>
      <c r="E1269" s="39">
        <f>IF(ISNA(VLOOKUP(F1269,'2020功能科目'!A:B,2,FALSE)),"",VLOOKUP(F1269,'2020功能科目'!A:B,2,FALSE))</f>
        <v>2210201</v>
      </c>
      <c r="F1269" s="25" t="s">
        <v>387</v>
      </c>
      <c r="G1269" s="26">
        <v>1492289</v>
      </c>
      <c r="H1269" s="26">
        <v>1473090</v>
      </c>
    </row>
    <row r="1270" spans="1:8">
      <c r="A1270" s="24">
        <v>255138</v>
      </c>
      <c r="B1270" s="25" t="s">
        <v>108</v>
      </c>
      <c r="C1270" s="39" t="str">
        <f t="shared" si="38"/>
        <v>221</v>
      </c>
      <c r="D1270" s="39" t="str">
        <f t="shared" si="39"/>
        <v>22102</v>
      </c>
      <c r="E1270" s="39">
        <f>IF(ISNA(VLOOKUP(F1270,'2020功能科目'!A:B,2,FALSE)),"",VLOOKUP(F1270,'2020功能科目'!A:B,2,FALSE))</f>
        <v>2210202</v>
      </c>
      <c r="F1270" s="25" t="s">
        <v>388</v>
      </c>
      <c r="G1270" s="26">
        <v>126600</v>
      </c>
      <c r="H1270" s="26">
        <v>127560</v>
      </c>
    </row>
    <row r="1271" spans="1:8">
      <c r="A1271" s="24">
        <v>255138</v>
      </c>
      <c r="B1271" s="25" t="s">
        <v>108</v>
      </c>
      <c r="C1271" s="39" t="str">
        <f t="shared" si="38"/>
        <v>221</v>
      </c>
      <c r="D1271" s="39" t="str">
        <f t="shared" si="39"/>
        <v>22102</v>
      </c>
      <c r="E1271" s="39">
        <f>IF(ISNA(VLOOKUP(F1271,'2020功能科目'!A:B,2,FALSE)),"",VLOOKUP(F1271,'2020功能科目'!A:B,2,FALSE))</f>
        <v>2210203</v>
      </c>
      <c r="F1271" s="25" t="s">
        <v>389</v>
      </c>
      <c r="G1271" s="26">
        <v>1726963</v>
      </c>
      <c r="H1271" s="26">
        <v>1685928</v>
      </c>
    </row>
    <row r="1272" spans="1:8">
      <c r="A1272" s="24">
        <v>255139</v>
      </c>
      <c r="B1272" s="25" t="s">
        <v>109</v>
      </c>
      <c r="C1272" s="39" t="str">
        <f t="shared" si="38"/>
        <v>205</v>
      </c>
      <c r="D1272" s="39" t="str">
        <f t="shared" si="39"/>
        <v>20502</v>
      </c>
      <c r="E1272" s="39">
        <f>IF(ISNA(VLOOKUP(F1272,'2020功能科目'!A:B,2,FALSE)),"",VLOOKUP(F1272,'2020功能科目'!A:B,2,FALSE))</f>
        <v>2050202</v>
      </c>
      <c r="F1272" s="25" t="s">
        <v>375</v>
      </c>
      <c r="G1272" s="26">
        <v>17433788.280000001</v>
      </c>
      <c r="H1272" s="26">
        <v>12031668.08</v>
      </c>
    </row>
    <row r="1273" spans="1:8">
      <c r="A1273" s="24">
        <v>255139</v>
      </c>
      <c r="B1273" s="25" t="s">
        <v>109</v>
      </c>
      <c r="C1273" s="39" t="str">
        <f t="shared" si="38"/>
        <v>205</v>
      </c>
      <c r="D1273" s="39" t="str">
        <f t="shared" si="39"/>
        <v>20502</v>
      </c>
      <c r="E1273" s="39">
        <f>IF(ISNA(VLOOKUP(F1273,'2020功能科目'!A:B,2,FALSE)),"",VLOOKUP(F1273,'2020功能科目'!A:B,2,FALSE))</f>
        <v>2050299</v>
      </c>
      <c r="F1273" s="25" t="s">
        <v>377</v>
      </c>
      <c r="G1273" s="26">
        <v>110270.79</v>
      </c>
      <c r="H1273" s="26">
        <v>43470.79</v>
      </c>
    </row>
    <row r="1274" spans="1:8">
      <c r="A1274" s="24">
        <v>255139</v>
      </c>
      <c r="B1274" s="25" t="s">
        <v>109</v>
      </c>
      <c r="C1274" s="39" t="str">
        <f t="shared" si="38"/>
        <v>205</v>
      </c>
      <c r="D1274" s="39" t="str">
        <f t="shared" si="39"/>
        <v>20508</v>
      </c>
      <c r="E1274" s="39">
        <f>IF(ISNA(VLOOKUP(F1274,'2020功能科目'!A:B,2,FALSE)),"",VLOOKUP(F1274,'2020功能科目'!A:B,2,FALSE))</f>
        <v>2050803</v>
      </c>
      <c r="F1274" s="25" t="s">
        <v>378</v>
      </c>
      <c r="G1274" s="26">
        <v>18800</v>
      </c>
      <c r="H1274" s="26">
        <v>37600</v>
      </c>
    </row>
    <row r="1275" spans="1:8">
      <c r="A1275" s="24">
        <v>255139</v>
      </c>
      <c r="B1275" s="25" t="s">
        <v>109</v>
      </c>
      <c r="C1275" s="39" t="str">
        <f t="shared" si="38"/>
        <v>205</v>
      </c>
      <c r="D1275" s="39" t="str">
        <f t="shared" si="39"/>
        <v>20509</v>
      </c>
      <c r="E1275" s="39">
        <f>IF(ISNA(VLOOKUP(F1275,'2020功能科目'!A:B,2,FALSE)),"",VLOOKUP(F1275,'2020功能科目'!A:B,2,FALSE))</f>
        <v>2050903</v>
      </c>
      <c r="F1275" s="25" t="s">
        <v>379</v>
      </c>
      <c r="G1275" s="26">
        <v>405994</v>
      </c>
      <c r="H1275" s="26">
        <v>406000</v>
      </c>
    </row>
    <row r="1276" spans="1:8">
      <c r="A1276" s="24">
        <v>255139</v>
      </c>
      <c r="B1276" s="25" t="s">
        <v>109</v>
      </c>
      <c r="C1276" s="39" t="str">
        <f t="shared" si="38"/>
        <v>205</v>
      </c>
      <c r="D1276" s="39" t="str">
        <f t="shared" si="39"/>
        <v>20509</v>
      </c>
      <c r="E1276" s="39">
        <f>IF(ISNA(VLOOKUP(F1276,'2020功能科目'!A:B,2,FALSE)),"",VLOOKUP(F1276,'2020功能科目'!A:B,2,FALSE))</f>
        <v>2050904</v>
      </c>
      <c r="F1276" s="25" t="s">
        <v>380</v>
      </c>
      <c r="G1276" s="26">
        <v>227288.2</v>
      </c>
      <c r="H1276" s="26">
        <v>459290.2</v>
      </c>
    </row>
    <row r="1277" spans="1:8">
      <c r="A1277" s="24">
        <v>255139</v>
      </c>
      <c r="B1277" s="25" t="s">
        <v>109</v>
      </c>
      <c r="C1277" s="39" t="str">
        <f t="shared" si="38"/>
        <v>208</v>
      </c>
      <c r="D1277" s="39" t="str">
        <f t="shared" si="39"/>
        <v>20805</v>
      </c>
      <c r="E1277" s="39">
        <f>IF(ISNA(VLOOKUP(F1277,'2020功能科目'!A:B,2,FALSE)),"",VLOOKUP(F1277,'2020功能科目'!A:B,2,FALSE))</f>
        <v>2080502</v>
      </c>
      <c r="F1277" s="25" t="s">
        <v>381</v>
      </c>
      <c r="G1277" s="26">
        <v>342924</v>
      </c>
      <c r="H1277" s="26">
        <v>341586</v>
      </c>
    </row>
    <row r="1278" spans="1:8">
      <c r="A1278" s="24">
        <v>255139</v>
      </c>
      <c r="B1278" s="25" t="s">
        <v>109</v>
      </c>
      <c r="C1278" s="39" t="str">
        <f t="shared" si="38"/>
        <v>208</v>
      </c>
      <c r="D1278" s="39" t="str">
        <f t="shared" si="39"/>
        <v>20805</v>
      </c>
      <c r="E1278" s="39">
        <f>IF(ISNA(VLOOKUP(F1278,'2020功能科目'!A:B,2,FALSE)),"",VLOOKUP(F1278,'2020功能科目'!A:B,2,FALSE))</f>
        <v>2080505</v>
      </c>
      <c r="F1278" s="25" t="s">
        <v>382</v>
      </c>
      <c r="G1278" s="26">
        <v>1100351.8400000001</v>
      </c>
      <c r="H1278" s="26">
        <v>1073081.6000000001</v>
      </c>
    </row>
    <row r="1279" spans="1:8">
      <c r="A1279" s="24">
        <v>255139</v>
      </c>
      <c r="B1279" s="25" t="s">
        <v>109</v>
      </c>
      <c r="C1279" s="39" t="str">
        <f t="shared" si="38"/>
        <v>208</v>
      </c>
      <c r="D1279" s="39" t="str">
        <f t="shared" si="39"/>
        <v>20805</v>
      </c>
      <c r="E1279" s="39">
        <f>IF(ISNA(VLOOKUP(F1279,'2020功能科目'!A:B,2,FALSE)),"",VLOOKUP(F1279,'2020功能科目'!A:B,2,FALSE))</f>
        <v>2080506</v>
      </c>
      <c r="F1279" s="25" t="s">
        <v>383</v>
      </c>
      <c r="G1279" s="26">
        <v>550175.92000000004</v>
      </c>
      <c r="H1279" s="26">
        <v>536540.80000000005</v>
      </c>
    </row>
    <row r="1280" spans="1:8">
      <c r="A1280" s="24">
        <v>255139</v>
      </c>
      <c r="B1280" s="25" t="s">
        <v>109</v>
      </c>
      <c r="C1280" s="39" t="str">
        <f t="shared" si="38"/>
        <v>210</v>
      </c>
      <c r="D1280" s="39" t="str">
        <f t="shared" si="39"/>
        <v>21011</v>
      </c>
      <c r="E1280" s="39">
        <f>IF(ISNA(VLOOKUP(F1280,'2020功能科目'!A:B,2,FALSE)),"",VLOOKUP(F1280,'2020功能科目'!A:B,2,FALSE))</f>
        <v>2101102</v>
      </c>
      <c r="F1280" s="25" t="s">
        <v>385</v>
      </c>
      <c r="G1280" s="26">
        <v>1028629.3</v>
      </c>
      <c r="H1280" s="26">
        <v>871878.8</v>
      </c>
    </row>
    <row r="1281" spans="1:8">
      <c r="A1281" s="24">
        <v>255139</v>
      </c>
      <c r="B1281" s="25" t="s">
        <v>109</v>
      </c>
      <c r="C1281" s="39" t="str">
        <f t="shared" si="38"/>
        <v>221</v>
      </c>
      <c r="D1281" s="39" t="str">
        <f t="shared" si="39"/>
        <v>22102</v>
      </c>
      <c r="E1281" s="39">
        <f>IF(ISNA(VLOOKUP(F1281,'2020功能科目'!A:B,2,FALSE)),"",VLOOKUP(F1281,'2020功能科目'!A:B,2,FALSE))</f>
        <v>2210201</v>
      </c>
      <c r="F1281" s="25" t="s">
        <v>387</v>
      </c>
      <c r="G1281" s="26">
        <v>1116275</v>
      </c>
      <c r="H1281" s="26">
        <v>1086811.2</v>
      </c>
    </row>
    <row r="1282" spans="1:8">
      <c r="A1282" s="24">
        <v>255139</v>
      </c>
      <c r="B1282" s="25" t="s">
        <v>109</v>
      </c>
      <c r="C1282" s="39" t="str">
        <f t="shared" si="38"/>
        <v>221</v>
      </c>
      <c r="D1282" s="39" t="str">
        <f t="shared" si="39"/>
        <v>22102</v>
      </c>
      <c r="E1282" s="39">
        <f>IF(ISNA(VLOOKUP(F1282,'2020功能科目'!A:B,2,FALSE)),"",VLOOKUP(F1282,'2020功能科目'!A:B,2,FALSE))</f>
        <v>2210202</v>
      </c>
      <c r="F1282" s="25" t="s">
        <v>388</v>
      </c>
      <c r="G1282" s="26">
        <v>73480</v>
      </c>
      <c r="H1282" s="26">
        <v>73320</v>
      </c>
    </row>
    <row r="1283" spans="1:8">
      <c r="A1283" s="24">
        <v>255139</v>
      </c>
      <c r="B1283" s="25" t="s">
        <v>109</v>
      </c>
      <c r="C1283" s="39" t="str">
        <f t="shared" ref="C1283:C1346" si="40">LEFT(D1283,3)</f>
        <v>221</v>
      </c>
      <c r="D1283" s="39" t="str">
        <f t="shared" ref="D1283:D1346" si="41">LEFT(E1283,5)</f>
        <v>22102</v>
      </c>
      <c r="E1283" s="39">
        <f>IF(ISNA(VLOOKUP(F1283,'2020功能科目'!A:B,2,FALSE)),"",VLOOKUP(F1283,'2020功能科目'!A:B,2,FALSE))</f>
        <v>2210203</v>
      </c>
      <c r="F1283" s="25" t="s">
        <v>389</v>
      </c>
      <c r="G1283" s="26">
        <v>1235464.1299999999</v>
      </c>
      <c r="H1283" s="26">
        <v>1211857.68</v>
      </c>
    </row>
    <row r="1284" spans="1:8">
      <c r="A1284" s="24">
        <v>255140</v>
      </c>
      <c r="B1284" s="25" t="s">
        <v>110</v>
      </c>
      <c r="C1284" s="39" t="str">
        <f t="shared" si="40"/>
        <v>205</v>
      </c>
      <c r="D1284" s="39" t="str">
        <f t="shared" si="41"/>
        <v>20502</v>
      </c>
      <c r="E1284" s="39">
        <f>IF(ISNA(VLOOKUP(F1284,'2020功能科目'!A:B,2,FALSE)),"",VLOOKUP(F1284,'2020功能科目'!A:B,2,FALSE))</f>
        <v>2050202</v>
      </c>
      <c r="F1284" s="25" t="s">
        <v>375</v>
      </c>
      <c r="G1284" s="26">
        <v>19019549.399999999</v>
      </c>
      <c r="H1284" s="26">
        <v>15977448.02</v>
      </c>
    </row>
    <row r="1285" spans="1:8">
      <c r="A1285" s="24">
        <v>255140</v>
      </c>
      <c r="B1285" s="25" t="s">
        <v>110</v>
      </c>
      <c r="C1285" s="39" t="str">
        <f t="shared" si="40"/>
        <v>205</v>
      </c>
      <c r="D1285" s="39" t="str">
        <f t="shared" si="41"/>
        <v>20502</v>
      </c>
      <c r="E1285" s="39">
        <f>IF(ISNA(VLOOKUP(F1285,'2020功能科目'!A:B,2,FALSE)),"",VLOOKUP(F1285,'2020功能科目'!A:B,2,FALSE))</f>
        <v>2050299</v>
      </c>
      <c r="F1285" s="25" t="s">
        <v>377</v>
      </c>
      <c r="G1285" s="26">
        <v>92195.12</v>
      </c>
      <c r="H1285" s="26">
        <v>51703.85</v>
      </c>
    </row>
    <row r="1286" spans="1:8">
      <c r="A1286" s="24">
        <v>255140</v>
      </c>
      <c r="B1286" s="25" t="s">
        <v>110</v>
      </c>
      <c r="C1286" s="39" t="str">
        <f t="shared" si="40"/>
        <v>205</v>
      </c>
      <c r="D1286" s="39" t="str">
        <f t="shared" si="41"/>
        <v>20508</v>
      </c>
      <c r="E1286" s="39">
        <f>IF(ISNA(VLOOKUP(F1286,'2020功能科目'!A:B,2,FALSE)),"",VLOOKUP(F1286,'2020功能科目'!A:B,2,FALSE))</f>
        <v>2050803</v>
      </c>
      <c r="F1286" s="25" t="s">
        <v>378</v>
      </c>
      <c r="G1286" s="26">
        <v>25200</v>
      </c>
      <c r="H1286" s="26">
        <v>50400</v>
      </c>
    </row>
    <row r="1287" spans="1:8">
      <c r="A1287" s="24">
        <v>255140</v>
      </c>
      <c r="B1287" s="25" t="s">
        <v>110</v>
      </c>
      <c r="C1287" s="39" t="str">
        <f t="shared" si="40"/>
        <v>205</v>
      </c>
      <c r="D1287" s="39" t="str">
        <f t="shared" si="41"/>
        <v>20509</v>
      </c>
      <c r="E1287" s="39">
        <f>IF(ISNA(VLOOKUP(F1287,'2020功能科目'!A:B,2,FALSE)),"",VLOOKUP(F1287,'2020功能科目'!A:B,2,FALSE))</f>
        <v>2050904</v>
      </c>
      <c r="F1287" s="25" t="s">
        <v>380</v>
      </c>
      <c r="G1287" s="26">
        <v>86400</v>
      </c>
      <c r="H1287" s="26">
        <v>86400</v>
      </c>
    </row>
    <row r="1288" spans="1:8">
      <c r="A1288" s="24">
        <v>255140</v>
      </c>
      <c r="B1288" s="25" t="s">
        <v>110</v>
      </c>
      <c r="C1288" s="39" t="str">
        <f t="shared" si="40"/>
        <v>208</v>
      </c>
      <c r="D1288" s="39" t="str">
        <f t="shared" si="41"/>
        <v>20805</v>
      </c>
      <c r="E1288" s="39">
        <f>IF(ISNA(VLOOKUP(F1288,'2020功能科目'!A:B,2,FALSE)),"",VLOOKUP(F1288,'2020功能科目'!A:B,2,FALSE))</f>
        <v>2080502</v>
      </c>
      <c r="F1288" s="25" t="s">
        <v>381</v>
      </c>
      <c r="G1288" s="26">
        <v>3696035</v>
      </c>
      <c r="H1288" s="26">
        <v>2019061</v>
      </c>
    </row>
    <row r="1289" spans="1:8">
      <c r="A1289" s="24">
        <v>255140</v>
      </c>
      <c r="B1289" s="25" t="s">
        <v>110</v>
      </c>
      <c r="C1289" s="39" t="str">
        <f t="shared" si="40"/>
        <v>208</v>
      </c>
      <c r="D1289" s="39" t="str">
        <f t="shared" si="41"/>
        <v>20805</v>
      </c>
      <c r="E1289" s="39">
        <f>IF(ISNA(VLOOKUP(F1289,'2020功能科目'!A:B,2,FALSE)),"",VLOOKUP(F1289,'2020功能科目'!A:B,2,FALSE))</f>
        <v>2080505</v>
      </c>
      <c r="F1289" s="25" t="s">
        <v>382</v>
      </c>
      <c r="G1289" s="26">
        <v>1418191.36</v>
      </c>
      <c r="H1289" s="26">
        <v>1529278.4</v>
      </c>
    </row>
    <row r="1290" spans="1:8">
      <c r="A1290" s="24">
        <v>255140</v>
      </c>
      <c r="B1290" s="25" t="s">
        <v>110</v>
      </c>
      <c r="C1290" s="39" t="str">
        <f t="shared" si="40"/>
        <v>208</v>
      </c>
      <c r="D1290" s="39" t="str">
        <f t="shared" si="41"/>
        <v>20805</v>
      </c>
      <c r="E1290" s="39">
        <f>IF(ISNA(VLOOKUP(F1290,'2020功能科目'!A:B,2,FALSE)),"",VLOOKUP(F1290,'2020功能科目'!A:B,2,FALSE))</f>
        <v>2080506</v>
      </c>
      <c r="F1290" s="25" t="s">
        <v>383</v>
      </c>
      <c r="G1290" s="26">
        <v>709095.68</v>
      </c>
      <c r="H1290" s="26">
        <v>764639.2</v>
      </c>
    </row>
    <row r="1291" spans="1:8">
      <c r="A1291" s="24">
        <v>255140</v>
      </c>
      <c r="B1291" s="25" t="s">
        <v>110</v>
      </c>
      <c r="C1291" s="39" t="str">
        <f t="shared" si="40"/>
        <v>210</v>
      </c>
      <c r="D1291" s="39" t="str">
        <f t="shared" si="41"/>
        <v>21011</v>
      </c>
      <c r="E1291" s="39">
        <f>IF(ISNA(VLOOKUP(F1291,'2020功能科目'!A:B,2,FALSE)),"",VLOOKUP(F1291,'2020功能科目'!A:B,2,FALSE))</f>
        <v>2101102</v>
      </c>
      <c r="F1291" s="25" t="s">
        <v>385</v>
      </c>
      <c r="G1291" s="26">
        <v>1256072.77</v>
      </c>
      <c r="H1291" s="26">
        <v>1242538.7</v>
      </c>
    </row>
    <row r="1292" spans="1:8">
      <c r="A1292" s="24">
        <v>255140</v>
      </c>
      <c r="B1292" s="25" t="s">
        <v>110</v>
      </c>
      <c r="C1292" s="39" t="str">
        <f t="shared" si="40"/>
        <v>210</v>
      </c>
      <c r="D1292" s="39" t="str">
        <f t="shared" si="41"/>
        <v>21011</v>
      </c>
      <c r="E1292" s="39">
        <f>IF(ISNA(VLOOKUP(F1292,'2020功能科目'!A:B,2,FALSE)),"",VLOOKUP(F1292,'2020功能科目'!A:B,2,FALSE))</f>
        <v>2101199</v>
      </c>
      <c r="F1292" s="25" t="s">
        <v>386</v>
      </c>
      <c r="G1292" s="26">
        <v>90000</v>
      </c>
      <c r="H1292" s="26">
        <v>90000</v>
      </c>
    </row>
    <row r="1293" spans="1:8">
      <c r="A1293" s="24">
        <v>255140</v>
      </c>
      <c r="B1293" s="25" t="s">
        <v>110</v>
      </c>
      <c r="C1293" s="39" t="str">
        <f t="shared" si="40"/>
        <v>221</v>
      </c>
      <c r="D1293" s="39" t="str">
        <f t="shared" si="41"/>
        <v>22102</v>
      </c>
      <c r="E1293" s="39">
        <f>IF(ISNA(VLOOKUP(F1293,'2020功能科目'!A:B,2,FALSE)),"",VLOOKUP(F1293,'2020功能科目'!A:B,2,FALSE))</f>
        <v>2210201</v>
      </c>
      <c r="F1293" s="25" t="s">
        <v>387</v>
      </c>
      <c r="G1293" s="26">
        <v>1524948</v>
      </c>
      <c r="H1293" s="26">
        <v>1524958.8</v>
      </c>
    </row>
    <row r="1294" spans="1:8">
      <c r="A1294" s="24">
        <v>255140</v>
      </c>
      <c r="B1294" s="25" t="s">
        <v>110</v>
      </c>
      <c r="C1294" s="39" t="str">
        <f t="shared" si="40"/>
        <v>221</v>
      </c>
      <c r="D1294" s="39" t="str">
        <f t="shared" si="41"/>
        <v>22102</v>
      </c>
      <c r="E1294" s="39">
        <f>IF(ISNA(VLOOKUP(F1294,'2020功能科目'!A:B,2,FALSE)),"",VLOOKUP(F1294,'2020功能科目'!A:B,2,FALSE))</f>
        <v>2210202</v>
      </c>
      <c r="F1294" s="25" t="s">
        <v>388</v>
      </c>
      <c r="G1294" s="26">
        <v>221280</v>
      </c>
      <c r="H1294" s="26">
        <v>226920</v>
      </c>
    </row>
    <row r="1295" spans="1:8">
      <c r="A1295" s="24">
        <v>255140</v>
      </c>
      <c r="B1295" s="25" t="s">
        <v>110</v>
      </c>
      <c r="C1295" s="39" t="str">
        <f t="shared" si="40"/>
        <v>221</v>
      </c>
      <c r="D1295" s="39" t="str">
        <f t="shared" si="41"/>
        <v>22102</v>
      </c>
      <c r="E1295" s="39">
        <f>IF(ISNA(VLOOKUP(F1295,'2020功能科目'!A:B,2,FALSE)),"",VLOOKUP(F1295,'2020功能科目'!A:B,2,FALSE))</f>
        <v>2210203</v>
      </c>
      <c r="F1295" s="25" t="s">
        <v>389</v>
      </c>
      <c r="G1295" s="26">
        <v>1356912</v>
      </c>
      <c r="H1295" s="26">
        <v>1356912</v>
      </c>
    </row>
    <row r="1296" spans="1:8">
      <c r="A1296" s="24">
        <v>255141</v>
      </c>
      <c r="B1296" s="25" t="s">
        <v>111</v>
      </c>
      <c r="C1296" s="39" t="str">
        <f t="shared" si="40"/>
        <v>205</v>
      </c>
      <c r="D1296" s="39" t="str">
        <f t="shared" si="41"/>
        <v>20502</v>
      </c>
      <c r="E1296" s="39">
        <f>IF(ISNA(VLOOKUP(F1296,'2020功能科目'!A:B,2,FALSE)),"",VLOOKUP(F1296,'2020功能科目'!A:B,2,FALSE))</f>
        <v>2050202</v>
      </c>
      <c r="F1296" s="25" t="s">
        <v>375</v>
      </c>
      <c r="G1296" s="26">
        <v>76710424.069999993</v>
      </c>
      <c r="H1296" s="26">
        <v>60272710.600000001</v>
      </c>
    </row>
    <row r="1297" spans="1:8">
      <c r="A1297" s="24">
        <v>255141</v>
      </c>
      <c r="B1297" s="25" t="s">
        <v>111</v>
      </c>
      <c r="C1297" s="39" t="str">
        <f t="shared" si="40"/>
        <v>205</v>
      </c>
      <c r="D1297" s="39" t="str">
        <f t="shared" si="41"/>
        <v>20502</v>
      </c>
      <c r="E1297" s="39">
        <f>IF(ISNA(VLOOKUP(F1297,'2020功能科目'!A:B,2,FALSE)),"",VLOOKUP(F1297,'2020功能科目'!A:B,2,FALSE))</f>
        <v>2050299</v>
      </c>
      <c r="F1297" s="25" t="s">
        <v>377</v>
      </c>
      <c r="G1297" s="26">
        <v>307253.55</v>
      </c>
      <c r="H1297" s="26">
        <v>0</v>
      </c>
    </row>
    <row r="1298" spans="1:8">
      <c r="A1298" s="24">
        <v>255141</v>
      </c>
      <c r="B1298" s="25" t="s">
        <v>111</v>
      </c>
      <c r="C1298" s="39" t="str">
        <f t="shared" si="40"/>
        <v>205</v>
      </c>
      <c r="D1298" s="39" t="str">
        <f t="shared" si="41"/>
        <v>20508</v>
      </c>
      <c r="E1298" s="39">
        <f>IF(ISNA(VLOOKUP(F1298,'2020功能科目'!A:B,2,FALSE)),"",VLOOKUP(F1298,'2020功能科目'!A:B,2,FALSE))</f>
        <v>2050803</v>
      </c>
      <c r="F1298" s="25" t="s">
        <v>378</v>
      </c>
      <c r="G1298" s="26">
        <v>1590</v>
      </c>
      <c r="H1298" s="26">
        <v>169600</v>
      </c>
    </row>
    <row r="1299" spans="1:8">
      <c r="A1299" s="24">
        <v>255141</v>
      </c>
      <c r="B1299" s="25" t="s">
        <v>111</v>
      </c>
      <c r="C1299" s="39" t="str">
        <f t="shared" si="40"/>
        <v>205</v>
      </c>
      <c r="D1299" s="39" t="str">
        <f t="shared" si="41"/>
        <v>20509</v>
      </c>
      <c r="E1299" s="39">
        <f>IF(ISNA(VLOOKUP(F1299,'2020功能科目'!A:B,2,FALSE)),"",VLOOKUP(F1299,'2020功能科目'!A:B,2,FALSE))</f>
        <v>2050903</v>
      </c>
      <c r="F1299" s="25" t="s">
        <v>379</v>
      </c>
      <c r="G1299" s="26">
        <v>573935.18000000005</v>
      </c>
      <c r="H1299" s="26">
        <v>2513000</v>
      </c>
    </row>
    <row r="1300" spans="1:8">
      <c r="A1300" s="24">
        <v>255141</v>
      </c>
      <c r="B1300" s="25" t="s">
        <v>111</v>
      </c>
      <c r="C1300" s="39" t="str">
        <f t="shared" si="40"/>
        <v>205</v>
      </c>
      <c r="D1300" s="39" t="str">
        <f t="shared" si="41"/>
        <v>20509</v>
      </c>
      <c r="E1300" s="39">
        <f>IF(ISNA(VLOOKUP(F1300,'2020功能科目'!A:B,2,FALSE)),"",VLOOKUP(F1300,'2020功能科目'!A:B,2,FALSE))</f>
        <v>2050904</v>
      </c>
      <c r="F1300" s="25" t="s">
        <v>380</v>
      </c>
      <c r="G1300" s="26">
        <v>448352.72</v>
      </c>
      <c r="H1300" s="26">
        <v>448860</v>
      </c>
    </row>
    <row r="1301" spans="1:8">
      <c r="A1301" s="24">
        <v>255141</v>
      </c>
      <c r="B1301" s="25" t="s">
        <v>111</v>
      </c>
      <c r="C1301" s="39" t="str">
        <f t="shared" si="40"/>
        <v>208</v>
      </c>
      <c r="D1301" s="39" t="str">
        <f t="shared" si="41"/>
        <v>20805</v>
      </c>
      <c r="E1301" s="39">
        <f>IF(ISNA(VLOOKUP(F1301,'2020功能科目'!A:B,2,FALSE)),"",VLOOKUP(F1301,'2020功能科目'!A:B,2,FALSE))</f>
        <v>2080502</v>
      </c>
      <c r="F1301" s="25" t="s">
        <v>381</v>
      </c>
      <c r="G1301" s="26">
        <v>4357267.5999999996</v>
      </c>
      <c r="H1301" s="26">
        <v>3610152</v>
      </c>
    </row>
    <row r="1302" spans="1:8">
      <c r="A1302" s="24">
        <v>255141</v>
      </c>
      <c r="B1302" s="25" t="s">
        <v>111</v>
      </c>
      <c r="C1302" s="39" t="str">
        <f t="shared" si="40"/>
        <v>208</v>
      </c>
      <c r="D1302" s="39" t="str">
        <f t="shared" si="41"/>
        <v>20805</v>
      </c>
      <c r="E1302" s="39">
        <f>IF(ISNA(VLOOKUP(F1302,'2020功能科目'!A:B,2,FALSE)),"",VLOOKUP(F1302,'2020功能科目'!A:B,2,FALSE))</f>
        <v>2080505</v>
      </c>
      <c r="F1302" s="25" t="s">
        <v>382</v>
      </c>
      <c r="G1302" s="26">
        <v>5343034.2</v>
      </c>
      <c r="H1302" s="26">
        <v>5276991.68</v>
      </c>
    </row>
    <row r="1303" spans="1:8">
      <c r="A1303" s="24">
        <v>255141</v>
      </c>
      <c r="B1303" s="25" t="s">
        <v>111</v>
      </c>
      <c r="C1303" s="39" t="str">
        <f t="shared" si="40"/>
        <v>208</v>
      </c>
      <c r="D1303" s="39" t="str">
        <f t="shared" si="41"/>
        <v>20805</v>
      </c>
      <c r="E1303" s="39">
        <f>IF(ISNA(VLOOKUP(F1303,'2020功能科目'!A:B,2,FALSE)),"",VLOOKUP(F1303,'2020功能科目'!A:B,2,FALSE))</f>
        <v>2080506</v>
      </c>
      <c r="F1303" s="25" t="s">
        <v>383</v>
      </c>
      <c r="G1303" s="26">
        <v>2705097.88</v>
      </c>
      <c r="H1303" s="26">
        <v>2638495.84</v>
      </c>
    </row>
    <row r="1304" spans="1:8">
      <c r="A1304" s="24">
        <v>255141</v>
      </c>
      <c r="B1304" s="25" t="s">
        <v>111</v>
      </c>
      <c r="C1304" s="39" t="str">
        <f t="shared" si="40"/>
        <v>210</v>
      </c>
      <c r="D1304" s="39" t="str">
        <f t="shared" si="41"/>
        <v>21011</v>
      </c>
      <c r="E1304" s="39">
        <f>IF(ISNA(VLOOKUP(F1304,'2020功能科目'!A:B,2,FALSE)),"",VLOOKUP(F1304,'2020功能科目'!A:B,2,FALSE))</f>
        <v>2101102</v>
      </c>
      <c r="F1304" s="25" t="s">
        <v>385</v>
      </c>
      <c r="G1304" s="26">
        <v>4760094.37</v>
      </c>
      <c r="H1304" s="26">
        <v>4287555.74</v>
      </c>
    </row>
    <row r="1305" spans="1:8">
      <c r="A1305" s="24">
        <v>255141</v>
      </c>
      <c r="B1305" s="25" t="s">
        <v>111</v>
      </c>
      <c r="C1305" s="39" t="str">
        <f t="shared" si="40"/>
        <v>210</v>
      </c>
      <c r="D1305" s="39" t="str">
        <f t="shared" si="41"/>
        <v>21011</v>
      </c>
      <c r="E1305" s="39">
        <f>IF(ISNA(VLOOKUP(F1305,'2020功能科目'!A:B,2,FALSE)),"",VLOOKUP(F1305,'2020功能科目'!A:B,2,FALSE))</f>
        <v>2101199</v>
      </c>
      <c r="F1305" s="25" t="s">
        <v>386</v>
      </c>
      <c r="G1305" s="26">
        <v>270000</v>
      </c>
      <c r="H1305" s="26">
        <v>270000</v>
      </c>
    </row>
    <row r="1306" spans="1:8">
      <c r="A1306" s="24">
        <v>255141</v>
      </c>
      <c r="B1306" s="25" t="s">
        <v>111</v>
      </c>
      <c r="C1306" s="39" t="str">
        <f t="shared" si="40"/>
        <v>221</v>
      </c>
      <c r="D1306" s="39" t="str">
        <f t="shared" si="41"/>
        <v>22102</v>
      </c>
      <c r="E1306" s="39">
        <f>IF(ISNA(VLOOKUP(F1306,'2020功能科目'!A:B,2,FALSE)),"",VLOOKUP(F1306,'2020功能科目'!A:B,2,FALSE))</f>
        <v>2210201</v>
      </c>
      <c r="F1306" s="25" t="s">
        <v>387</v>
      </c>
      <c r="G1306" s="26">
        <v>5304205</v>
      </c>
      <c r="H1306" s="26">
        <v>5229743.76</v>
      </c>
    </row>
    <row r="1307" spans="1:8">
      <c r="A1307" s="24">
        <v>255141</v>
      </c>
      <c r="B1307" s="25" t="s">
        <v>111</v>
      </c>
      <c r="C1307" s="39" t="str">
        <f t="shared" si="40"/>
        <v>221</v>
      </c>
      <c r="D1307" s="39" t="str">
        <f t="shared" si="41"/>
        <v>22102</v>
      </c>
      <c r="E1307" s="39">
        <f>IF(ISNA(VLOOKUP(F1307,'2020功能科目'!A:B,2,FALSE)),"",VLOOKUP(F1307,'2020功能科目'!A:B,2,FALSE))</f>
        <v>2210202</v>
      </c>
      <c r="F1307" s="25" t="s">
        <v>388</v>
      </c>
      <c r="G1307" s="26">
        <v>387041.35</v>
      </c>
      <c r="H1307" s="26">
        <v>467760</v>
      </c>
    </row>
    <row r="1308" spans="1:8">
      <c r="A1308" s="24">
        <v>255141</v>
      </c>
      <c r="B1308" s="25" t="s">
        <v>111</v>
      </c>
      <c r="C1308" s="39" t="str">
        <f t="shared" si="40"/>
        <v>221</v>
      </c>
      <c r="D1308" s="39" t="str">
        <f t="shared" si="41"/>
        <v>22102</v>
      </c>
      <c r="E1308" s="39">
        <f>IF(ISNA(VLOOKUP(F1308,'2020功能科目'!A:B,2,FALSE)),"",VLOOKUP(F1308,'2020功能科目'!A:B,2,FALSE))</f>
        <v>2210203</v>
      </c>
      <c r="F1308" s="25" t="s">
        <v>389</v>
      </c>
      <c r="G1308" s="26">
        <v>5596714</v>
      </c>
      <c r="H1308" s="26">
        <v>5381508</v>
      </c>
    </row>
    <row r="1309" spans="1:8">
      <c r="A1309" s="24">
        <v>255144</v>
      </c>
      <c r="B1309" s="25" t="s">
        <v>112</v>
      </c>
      <c r="C1309" s="39" t="str">
        <f t="shared" si="40"/>
        <v>205</v>
      </c>
      <c r="D1309" s="39" t="str">
        <f t="shared" si="41"/>
        <v>20502</v>
      </c>
      <c r="E1309" s="39">
        <f>IF(ISNA(VLOOKUP(F1309,'2020功能科目'!A:B,2,FALSE)),"",VLOOKUP(F1309,'2020功能科目'!A:B,2,FALSE))</f>
        <v>2050202</v>
      </c>
      <c r="F1309" s="25" t="s">
        <v>375</v>
      </c>
      <c r="G1309" s="26">
        <v>18045526.280000001</v>
      </c>
      <c r="H1309" s="26">
        <v>12101127.859999999</v>
      </c>
    </row>
    <row r="1310" spans="1:8">
      <c r="A1310" s="24">
        <v>255144</v>
      </c>
      <c r="B1310" s="25" t="s">
        <v>112</v>
      </c>
      <c r="C1310" s="39" t="str">
        <f t="shared" si="40"/>
        <v>205</v>
      </c>
      <c r="D1310" s="39" t="str">
        <f t="shared" si="41"/>
        <v>20508</v>
      </c>
      <c r="E1310" s="39">
        <f>IF(ISNA(VLOOKUP(F1310,'2020功能科目'!A:B,2,FALSE)),"",VLOOKUP(F1310,'2020功能科目'!A:B,2,FALSE))</f>
        <v>2050803</v>
      </c>
      <c r="F1310" s="25" t="s">
        <v>378</v>
      </c>
      <c r="G1310" s="26">
        <v>0</v>
      </c>
      <c r="H1310" s="26">
        <v>36000</v>
      </c>
    </row>
    <row r="1311" spans="1:8">
      <c r="A1311" s="24">
        <v>255144</v>
      </c>
      <c r="B1311" s="25" t="s">
        <v>112</v>
      </c>
      <c r="C1311" s="39" t="str">
        <f t="shared" si="40"/>
        <v>205</v>
      </c>
      <c r="D1311" s="39" t="str">
        <f t="shared" si="41"/>
        <v>20509</v>
      </c>
      <c r="E1311" s="39">
        <f>IF(ISNA(VLOOKUP(F1311,'2020功能科目'!A:B,2,FALSE)),"",VLOOKUP(F1311,'2020功能科目'!A:B,2,FALSE))</f>
        <v>2050904</v>
      </c>
      <c r="F1311" s="25" t="s">
        <v>380</v>
      </c>
      <c r="G1311" s="26">
        <v>10149.719999999999</v>
      </c>
      <c r="H1311" s="26">
        <v>59160</v>
      </c>
    </row>
    <row r="1312" spans="1:8">
      <c r="A1312" s="24">
        <v>255144</v>
      </c>
      <c r="B1312" s="25" t="s">
        <v>112</v>
      </c>
      <c r="C1312" s="39" t="str">
        <f t="shared" si="40"/>
        <v>208</v>
      </c>
      <c r="D1312" s="39" t="str">
        <f t="shared" si="41"/>
        <v>20805</v>
      </c>
      <c r="E1312" s="39">
        <f>IF(ISNA(VLOOKUP(F1312,'2020功能科目'!A:B,2,FALSE)),"",VLOOKUP(F1312,'2020功能科目'!A:B,2,FALSE))</f>
        <v>2080502</v>
      </c>
      <c r="F1312" s="25" t="s">
        <v>381</v>
      </c>
      <c r="G1312" s="26">
        <v>2926244</v>
      </c>
      <c r="H1312" s="26">
        <v>2096408</v>
      </c>
    </row>
    <row r="1313" spans="1:8">
      <c r="A1313" s="24">
        <v>255144</v>
      </c>
      <c r="B1313" s="25" t="s">
        <v>112</v>
      </c>
      <c r="C1313" s="39" t="str">
        <f t="shared" si="40"/>
        <v>208</v>
      </c>
      <c r="D1313" s="39" t="str">
        <f t="shared" si="41"/>
        <v>20805</v>
      </c>
      <c r="E1313" s="39">
        <f>IF(ISNA(VLOOKUP(F1313,'2020功能科目'!A:B,2,FALSE)),"",VLOOKUP(F1313,'2020功能科目'!A:B,2,FALSE))</f>
        <v>2080505</v>
      </c>
      <c r="F1313" s="25" t="s">
        <v>382</v>
      </c>
      <c r="G1313" s="26">
        <v>1267465.1399999999</v>
      </c>
      <c r="H1313" s="26">
        <v>1086360.32</v>
      </c>
    </row>
    <row r="1314" spans="1:8">
      <c r="A1314" s="24">
        <v>255144</v>
      </c>
      <c r="B1314" s="25" t="s">
        <v>112</v>
      </c>
      <c r="C1314" s="39" t="str">
        <f t="shared" si="40"/>
        <v>208</v>
      </c>
      <c r="D1314" s="39" t="str">
        <f t="shared" si="41"/>
        <v>20805</v>
      </c>
      <c r="E1314" s="39">
        <f>IF(ISNA(VLOOKUP(F1314,'2020功能科目'!A:B,2,FALSE)),"",VLOOKUP(F1314,'2020功能科目'!A:B,2,FALSE))</f>
        <v>2080506</v>
      </c>
      <c r="F1314" s="25" t="s">
        <v>383</v>
      </c>
      <c r="G1314" s="26">
        <v>641751.76</v>
      </c>
      <c r="H1314" s="26">
        <v>543180.16</v>
      </c>
    </row>
    <row r="1315" spans="1:8">
      <c r="A1315" s="24">
        <v>255144</v>
      </c>
      <c r="B1315" s="25" t="s">
        <v>112</v>
      </c>
      <c r="C1315" s="39" t="str">
        <f t="shared" si="40"/>
        <v>210</v>
      </c>
      <c r="D1315" s="39" t="str">
        <f t="shared" si="41"/>
        <v>21011</v>
      </c>
      <c r="E1315" s="39">
        <f>IF(ISNA(VLOOKUP(F1315,'2020功能科目'!A:B,2,FALSE)),"",VLOOKUP(F1315,'2020功能科目'!A:B,2,FALSE))</f>
        <v>2101102</v>
      </c>
      <c r="F1315" s="25" t="s">
        <v>385</v>
      </c>
      <c r="G1315" s="26">
        <v>990335.56</v>
      </c>
      <c r="H1315" s="26">
        <v>882667.76</v>
      </c>
    </row>
    <row r="1316" spans="1:8">
      <c r="A1316" s="24">
        <v>255144</v>
      </c>
      <c r="B1316" s="25" t="s">
        <v>112</v>
      </c>
      <c r="C1316" s="39" t="str">
        <f t="shared" si="40"/>
        <v>210</v>
      </c>
      <c r="D1316" s="39" t="str">
        <f t="shared" si="41"/>
        <v>21011</v>
      </c>
      <c r="E1316" s="39">
        <f>IF(ISNA(VLOOKUP(F1316,'2020功能科目'!A:B,2,FALSE)),"",VLOOKUP(F1316,'2020功能科目'!A:B,2,FALSE))</f>
        <v>2101199</v>
      </c>
      <c r="F1316" s="25" t="s">
        <v>386</v>
      </c>
      <c r="G1316" s="26">
        <v>90000</v>
      </c>
      <c r="H1316" s="26">
        <v>90000</v>
      </c>
    </row>
    <row r="1317" spans="1:8">
      <c r="A1317" s="24">
        <v>255144</v>
      </c>
      <c r="B1317" s="25" t="s">
        <v>112</v>
      </c>
      <c r="C1317" s="39" t="str">
        <f t="shared" si="40"/>
        <v>221</v>
      </c>
      <c r="D1317" s="39" t="str">
        <f t="shared" si="41"/>
        <v>22102</v>
      </c>
      <c r="E1317" s="39">
        <f>IF(ISNA(VLOOKUP(F1317,'2020功能科目'!A:B,2,FALSE)),"",VLOOKUP(F1317,'2020功能科目'!A:B,2,FALSE))</f>
        <v>2210201</v>
      </c>
      <c r="F1317" s="25" t="s">
        <v>387</v>
      </c>
      <c r="G1317" s="26">
        <v>1121191.48</v>
      </c>
      <c r="H1317" s="26">
        <v>1084770.24</v>
      </c>
    </row>
    <row r="1318" spans="1:8">
      <c r="A1318" s="24">
        <v>255144</v>
      </c>
      <c r="B1318" s="25" t="s">
        <v>112</v>
      </c>
      <c r="C1318" s="39" t="str">
        <f t="shared" si="40"/>
        <v>221</v>
      </c>
      <c r="D1318" s="39" t="str">
        <f t="shared" si="41"/>
        <v>22102</v>
      </c>
      <c r="E1318" s="39">
        <f>IF(ISNA(VLOOKUP(F1318,'2020功能科目'!A:B,2,FALSE)),"",VLOOKUP(F1318,'2020功能科目'!A:B,2,FALSE))</f>
        <v>2210202</v>
      </c>
      <c r="F1318" s="25" t="s">
        <v>388</v>
      </c>
      <c r="G1318" s="26">
        <v>212400</v>
      </c>
      <c r="H1318" s="26">
        <v>218160</v>
      </c>
    </row>
    <row r="1319" spans="1:8">
      <c r="A1319" s="24">
        <v>255144</v>
      </c>
      <c r="B1319" s="25" t="s">
        <v>112</v>
      </c>
      <c r="C1319" s="39" t="str">
        <f t="shared" si="40"/>
        <v>221</v>
      </c>
      <c r="D1319" s="39" t="str">
        <f t="shared" si="41"/>
        <v>22102</v>
      </c>
      <c r="E1319" s="39">
        <f>IF(ISNA(VLOOKUP(F1319,'2020功能科目'!A:B,2,FALSE)),"",VLOOKUP(F1319,'2020功能科目'!A:B,2,FALSE))</f>
        <v>2210203</v>
      </c>
      <c r="F1319" s="25" t="s">
        <v>389</v>
      </c>
      <c r="G1319" s="26">
        <v>1117446</v>
      </c>
      <c r="H1319" s="26">
        <v>1117446</v>
      </c>
    </row>
    <row r="1320" spans="1:8">
      <c r="A1320" s="24">
        <v>255145</v>
      </c>
      <c r="B1320" s="25" t="s">
        <v>113</v>
      </c>
      <c r="C1320" s="39" t="str">
        <f t="shared" si="40"/>
        <v>205</v>
      </c>
      <c r="D1320" s="39" t="str">
        <f t="shared" si="41"/>
        <v>20502</v>
      </c>
      <c r="E1320" s="39">
        <f>IF(ISNA(VLOOKUP(F1320,'2020功能科目'!A:B,2,FALSE)),"",VLOOKUP(F1320,'2020功能科目'!A:B,2,FALSE))</f>
        <v>2050202</v>
      </c>
      <c r="F1320" s="25" t="s">
        <v>375</v>
      </c>
      <c r="G1320" s="26">
        <v>25398555.170000002</v>
      </c>
      <c r="H1320" s="26">
        <v>19738240.600000001</v>
      </c>
    </row>
    <row r="1321" spans="1:8">
      <c r="A1321" s="24">
        <v>255145</v>
      </c>
      <c r="B1321" s="25" t="s">
        <v>113</v>
      </c>
      <c r="C1321" s="39" t="str">
        <f t="shared" si="40"/>
        <v>205</v>
      </c>
      <c r="D1321" s="39" t="str">
        <f t="shared" si="41"/>
        <v>20502</v>
      </c>
      <c r="E1321" s="39">
        <f>IF(ISNA(VLOOKUP(F1321,'2020功能科目'!A:B,2,FALSE)),"",VLOOKUP(F1321,'2020功能科目'!A:B,2,FALSE))</f>
        <v>2050299</v>
      </c>
      <c r="F1321" s="25" t="s">
        <v>377</v>
      </c>
      <c r="G1321" s="26">
        <v>55700</v>
      </c>
      <c r="H1321" s="26">
        <v>0</v>
      </c>
    </row>
    <row r="1322" spans="1:8">
      <c r="A1322" s="24">
        <v>255145</v>
      </c>
      <c r="B1322" s="25" t="s">
        <v>113</v>
      </c>
      <c r="C1322" s="39" t="str">
        <f t="shared" si="40"/>
        <v>205</v>
      </c>
      <c r="D1322" s="39" t="str">
        <f t="shared" si="41"/>
        <v>20508</v>
      </c>
      <c r="E1322" s="39">
        <f>IF(ISNA(VLOOKUP(F1322,'2020功能科目'!A:B,2,FALSE)),"",VLOOKUP(F1322,'2020功能科目'!A:B,2,FALSE))</f>
        <v>2050803</v>
      </c>
      <c r="F1322" s="25" t="s">
        <v>378</v>
      </c>
      <c r="G1322" s="26">
        <v>28080</v>
      </c>
      <c r="H1322" s="26">
        <v>59200</v>
      </c>
    </row>
    <row r="1323" spans="1:8">
      <c r="A1323" s="24">
        <v>255145</v>
      </c>
      <c r="B1323" s="25" t="s">
        <v>113</v>
      </c>
      <c r="C1323" s="39" t="str">
        <f t="shared" si="40"/>
        <v>205</v>
      </c>
      <c r="D1323" s="39" t="str">
        <f t="shared" si="41"/>
        <v>20509</v>
      </c>
      <c r="E1323" s="39">
        <f>IF(ISNA(VLOOKUP(F1323,'2020功能科目'!A:B,2,FALSE)),"",VLOOKUP(F1323,'2020功能科目'!A:B,2,FALSE))</f>
        <v>2050903</v>
      </c>
      <c r="F1323" s="25" t="s">
        <v>379</v>
      </c>
      <c r="G1323" s="26">
        <v>0</v>
      </c>
      <c r="H1323" s="26">
        <v>420000</v>
      </c>
    </row>
    <row r="1324" spans="1:8">
      <c r="A1324" s="24">
        <v>255145</v>
      </c>
      <c r="B1324" s="25" t="s">
        <v>113</v>
      </c>
      <c r="C1324" s="39" t="str">
        <f t="shared" si="40"/>
        <v>205</v>
      </c>
      <c r="D1324" s="39" t="str">
        <f t="shared" si="41"/>
        <v>20509</v>
      </c>
      <c r="E1324" s="39">
        <f>IF(ISNA(VLOOKUP(F1324,'2020功能科目'!A:B,2,FALSE)),"",VLOOKUP(F1324,'2020功能科目'!A:B,2,FALSE))</f>
        <v>2050904</v>
      </c>
      <c r="F1324" s="25" t="s">
        <v>380</v>
      </c>
      <c r="G1324" s="26">
        <v>214879</v>
      </c>
      <c r="H1324" s="26">
        <v>214880</v>
      </c>
    </row>
    <row r="1325" spans="1:8">
      <c r="A1325" s="24">
        <v>255145</v>
      </c>
      <c r="B1325" s="25" t="s">
        <v>113</v>
      </c>
      <c r="C1325" s="39" t="str">
        <f t="shared" si="40"/>
        <v>208</v>
      </c>
      <c r="D1325" s="39" t="str">
        <f t="shared" si="41"/>
        <v>20805</v>
      </c>
      <c r="E1325" s="39">
        <f>IF(ISNA(VLOOKUP(F1325,'2020功能科目'!A:B,2,FALSE)),"",VLOOKUP(F1325,'2020功能科目'!A:B,2,FALSE))</f>
        <v>2080502</v>
      </c>
      <c r="F1325" s="25" t="s">
        <v>381</v>
      </c>
      <c r="G1325" s="26">
        <v>586709</v>
      </c>
      <c r="H1325" s="26">
        <v>444260</v>
      </c>
    </row>
    <row r="1326" spans="1:8">
      <c r="A1326" s="24">
        <v>255145</v>
      </c>
      <c r="B1326" s="25" t="s">
        <v>113</v>
      </c>
      <c r="C1326" s="39" t="str">
        <f t="shared" si="40"/>
        <v>208</v>
      </c>
      <c r="D1326" s="39" t="str">
        <f t="shared" si="41"/>
        <v>20805</v>
      </c>
      <c r="E1326" s="39">
        <f>IF(ISNA(VLOOKUP(F1326,'2020功能科目'!A:B,2,FALSE)),"",VLOOKUP(F1326,'2020功能科目'!A:B,2,FALSE))</f>
        <v>2080505</v>
      </c>
      <c r="F1326" s="25" t="s">
        <v>382</v>
      </c>
      <c r="G1326" s="26">
        <v>1824825.76</v>
      </c>
      <c r="H1326" s="26">
        <v>1778959.1</v>
      </c>
    </row>
    <row r="1327" spans="1:8">
      <c r="A1327" s="24">
        <v>255145</v>
      </c>
      <c r="B1327" s="25" t="s">
        <v>113</v>
      </c>
      <c r="C1327" s="39" t="str">
        <f t="shared" si="40"/>
        <v>208</v>
      </c>
      <c r="D1327" s="39" t="str">
        <f t="shared" si="41"/>
        <v>20805</v>
      </c>
      <c r="E1327" s="39">
        <f>IF(ISNA(VLOOKUP(F1327,'2020功能科目'!A:B,2,FALSE)),"",VLOOKUP(F1327,'2020功能科目'!A:B,2,FALSE))</f>
        <v>2080506</v>
      </c>
      <c r="F1327" s="25" t="s">
        <v>383</v>
      </c>
      <c r="G1327" s="26">
        <v>912412.88</v>
      </c>
      <c r="H1327" s="26">
        <v>889479.55</v>
      </c>
    </row>
    <row r="1328" spans="1:8">
      <c r="A1328" s="24">
        <v>255145</v>
      </c>
      <c r="B1328" s="25" t="s">
        <v>113</v>
      </c>
      <c r="C1328" s="39" t="str">
        <f t="shared" si="40"/>
        <v>208</v>
      </c>
      <c r="D1328" s="39" t="str">
        <f t="shared" si="41"/>
        <v>20808</v>
      </c>
      <c r="E1328" s="39">
        <f>IF(ISNA(VLOOKUP(F1328,'2020功能科目'!A:B,2,FALSE)),"",VLOOKUP(F1328,'2020功能科目'!A:B,2,FALSE))</f>
        <v>2080801</v>
      </c>
      <c r="F1328" s="25" t="s">
        <v>384</v>
      </c>
      <c r="G1328" s="26">
        <v>205318</v>
      </c>
      <c r="H1328" s="26">
        <v>0</v>
      </c>
    </row>
    <row r="1329" spans="1:8">
      <c r="A1329" s="24">
        <v>255145</v>
      </c>
      <c r="B1329" s="25" t="s">
        <v>113</v>
      </c>
      <c r="C1329" s="39" t="str">
        <f t="shared" si="40"/>
        <v>210</v>
      </c>
      <c r="D1329" s="39" t="str">
        <f t="shared" si="41"/>
        <v>21011</v>
      </c>
      <c r="E1329" s="39">
        <f>IF(ISNA(VLOOKUP(F1329,'2020功能科目'!A:B,2,FALSE)),"",VLOOKUP(F1329,'2020功能科目'!A:B,2,FALSE))</f>
        <v>2101102</v>
      </c>
      <c r="F1329" s="25" t="s">
        <v>385</v>
      </c>
      <c r="G1329" s="26">
        <v>1498774.55</v>
      </c>
      <c r="H1329" s="26">
        <v>1445404.27</v>
      </c>
    </row>
    <row r="1330" spans="1:8">
      <c r="A1330" s="24">
        <v>255145</v>
      </c>
      <c r="B1330" s="25" t="s">
        <v>113</v>
      </c>
      <c r="C1330" s="39" t="str">
        <f t="shared" si="40"/>
        <v>221</v>
      </c>
      <c r="D1330" s="39" t="str">
        <f t="shared" si="41"/>
        <v>22102</v>
      </c>
      <c r="E1330" s="39">
        <f>IF(ISNA(VLOOKUP(F1330,'2020功能科目'!A:B,2,FALSE)),"",VLOOKUP(F1330,'2020功能科目'!A:B,2,FALSE))</f>
        <v>2210201</v>
      </c>
      <c r="F1330" s="25" t="s">
        <v>387</v>
      </c>
      <c r="G1330" s="26">
        <v>1808713</v>
      </c>
      <c r="H1330" s="26">
        <v>1778219.33</v>
      </c>
    </row>
    <row r="1331" spans="1:8">
      <c r="A1331" s="24">
        <v>255145</v>
      </c>
      <c r="B1331" s="25" t="s">
        <v>113</v>
      </c>
      <c r="C1331" s="39" t="str">
        <f t="shared" si="40"/>
        <v>221</v>
      </c>
      <c r="D1331" s="39" t="str">
        <f t="shared" si="41"/>
        <v>22102</v>
      </c>
      <c r="E1331" s="39">
        <f>IF(ISNA(VLOOKUP(F1331,'2020功能科目'!A:B,2,FALSE)),"",VLOOKUP(F1331,'2020功能科目'!A:B,2,FALSE))</f>
        <v>2210202</v>
      </c>
      <c r="F1331" s="25" t="s">
        <v>388</v>
      </c>
      <c r="G1331" s="26">
        <v>107520</v>
      </c>
      <c r="H1331" s="26">
        <v>108240</v>
      </c>
    </row>
    <row r="1332" spans="1:8">
      <c r="A1332" s="24">
        <v>255145</v>
      </c>
      <c r="B1332" s="25" t="s">
        <v>113</v>
      </c>
      <c r="C1332" s="39" t="str">
        <f t="shared" si="40"/>
        <v>221</v>
      </c>
      <c r="D1332" s="39" t="str">
        <f t="shared" si="41"/>
        <v>22102</v>
      </c>
      <c r="E1332" s="39">
        <f>IF(ISNA(VLOOKUP(F1332,'2020功能科目'!A:B,2,FALSE)),"",VLOOKUP(F1332,'2020功能科目'!A:B,2,FALSE))</f>
        <v>2210203</v>
      </c>
      <c r="F1332" s="25" t="s">
        <v>389</v>
      </c>
      <c r="G1332" s="26">
        <v>1567500</v>
      </c>
      <c r="H1332" s="26">
        <v>1549908</v>
      </c>
    </row>
    <row r="1333" spans="1:8">
      <c r="A1333" s="24">
        <v>255147</v>
      </c>
      <c r="B1333" s="25" t="s">
        <v>114</v>
      </c>
      <c r="C1333" s="39" t="str">
        <f t="shared" si="40"/>
        <v>205</v>
      </c>
      <c r="D1333" s="39" t="str">
        <f t="shared" si="41"/>
        <v>20502</v>
      </c>
      <c r="E1333" s="39">
        <f>IF(ISNA(VLOOKUP(F1333,'2020功能科目'!A:B,2,FALSE)),"",VLOOKUP(F1333,'2020功能科目'!A:B,2,FALSE))</f>
        <v>2050202</v>
      </c>
      <c r="F1333" s="25" t="s">
        <v>375</v>
      </c>
      <c r="G1333" s="26">
        <v>51962480.310000002</v>
      </c>
      <c r="H1333" s="26">
        <v>38244691.829999998</v>
      </c>
    </row>
    <row r="1334" spans="1:8">
      <c r="A1334" s="24">
        <v>255147</v>
      </c>
      <c r="B1334" s="25" t="s">
        <v>114</v>
      </c>
      <c r="C1334" s="39" t="str">
        <f t="shared" si="40"/>
        <v>205</v>
      </c>
      <c r="D1334" s="39" t="str">
        <f t="shared" si="41"/>
        <v>20502</v>
      </c>
      <c r="E1334" s="39">
        <f>IF(ISNA(VLOOKUP(F1334,'2020功能科目'!A:B,2,FALSE)),"",VLOOKUP(F1334,'2020功能科目'!A:B,2,FALSE))</f>
        <v>2050299</v>
      </c>
      <c r="F1334" s="25" t="s">
        <v>377</v>
      </c>
      <c r="G1334" s="26">
        <v>220000</v>
      </c>
      <c r="H1334" s="26">
        <v>0</v>
      </c>
    </row>
    <row r="1335" spans="1:8">
      <c r="A1335" s="24">
        <v>255147</v>
      </c>
      <c r="B1335" s="25" t="s">
        <v>114</v>
      </c>
      <c r="C1335" s="39" t="str">
        <f t="shared" si="40"/>
        <v>205</v>
      </c>
      <c r="D1335" s="39" t="str">
        <f t="shared" si="41"/>
        <v>20508</v>
      </c>
      <c r="E1335" s="39">
        <f>IF(ISNA(VLOOKUP(F1335,'2020功能科目'!A:B,2,FALSE)),"",VLOOKUP(F1335,'2020功能科目'!A:B,2,FALSE))</f>
        <v>2050803</v>
      </c>
      <c r="F1335" s="25" t="s">
        <v>378</v>
      </c>
      <c r="G1335" s="26">
        <v>56800</v>
      </c>
      <c r="H1335" s="26">
        <v>113600</v>
      </c>
    </row>
    <row r="1336" spans="1:8">
      <c r="A1336" s="24">
        <v>255147</v>
      </c>
      <c r="B1336" s="25" t="s">
        <v>114</v>
      </c>
      <c r="C1336" s="39" t="str">
        <f t="shared" si="40"/>
        <v>205</v>
      </c>
      <c r="D1336" s="39" t="str">
        <f t="shared" si="41"/>
        <v>20509</v>
      </c>
      <c r="E1336" s="39">
        <f>IF(ISNA(VLOOKUP(F1336,'2020功能科目'!A:B,2,FALSE)),"",VLOOKUP(F1336,'2020功能科目'!A:B,2,FALSE))</f>
        <v>2050903</v>
      </c>
      <c r="F1336" s="25" t="s">
        <v>379</v>
      </c>
      <c r="G1336" s="26">
        <v>461430.5</v>
      </c>
      <c r="H1336" s="26">
        <v>598500</v>
      </c>
    </row>
    <row r="1337" spans="1:8">
      <c r="A1337" s="24">
        <v>255147</v>
      </c>
      <c r="B1337" s="25" t="s">
        <v>114</v>
      </c>
      <c r="C1337" s="39" t="str">
        <f t="shared" si="40"/>
        <v>205</v>
      </c>
      <c r="D1337" s="39" t="str">
        <f t="shared" si="41"/>
        <v>20509</v>
      </c>
      <c r="E1337" s="39">
        <f>IF(ISNA(VLOOKUP(F1337,'2020功能科目'!A:B,2,FALSE)),"",VLOOKUP(F1337,'2020功能科目'!A:B,2,FALSE))</f>
        <v>2050904</v>
      </c>
      <c r="F1337" s="25" t="s">
        <v>380</v>
      </c>
      <c r="G1337" s="26">
        <v>2091176</v>
      </c>
      <c r="H1337" s="26">
        <v>2182950</v>
      </c>
    </row>
    <row r="1338" spans="1:8">
      <c r="A1338" s="24">
        <v>255147</v>
      </c>
      <c r="B1338" s="25" t="s">
        <v>114</v>
      </c>
      <c r="C1338" s="39" t="str">
        <f t="shared" si="40"/>
        <v>208</v>
      </c>
      <c r="D1338" s="39" t="str">
        <f t="shared" si="41"/>
        <v>20805</v>
      </c>
      <c r="E1338" s="39">
        <f>IF(ISNA(VLOOKUP(F1338,'2020功能科目'!A:B,2,FALSE)),"",VLOOKUP(F1338,'2020功能科目'!A:B,2,FALSE))</f>
        <v>2080502</v>
      </c>
      <c r="F1338" s="25" t="s">
        <v>381</v>
      </c>
      <c r="G1338" s="26">
        <v>2538399</v>
      </c>
      <c r="H1338" s="26">
        <v>1886322</v>
      </c>
    </row>
    <row r="1339" spans="1:8">
      <c r="A1339" s="24">
        <v>255147</v>
      </c>
      <c r="B1339" s="25" t="s">
        <v>114</v>
      </c>
      <c r="C1339" s="39" t="str">
        <f t="shared" si="40"/>
        <v>208</v>
      </c>
      <c r="D1339" s="39" t="str">
        <f t="shared" si="41"/>
        <v>20805</v>
      </c>
      <c r="E1339" s="39">
        <f>IF(ISNA(VLOOKUP(F1339,'2020功能科目'!A:B,2,FALSE)),"",VLOOKUP(F1339,'2020功能科目'!A:B,2,FALSE))</f>
        <v>2080505</v>
      </c>
      <c r="F1339" s="25" t="s">
        <v>382</v>
      </c>
      <c r="G1339" s="26">
        <v>3980489.05</v>
      </c>
      <c r="H1339" s="26">
        <v>3980489.05</v>
      </c>
    </row>
    <row r="1340" spans="1:8">
      <c r="A1340" s="24">
        <v>255147</v>
      </c>
      <c r="B1340" s="25" t="s">
        <v>114</v>
      </c>
      <c r="C1340" s="39" t="str">
        <f t="shared" si="40"/>
        <v>208</v>
      </c>
      <c r="D1340" s="39" t="str">
        <f t="shared" si="41"/>
        <v>20805</v>
      </c>
      <c r="E1340" s="39">
        <f>IF(ISNA(VLOOKUP(F1340,'2020功能科目'!A:B,2,FALSE)),"",VLOOKUP(F1340,'2020功能科目'!A:B,2,FALSE))</f>
        <v>2080506</v>
      </c>
      <c r="F1340" s="25" t="s">
        <v>383</v>
      </c>
      <c r="G1340" s="26">
        <v>1990244.52</v>
      </c>
      <c r="H1340" s="26">
        <v>1990244.52</v>
      </c>
    </row>
    <row r="1341" spans="1:8">
      <c r="A1341" s="24">
        <v>255147</v>
      </c>
      <c r="B1341" s="25" t="s">
        <v>114</v>
      </c>
      <c r="C1341" s="39" t="str">
        <f t="shared" si="40"/>
        <v>210</v>
      </c>
      <c r="D1341" s="39" t="str">
        <f t="shared" si="41"/>
        <v>21011</v>
      </c>
      <c r="E1341" s="39">
        <f>IF(ISNA(VLOOKUP(F1341,'2020功能科目'!A:B,2,FALSE)),"",VLOOKUP(F1341,'2020功能科目'!A:B,2,FALSE))</f>
        <v>2101102</v>
      </c>
      <c r="F1341" s="25" t="s">
        <v>385</v>
      </c>
      <c r="G1341" s="26">
        <v>3234147.35</v>
      </c>
      <c r="H1341" s="26">
        <v>3234147.35</v>
      </c>
    </row>
    <row r="1342" spans="1:8">
      <c r="A1342" s="24">
        <v>255147</v>
      </c>
      <c r="B1342" s="25" t="s">
        <v>114</v>
      </c>
      <c r="C1342" s="39" t="str">
        <f t="shared" si="40"/>
        <v>210</v>
      </c>
      <c r="D1342" s="39" t="str">
        <f t="shared" si="41"/>
        <v>21011</v>
      </c>
      <c r="E1342" s="39">
        <f>IF(ISNA(VLOOKUP(F1342,'2020功能科目'!A:B,2,FALSE)),"",VLOOKUP(F1342,'2020功能科目'!A:B,2,FALSE))</f>
        <v>2101199</v>
      </c>
      <c r="F1342" s="25" t="s">
        <v>386</v>
      </c>
      <c r="G1342" s="26">
        <v>180000</v>
      </c>
      <c r="H1342" s="26">
        <v>180000</v>
      </c>
    </row>
    <row r="1343" spans="1:8">
      <c r="A1343" s="24">
        <v>255147</v>
      </c>
      <c r="B1343" s="25" t="s">
        <v>114</v>
      </c>
      <c r="C1343" s="39" t="str">
        <f t="shared" si="40"/>
        <v>221</v>
      </c>
      <c r="D1343" s="39" t="str">
        <f t="shared" si="41"/>
        <v>22102</v>
      </c>
      <c r="E1343" s="39">
        <f>IF(ISNA(VLOOKUP(F1343,'2020功能科目'!A:B,2,FALSE)),"",VLOOKUP(F1343,'2020功能科目'!A:B,2,FALSE))</f>
        <v>2210201</v>
      </c>
      <c r="F1343" s="25" t="s">
        <v>387</v>
      </c>
      <c r="G1343" s="26">
        <v>3905626</v>
      </c>
      <c r="H1343" s="26">
        <v>3837366.79</v>
      </c>
    </row>
    <row r="1344" spans="1:8">
      <c r="A1344" s="24">
        <v>255147</v>
      </c>
      <c r="B1344" s="25" t="s">
        <v>114</v>
      </c>
      <c r="C1344" s="39" t="str">
        <f t="shared" si="40"/>
        <v>221</v>
      </c>
      <c r="D1344" s="39" t="str">
        <f t="shared" si="41"/>
        <v>22102</v>
      </c>
      <c r="E1344" s="39">
        <f>IF(ISNA(VLOOKUP(F1344,'2020功能科目'!A:B,2,FALSE)),"",VLOOKUP(F1344,'2020功能科目'!A:B,2,FALSE))</f>
        <v>2210202</v>
      </c>
      <c r="F1344" s="25" t="s">
        <v>388</v>
      </c>
      <c r="G1344" s="26">
        <v>248660</v>
      </c>
      <c r="H1344" s="26">
        <v>251160</v>
      </c>
    </row>
    <row r="1345" spans="1:8">
      <c r="A1345" s="24">
        <v>255147</v>
      </c>
      <c r="B1345" s="25" t="s">
        <v>114</v>
      </c>
      <c r="C1345" s="39" t="str">
        <f t="shared" si="40"/>
        <v>221</v>
      </c>
      <c r="D1345" s="39" t="str">
        <f t="shared" si="41"/>
        <v>22102</v>
      </c>
      <c r="E1345" s="39">
        <f>IF(ISNA(VLOOKUP(F1345,'2020功能科目'!A:B,2,FALSE)),"",VLOOKUP(F1345,'2020功能科目'!A:B,2,FALSE))</f>
        <v>2210203</v>
      </c>
      <c r="F1345" s="25" t="s">
        <v>389</v>
      </c>
      <c r="G1345" s="26">
        <v>3140192</v>
      </c>
      <c r="H1345" s="26">
        <v>3018240</v>
      </c>
    </row>
    <row r="1346" spans="1:8">
      <c r="A1346" s="24">
        <v>255148</v>
      </c>
      <c r="B1346" s="25" t="s">
        <v>115</v>
      </c>
      <c r="C1346" s="39" t="str">
        <f t="shared" si="40"/>
        <v>205</v>
      </c>
      <c r="D1346" s="39" t="str">
        <f t="shared" si="41"/>
        <v>20502</v>
      </c>
      <c r="E1346" s="39">
        <f>IF(ISNA(VLOOKUP(F1346,'2020功能科目'!A:B,2,FALSE)),"",VLOOKUP(F1346,'2020功能科目'!A:B,2,FALSE))</f>
        <v>2050202</v>
      </c>
      <c r="F1346" s="25" t="s">
        <v>375</v>
      </c>
      <c r="G1346" s="26">
        <v>19911061.649999999</v>
      </c>
      <c r="H1346" s="26">
        <v>16276931.75</v>
      </c>
    </row>
    <row r="1347" spans="1:8">
      <c r="A1347" s="24">
        <v>255148</v>
      </c>
      <c r="B1347" s="25" t="s">
        <v>115</v>
      </c>
      <c r="C1347" s="39" t="str">
        <f t="shared" ref="C1347:C1410" si="42">LEFT(D1347,3)</f>
        <v>205</v>
      </c>
      <c r="D1347" s="39" t="str">
        <f t="shared" ref="D1347:D1410" si="43">LEFT(E1347,5)</f>
        <v>20502</v>
      </c>
      <c r="E1347" s="39">
        <f>IF(ISNA(VLOOKUP(F1347,'2020功能科目'!A:B,2,FALSE)),"",VLOOKUP(F1347,'2020功能科目'!A:B,2,FALSE))</f>
        <v>2050299</v>
      </c>
      <c r="F1347" s="25" t="s">
        <v>377</v>
      </c>
      <c r="G1347" s="26">
        <v>9423.2099999999991</v>
      </c>
      <c r="H1347" s="26">
        <v>0</v>
      </c>
    </row>
    <row r="1348" spans="1:8">
      <c r="A1348" s="24">
        <v>255148</v>
      </c>
      <c r="B1348" s="25" t="s">
        <v>115</v>
      </c>
      <c r="C1348" s="39" t="str">
        <f t="shared" si="42"/>
        <v>205</v>
      </c>
      <c r="D1348" s="39" t="str">
        <f t="shared" si="43"/>
        <v>20508</v>
      </c>
      <c r="E1348" s="39">
        <f>IF(ISNA(VLOOKUP(F1348,'2020功能科目'!A:B,2,FALSE)),"",VLOOKUP(F1348,'2020功能科目'!A:B,2,FALSE))</f>
        <v>2050803</v>
      </c>
      <c r="F1348" s="25" t="s">
        <v>378</v>
      </c>
      <c r="G1348" s="26">
        <v>0</v>
      </c>
      <c r="H1348" s="26">
        <v>51200</v>
      </c>
    </row>
    <row r="1349" spans="1:8">
      <c r="A1349" s="24">
        <v>255148</v>
      </c>
      <c r="B1349" s="25" t="s">
        <v>115</v>
      </c>
      <c r="C1349" s="39" t="str">
        <f t="shared" si="42"/>
        <v>205</v>
      </c>
      <c r="D1349" s="39" t="str">
        <f t="shared" si="43"/>
        <v>20509</v>
      </c>
      <c r="E1349" s="39">
        <f>IF(ISNA(VLOOKUP(F1349,'2020功能科目'!A:B,2,FALSE)),"",VLOOKUP(F1349,'2020功能科目'!A:B,2,FALSE))</f>
        <v>2050903</v>
      </c>
      <c r="F1349" s="25" t="s">
        <v>379</v>
      </c>
      <c r="G1349" s="26">
        <v>559999.38</v>
      </c>
      <c r="H1349" s="26">
        <v>800000</v>
      </c>
    </row>
    <row r="1350" spans="1:8">
      <c r="A1350" s="24">
        <v>255148</v>
      </c>
      <c r="B1350" s="25" t="s">
        <v>115</v>
      </c>
      <c r="C1350" s="39" t="str">
        <f t="shared" si="42"/>
        <v>205</v>
      </c>
      <c r="D1350" s="39" t="str">
        <f t="shared" si="43"/>
        <v>20509</v>
      </c>
      <c r="E1350" s="39">
        <f>IF(ISNA(VLOOKUP(F1350,'2020功能科目'!A:B,2,FALSE)),"",VLOOKUP(F1350,'2020功能科目'!A:B,2,FALSE))</f>
        <v>2050904</v>
      </c>
      <c r="F1350" s="25" t="s">
        <v>380</v>
      </c>
      <c r="G1350" s="26">
        <v>242800</v>
      </c>
      <c r="H1350" s="26">
        <v>242800</v>
      </c>
    </row>
    <row r="1351" spans="1:8">
      <c r="A1351" s="24">
        <v>255148</v>
      </c>
      <c r="B1351" s="25" t="s">
        <v>115</v>
      </c>
      <c r="C1351" s="39" t="str">
        <f t="shared" si="42"/>
        <v>208</v>
      </c>
      <c r="D1351" s="39" t="str">
        <f t="shared" si="43"/>
        <v>20805</v>
      </c>
      <c r="E1351" s="39">
        <f>IF(ISNA(VLOOKUP(F1351,'2020功能科目'!A:B,2,FALSE)),"",VLOOKUP(F1351,'2020功能科目'!A:B,2,FALSE))</f>
        <v>2080502</v>
      </c>
      <c r="F1351" s="25" t="s">
        <v>381</v>
      </c>
      <c r="G1351" s="26">
        <v>1675694</v>
      </c>
      <c r="H1351" s="26">
        <v>1242450</v>
      </c>
    </row>
    <row r="1352" spans="1:8">
      <c r="A1352" s="24">
        <v>255148</v>
      </c>
      <c r="B1352" s="25" t="s">
        <v>115</v>
      </c>
      <c r="C1352" s="39" t="str">
        <f t="shared" si="42"/>
        <v>208</v>
      </c>
      <c r="D1352" s="39" t="str">
        <f t="shared" si="43"/>
        <v>20805</v>
      </c>
      <c r="E1352" s="39">
        <f>IF(ISNA(VLOOKUP(F1352,'2020功能科目'!A:B,2,FALSE)),"",VLOOKUP(F1352,'2020功能科目'!A:B,2,FALSE))</f>
        <v>2080505</v>
      </c>
      <c r="F1352" s="25" t="s">
        <v>382</v>
      </c>
      <c r="G1352" s="26">
        <v>1234077.76</v>
      </c>
      <c r="H1352" s="26">
        <v>1515388.48</v>
      </c>
    </row>
    <row r="1353" spans="1:8">
      <c r="A1353" s="24">
        <v>255148</v>
      </c>
      <c r="B1353" s="25" t="s">
        <v>115</v>
      </c>
      <c r="C1353" s="39" t="str">
        <f t="shared" si="42"/>
        <v>208</v>
      </c>
      <c r="D1353" s="39" t="str">
        <f t="shared" si="43"/>
        <v>20805</v>
      </c>
      <c r="E1353" s="39">
        <f>IF(ISNA(VLOOKUP(F1353,'2020功能科目'!A:B,2,FALSE)),"",VLOOKUP(F1353,'2020功能科目'!A:B,2,FALSE))</f>
        <v>2080506</v>
      </c>
      <c r="F1353" s="25" t="s">
        <v>383</v>
      </c>
      <c r="G1353" s="26">
        <v>617038.88</v>
      </c>
      <c r="H1353" s="26">
        <v>757694.24</v>
      </c>
    </row>
    <row r="1354" spans="1:8">
      <c r="A1354" s="24">
        <v>255148</v>
      </c>
      <c r="B1354" s="25" t="s">
        <v>115</v>
      </c>
      <c r="C1354" s="39" t="str">
        <f t="shared" si="42"/>
        <v>210</v>
      </c>
      <c r="D1354" s="39" t="str">
        <f t="shared" si="43"/>
        <v>21011</v>
      </c>
      <c r="E1354" s="39">
        <f>IF(ISNA(VLOOKUP(F1354,'2020功能科目'!A:B,2,FALSE)),"",VLOOKUP(F1354,'2020功能科目'!A:B,2,FALSE))</f>
        <v>2101102</v>
      </c>
      <c r="F1354" s="25" t="s">
        <v>385</v>
      </c>
      <c r="G1354" s="26">
        <v>1194637.83</v>
      </c>
      <c r="H1354" s="26">
        <v>1231253.1399999999</v>
      </c>
    </row>
    <row r="1355" spans="1:8">
      <c r="A1355" s="24">
        <v>255148</v>
      </c>
      <c r="B1355" s="25" t="s">
        <v>115</v>
      </c>
      <c r="C1355" s="39" t="str">
        <f t="shared" si="42"/>
        <v>221</v>
      </c>
      <c r="D1355" s="39" t="str">
        <f t="shared" si="43"/>
        <v>22102</v>
      </c>
      <c r="E1355" s="39">
        <f>IF(ISNA(VLOOKUP(F1355,'2020功能科目'!A:B,2,FALSE)),"",VLOOKUP(F1355,'2020功能科目'!A:B,2,FALSE))</f>
        <v>2210201</v>
      </c>
      <c r="F1355" s="25" t="s">
        <v>387</v>
      </c>
      <c r="G1355" s="26">
        <v>1368330</v>
      </c>
      <c r="H1355" s="26">
        <v>1520541.36</v>
      </c>
    </row>
    <row r="1356" spans="1:8">
      <c r="A1356" s="24">
        <v>255148</v>
      </c>
      <c r="B1356" s="25" t="s">
        <v>115</v>
      </c>
      <c r="C1356" s="39" t="str">
        <f t="shared" si="42"/>
        <v>221</v>
      </c>
      <c r="D1356" s="39" t="str">
        <f t="shared" si="43"/>
        <v>22102</v>
      </c>
      <c r="E1356" s="39">
        <f>IF(ISNA(VLOOKUP(F1356,'2020功能科目'!A:B,2,FALSE)),"",VLOOKUP(F1356,'2020功能科目'!A:B,2,FALSE))</f>
        <v>2210202</v>
      </c>
      <c r="F1356" s="25" t="s">
        <v>388</v>
      </c>
      <c r="G1356" s="26">
        <v>159680</v>
      </c>
      <c r="H1356" s="26">
        <v>163320</v>
      </c>
    </row>
    <row r="1357" spans="1:8">
      <c r="A1357" s="24">
        <v>255148</v>
      </c>
      <c r="B1357" s="25" t="s">
        <v>115</v>
      </c>
      <c r="C1357" s="39" t="str">
        <f t="shared" si="42"/>
        <v>221</v>
      </c>
      <c r="D1357" s="39" t="str">
        <f t="shared" si="43"/>
        <v>22102</v>
      </c>
      <c r="E1357" s="39">
        <f>IF(ISNA(VLOOKUP(F1357,'2020功能科目'!A:B,2,FALSE)),"",VLOOKUP(F1357,'2020功能科目'!A:B,2,FALSE))</f>
        <v>2210203</v>
      </c>
      <c r="F1357" s="25" t="s">
        <v>389</v>
      </c>
      <c r="G1357" s="26">
        <v>1786471</v>
      </c>
      <c r="H1357" s="26">
        <v>1756920</v>
      </c>
    </row>
    <row r="1358" spans="1:8">
      <c r="A1358" s="24">
        <v>255149</v>
      </c>
      <c r="B1358" s="25" t="s">
        <v>116</v>
      </c>
      <c r="C1358" s="39" t="str">
        <f t="shared" si="42"/>
        <v>205</v>
      </c>
      <c r="D1358" s="39" t="str">
        <f t="shared" si="43"/>
        <v>20502</v>
      </c>
      <c r="E1358" s="39">
        <f>IF(ISNA(VLOOKUP(F1358,'2020功能科目'!A:B,2,FALSE)),"",VLOOKUP(F1358,'2020功能科目'!A:B,2,FALSE))</f>
        <v>2050202</v>
      </c>
      <c r="F1358" s="25" t="s">
        <v>375</v>
      </c>
      <c r="G1358" s="26">
        <v>34374237.200000003</v>
      </c>
      <c r="H1358" s="26">
        <v>24657900.989999998</v>
      </c>
    </row>
    <row r="1359" spans="1:8">
      <c r="A1359" s="24">
        <v>255149</v>
      </c>
      <c r="B1359" s="25" t="s">
        <v>116</v>
      </c>
      <c r="C1359" s="39" t="str">
        <f t="shared" si="42"/>
        <v>205</v>
      </c>
      <c r="D1359" s="39" t="str">
        <f t="shared" si="43"/>
        <v>20502</v>
      </c>
      <c r="E1359" s="39">
        <f>IF(ISNA(VLOOKUP(F1359,'2020功能科目'!A:B,2,FALSE)),"",VLOOKUP(F1359,'2020功能科目'!A:B,2,FALSE))</f>
        <v>2050299</v>
      </c>
      <c r="F1359" s="25" t="s">
        <v>377</v>
      </c>
      <c r="G1359" s="26">
        <v>140300</v>
      </c>
      <c r="H1359" s="26">
        <v>0</v>
      </c>
    </row>
    <row r="1360" spans="1:8">
      <c r="A1360" s="24">
        <v>255149</v>
      </c>
      <c r="B1360" s="25" t="s">
        <v>116</v>
      </c>
      <c r="C1360" s="39" t="str">
        <f t="shared" si="42"/>
        <v>205</v>
      </c>
      <c r="D1360" s="39" t="str">
        <f t="shared" si="43"/>
        <v>20508</v>
      </c>
      <c r="E1360" s="39">
        <f>IF(ISNA(VLOOKUP(F1360,'2020功能科目'!A:B,2,FALSE)),"",VLOOKUP(F1360,'2020功能科目'!A:B,2,FALSE))</f>
        <v>2050803</v>
      </c>
      <c r="F1360" s="25" t="s">
        <v>378</v>
      </c>
      <c r="G1360" s="26">
        <v>0</v>
      </c>
      <c r="H1360" s="26">
        <v>77600</v>
      </c>
    </row>
    <row r="1361" spans="1:8">
      <c r="A1361" s="24">
        <v>255149</v>
      </c>
      <c r="B1361" s="25" t="s">
        <v>116</v>
      </c>
      <c r="C1361" s="39" t="str">
        <f t="shared" si="42"/>
        <v>205</v>
      </c>
      <c r="D1361" s="39" t="str">
        <f t="shared" si="43"/>
        <v>20509</v>
      </c>
      <c r="E1361" s="39">
        <f>IF(ISNA(VLOOKUP(F1361,'2020功能科目'!A:B,2,FALSE)),"",VLOOKUP(F1361,'2020功能科目'!A:B,2,FALSE))</f>
        <v>2050903</v>
      </c>
      <c r="F1361" s="25" t="s">
        <v>379</v>
      </c>
      <c r="G1361" s="26">
        <v>1308479.4099999999</v>
      </c>
      <c r="H1361" s="26">
        <v>1519000</v>
      </c>
    </row>
    <row r="1362" spans="1:8">
      <c r="A1362" s="24">
        <v>255149</v>
      </c>
      <c r="B1362" s="25" t="s">
        <v>116</v>
      </c>
      <c r="C1362" s="39" t="str">
        <f t="shared" si="42"/>
        <v>205</v>
      </c>
      <c r="D1362" s="39" t="str">
        <f t="shared" si="43"/>
        <v>20509</v>
      </c>
      <c r="E1362" s="39">
        <f>IF(ISNA(VLOOKUP(F1362,'2020功能科目'!A:B,2,FALSE)),"",VLOOKUP(F1362,'2020功能科目'!A:B,2,FALSE))</f>
        <v>2050904</v>
      </c>
      <c r="F1362" s="25" t="s">
        <v>380</v>
      </c>
      <c r="G1362" s="26">
        <v>228014</v>
      </c>
      <c r="H1362" s="26">
        <v>228935</v>
      </c>
    </row>
    <row r="1363" spans="1:8">
      <c r="A1363" s="24">
        <v>255149</v>
      </c>
      <c r="B1363" s="25" t="s">
        <v>116</v>
      </c>
      <c r="C1363" s="39" t="str">
        <f t="shared" si="42"/>
        <v>208</v>
      </c>
      <c r="D1363" s="39" t="str">
        <f t="shared" si="43"/>
        <v>20805</v>
      </c>
      <c r="E1363" s="39">
        <f>IF(ISNA(VLOOKUP(F1363,'2020功能科目'!A:B,2,FALSE)),"",VLOOKUP(F1363,'2020功能科目'!A:B,2,FALSE))</f>
        <v>2080502</v>
      </c>
      <c r="F1363" s="25" t="s">
        <v>381</v>
      </c>
      <c r="G1363" s="26">
        <v>1452730</v>
      </c>
      <c r="H1363" s="26">
        <v>1004212</v>
      </c>
    </row>
    <row r="1364" spans="1:8">
      <c r="A1364" s="24">
        <v>255149</v>
      </c>
      <c r="B1364" s="25" t="s">
        <v>116</v>
      </c>
      <c r="C1364" s="39" t="str">
        <f t="shared" si="42"/>
        <v>208</v>
      </c>
      <c r="D1364" s="39" t="str">
        <f t="shared" si="43"/>
        <v>20805</v>
      </c>
      <c r="E1364" s="39">
        <f>IF(ISNA(VLOOKUP(F1364,'2020功能科目'!A:B,2,FALSE)),"",VLOOKUP(F1364,'2020功能科目'!A:B,2,FALSE))</f>
        <v>2080505</v>
      </c>
      <c r="F1364" s="25" t="s">
        <v>382</v>
      </c>
      <c r="G1364" s="26">
        <v>2340629.2799999998</v>
      </c>
      <c r="H1364" s="26">
        <v>1994729.15</v>
      </c>
    </row>
    <row r="1365" spans="1:8">
      <c r="A1365" s="24">
        <v>255149</v>
      </c>
      <c r="B1365" s="25" t="s">
        <v>116</v>
      </c>
      <c r="C1365" s="39" t="str">
        <f t="shared" si="42"/>
        <v>208</v>
      </c>
      <c r="D1365" s="39" t="str">
        <f t="shared" si="43"/>
        <v>20805</v>
      </c>
      <c r="E1365" s="39">
        <f>IF(ISNA(VLOOKUP(F1365,'2020功能科目'!A:B,2,FALSE)),"",VLOOKUP(F1365,'2020功能科目'!A:B,2,FALSE))</f>
        <v>2080506</v>
      </c>
      <c r="F1365" s="25" t="s">
        <v>383</v>
      </c>
      <c r="G1365" s="26">
        <v>1170314.6399999999</v>
      </c>
      <c r="H1365" s="26">
        <v>997364.58</v>
      </c>
    </row>
    <row r="1366" spans="1:8">
      <c r="A1366" s="24">
        <v>255149</v>
      </c>
      <c r="B1366" s="25" t="s">
        <v>116</v>
      </c>
      <c r="C1366" s="39" t="str">
        <f t="shared" si="42"/>
        <v>210</v>
      </c>
      <c r="D1366" s="39" t="str">
        <f t="shared" si="43"/>
        <v>21011</v>
      </c>
      <c r="E1366" s="39">
        <f>IF(ISNA(VLOOKUP(F1366,'2020功能科目'!A:B,2,FALSE)),"",VLOOKUP(F1366,'2020功能科目'!A:B,2,FALSE))</f>
        <v>2101102</v>
      </c>
      <c r="F1366" s="25" t="s">
        <v>385</v>
      </c>
      <c r="G1366" s="26">
        <v>1697526.58</v>
      </c>
      <c r="H1366" s="26">
        <v>1620717.44</v>
      </c>
    </row>
    <row r="1367" spans="1:8">
      <c r="A1367" s="24">
        <v>255149</v>
      </c>
      <c r="B1367" s="25" t="s">
        <v>116</v>
      </c>
      <c r="C1367" s="39" t="str">
        <f t="shared" si="42"/>
        <v>210</v>
      </c>
      <c r="D1367" s="39" t="str">
        <f t="shared" si="43"/>
        <v>21011</v>
      </c>
      <c r="E1367" s="39">
        <f>IF(ISNA(VLOOKUP(F1367,'2020功能科目'!A:B,2,FALSE)),"",VLOOKUP(F1367,'2020功能科目'!A:B,2,FALSE))</f>
        <v>2101199</v>
      </c>
      <c r="F1367" s="25" t="s">
        <v>386</v>
      </c>
      <c r="G1367" s="26">
        <v>90000</v>
      </c>
      <c r="H1367" s="26">
        <v>90000</v>
      </c>
    </row>
    <row r="1368" spans="1:8">
      <c r="A1368" s="24">
        <v>255149</v>
      </c>
      <c r="B1368" s="25" t="s">
        <v>116</v>
      </c>
      <c r="C1368" s="39" t="str">
        <f t="shared" si="42"/>
        <v>221</v>
      </c>
      <c r="D1368" s="39" t="str">
        <f t="shared" si="43"/>
        <v>22102</v>
      </c>
      <c r="E1368" s="39">
        <f>IF(ISNA(VLOOKUP(F1368,'2020功能科目'!A:B,2,FALSE)),"",VLOOKUP(F1368,'2020功能科目'!A:B,2,FALSE))</f>
        <v>2210201</v>
      </c>
      <c r="F1368" s="25" t="s">
        <v>387</v>
      </c>
      <c r="G1368" s="26">
        <v>2134275</v>
      </c>
      <c r="H1368" s="26">
        <v>2078046.86</v>
      </c>
    </row>
    <row r="1369" spans="1:8">
      <c r="A1369" s="24">
        <v>255149</v>
      </c>
      <c r="B1369" s="25" t="s">
        <v>116</v>
      </c>
      <c r="C1369" s="39" t="str">
        <f t="shared" si="42"/>
        <v>221</v>
      </c>
      <c r="D1369" s="39" t="str">
        <f t="shared" si="43"/>
        <v>22102</v>
      </c>
      <c r="E1369" s="39">
        <f>IF(ISNA(VLOOKUP(F1369,'2020功能科目'!A:B,2,FALSE)),"",VLOOKUP(F1369,'2020功能科目'!A:B,2,FALSE))</f>
        <v>2210202</v>
      </c>
      <c r="F1369" s="25" t="s">
        <v>388</v>
      </c>
      <c r="G1369" s="26">
        <v>160880</v>
      </c>
      <c r="H1369" s="26">
        <v>162480</v>
      </c>
    </row>
    <row r="1370" spans="1:8">
      <c r="A1370" s="24">
        <v>255149</v>
      </c>
      <c r="B1370" s="25" t="s">
        <v>116</v>
      </c>
      <c r="C1370" s="39" t="str">
        <f t="shared" si="42"/>
        <v>221</v>
      </c>
      <c r="D1370" s="39" t="str">
        <f t="shared" si="43"/>
        <v>22102</v>
      </c>
      <c r="E1370" s="39">
        <f>IF(ISNA(VLOOKUP(F1370,'2020功能科目'!A:B,2,FALSE)),"",VLOOKUP(F1370,'2020功能科目'!A:B,2,FALSE))</f>
        <v>2210203</v>
      </c>
      <c r="F1370" s="25" t="s">
        <v>389</v>
      </c>
      <c r="G1370" s="26">
        <v>2285000</v>
      </c>
      <c r="H1370" s="26">
        <v>2104236</v>
      </c>
    </row>
    <row r="1371" spans="1:8">
      <c r="A1371" s="24">
        <v>255150</v>
      </c>
      <c r="B1371" s="25" t="s">
        <v>117</v>
      </c>
      <c r="C1371" s="39" t="str">
        <f t="shared" si="42"/>
        <v>205</v>
      </c>
      <c r="D1371" s="39" t="str">
        <f t="shared" si="43"/>
        <v>20502</v>
      </c>
      <c r="E1371" s="39">
        <f>IF(ISNA(VLOOKUP(F1371,'2020功能科目'!A:B,2,FALSE)),"",VLOOKUP(F1371,'2020功能科目'!A:B,2,FALSE))</f>
        <v>2050202</v>
      </c>
      <c r="F1371" s="25" t="s">
        <v>375</v>
      </c>
      <c r="G1371" s="26">
        <v>21131864.210000001</v>
      </c>
      <c r="H1371" s="26">
        <v>14328378.390000001</v>
      </c>
    </row>
    <row r="1372" spans="1:8">
      <c r="A1372" s="24">
        <v>255150</v>
      </c>
      <c r="B1372" s="25" t="s">
        <v>117</v>
      </c>
      <c r="C1372" s="39" t="str">
        <f t="shared" si="42"/>
        <v>205</v>
      </c>
      <c r="D1372" s="39" t="str">
        <f t="shared" si="43"/>
        <v>20502</v>
      </c>
      <c r="E1372" s="39">
        <f>IF(ISNA(VLOOKUP(F1372,'2020功能科目'!A:B,2,FALSE)),"",VLOOKUP(F1372,'2020功能科目'!A:B,2,FALSE))</f>
        <v>2050299</v>
      </c>
      <c r="F1372" s="25" t="s">
        <v>377</v>
      </c>
      <c r="G1372" s="26">
        <v>87700</v>
      </c>
      <c r="H1372" s="26">
        <v>0</v>
      </c>
    </row>
    <row r="1373" spans="1:8">
      <c r="A1373" s="24">
        <v>255150</v>
      </c>
      <c r="B1373" s="25" t="s">
        <v>117</v>
      </c>
      <c r="C1373" s="39" t="str">
        <f t="shared" si="42"/>
        <v>205</v>
      </c>
      <c r="D1373" s="39" t="str">
        <f t="shared" si="43"/>
        <v>20508</v>
      </c>
      <c r="E1373" s="39">
        <f>IF(ISNA(VLOOKUP(F1373,'2020功能科目'!A:B,2,FALSE)),"",VLOOKUP(F1373,'2020功能科目'!A:B,2,FALSE))</f>
        <v>2050803</v>
      </c>
      <c r="F1373" s="25" t="s">
        <v>378</v>
      </c>
      <c r="G1373" s="26">
        <v>3400</v>
      </c>
      <c r="H1373" s="26">
        <v>46400</v>
      </c>
    </row>
    <row r="1374" spans="1:8">
      <c r="A1374" s="24">
        <v>255150</v>
      </c>
      <c r="B1374" s="25" t="s">
        <v>117</v>
      </c>
      <c r="C1374" s="39" t="str">
        <f t="shared" si="42"/>
        <v>205</v>
      </c>
      <c r="D1374" s="39" t="str">
        <f t="shared" si="43"/>
        <v>20509</v>
      </c>
      <c r="E1374" s="39">
        <f>IF(ISNA(VLOOKUP(F1374,'2020功能科目'!A:B,2,FALSE)),"",VLOOKUP(F1374,'2020功能科目'!A:B,2,FALSE))</f>
        <v>2050903</v>
      </c>
      <c r="F1374" s="25" t="s">
        <v>379</v>
      </c>
      <c r="G1374" s="26">
        <v>348746.52</v>
      </c>
      <c r="H1374" s="26">
        <v>350000</v>
      </c>
    </row>
    <row r="1375" spans="1:8">
      <c r="A1375" s="24">
        <v>255150</v>
      </c>
      <c r="B1375" s="25" t="s">
        <v>117</v>
      </c>
      <c r="C1375" s="39" t="str">
        <f t="shared" si="42"/>
        <v>205</v>
      </c>
      <c r="D1375" s="39" t="str">
        <f t="shared" si="43"/>
        <v>20509</v>
      </c>
      <c r="E1375" s="39">
        <f>IF(ISNA(VLOOKUP(F1375,'2020功能科目'!A:B,2,FALSE)),"",VLOOKUP(F1375,'2020功能科目'!A:B,2,FALSE))</f>
        <v>2050904</v>
      </c>
      <c r="F1375" s="25" t="s">
        <v>380</v>
      </c>
      <c r="G1375" s="26">
        <v>516632</v>
      </c>
      <c r="H1375" s="26">
        <v>519000</v>
      </c>
    </row>
    <row r="1376" spans="1:8">
      <c r="A1376" s="24">
        <v>255150</v>
      </c>
      <c r="B1376" s="25" t="s">
        <v>117</v>
      </c>
      <c r="C1376" s="39" t="str">
        <f t="shared" si="42"/>
        <v>208</v>
      </c>
      <c r="D1376" s="39" t="str">
        <f t="shared" si="43"/>
        <v>20805</v>
      </c>
      <c r="E1376" s="39">
        <f>IF(ISNA(VLOOKUP(F1376,'2020功能科目'!A:B,2,FALSE)),"",VLOOKUP(F1376,'2020功能科目'!A:B,2,FALSE))</f>
        <v>2080502</v>
      </c>
      <c r="F1376" s="25" t="s">
        <v>381</v>
      </c>
      <c r="G1376" s="26">
        <v>368987.35</v>
      </c>
      <c r="H1376" s="26">
        <v>370688</v>
      </c>
    </row>
    <row r="1377" spans="1:8">
      <c r="A1377" s="24">
        <v>255150</v>
      </c>
      <c r="B1377" s="25" t="s">
        <v>117</v>
      </c>
      <c r="C1377" s="39" t="str">
        <f t="shared" si="42"/>
        <v>208</v>
      </c>
      <c r="D1377" s="39" t="str">
        <f t="shared" si="43"/>
        <v>20805</v>
      </c>
      <c r="E1377" s="39">
        <f>IF(ISNA(VLOOKUP(F1377,'2020功能科目'!A:B,2,FALSE)),"",VLOOKUP(F1377,'2020功能科目'!A:B,2,FALSE))</f>
        <v>2080505</v>
      </c>
      <c r="F1377" s="25" t="s">
        <v>382</v>
      </c>
      <c r="G1377" s="26">
        <v>1568840.96</v>
      </c>
      <c r="H1377" s="26">
        <v>1058988.96</v>
      </c>
    </row>
    <row r="1378" spans="1:8">
      <c r="A1378" s="24">
        <v>255150</v>
      </c>
      <c r="B1378" s="25" t="s">
        <v>117</v>
      </c>
      <c r="C1378" s="39" t="str">
        <f t="shared" si="42"/>
        <v>208</v>
      </c>
      <c r="D1378" s="39" t="str">
        <f t="shared" si="43"/>
        <v>20805</v>
      </c>
      <c r="E1378" s="39">
        <f>IF(ISNA(VLOOKUP(F1378,'2020功能科目'!A:B,2,FALSE)),"",VLOOKUP(F1378,'2020功能科目'!A:B,2,FALSE))</f>
        <v>2080506</v>
      </c>
      <c r="F1378" s="25" t="s">
        <v>383</v>
      </c>
      <c r="G1378" s="26">
        <v>796875.52</v>
      </c>
      <c r="H1378" s="26">
        <v>529494.48</v>
      </c>
    </row>
    <row r="1379" spans="1:8">
      <c r="A1379" s="24">
        <v>255150</v>
      </c>
      <c r="B1379" s="25" t="s">
        <v>117</v>
      </c>
      <c r="C1379" s="39" t="str">
        <f t="shared" si="42"/>
        <v>210</v>
      </c>
      <c r="D1379" s="39" t="str">
        <f t="shared" si="43"/>
        <v>21011</v>
      </c>
      <c r="E1379" s="39">
        <f>IF(ISNA(VLOOKUP(F1379,'2020功能科目'!A:B,2,FALSE)),"",VLOOKUP(F1379,'2020功能科目'!A:B,2,FALSE))</f>
        <v>2101102</v>
      </c>
      <c r="F1379" s="25" t="s">
        <v>385</v>
      </c>
      <c r="G1379" s="26">
        <v>1634471.53</v>
      </c>
      <c r="H1379" s="26">
        <v>860428.53</v>
      </c>
    </row>
    <row r="1380" spans="1:8">
      <c r="A1380" s="24">
        <v>255150</v>
      </c>
      <c r="B1380" s="25" t="s">
        <v>117</v>
      </c>
      <c r="C1380" s="39" t="str">
        <f t="shared" si="42"/>
        <v>221</v>
      </c>
      <c r="D1380" s="39" t="str">
        <f t="shared" si="43"/>
        <v>22102</v>
      </c>
      <c r="E1380" s="39">
        <f>IF(ISNA(VLOOKUP(F1380,'2020功能科目'!A:B,2,FALSE)),"",VLOOKUP(F1380,'2020功能科目'!A:B,2,FALSE))</f>
        <v>2210201</v>
      </c>
      <c r="F1380" s="25" t="s">
        <v>387</v>
      </c>
      <c r="G1380" s="26">
        <v>1296624</v>
      </c>
      <c r="H1380" s="26">
        <v>1142241.72</v>
      </c>
    </row>
    <row r="1381" spans="1:8">
      <c r="A1381" s="24">
        <v>255150</v>
      </c>
      <c r="B1381" s="25" t="s">
        <v>117</v>
      </c>
      <c r="C1381" s="39" t="str">
        <f t="shared" si="42"/>
        <v>221</v>
      </c>
      <c r="D1381" s="39" t="str">
        <f t="shared" si="43"/>
        <v>22102</v>
      </c>
      <c r="E1381" s="39">
        <f>IF(ISNA(VLOOKUP(F1381,'2020功能科目'!A:B,2,FALSE)),"",VLOOKUP(F1381,'2020功能科目'!A:B,2,FALSE))</f>
        <v>2210202</v>
      </c>
      <c r="F1381" s="25" t="s">
        <v>388</v>
      </c>
      <c r="G1381" s="26">
        <v>75070</v>
      </c>
      <c r="H1381" s="26">
        <v>84960</v>
      </c>
    </row>
    <row r="1382" spans="1:8">
      <c r="A1382" s="24">
        <v>255150</v>
      </c>
      <c r="B1382" s="25" t="s">
        <v>117</v>
      </c>
      <c r="C1382" s="39" t="str">
        <f t="shared" si="42"/>
        <v>221</v>
      </c>
      <c r="D1382" s="39" t="str">
        <f t="shared" si="43"/>
        <v>22102</v>
      </c>
      <c r="E1382" s="39">
        <f>IF(ISNA(VLOOKUP(F1382,'2020功能科目'!A:B,2,FALSE)),"",VLOOKUP(F1382,'2020功能科目'!A:B,2,FALSE))</f>
        <v>2210203</v>
      </c>
      <c r="F1382" s="25" t="s">
        <v>389</v>
      </c>
      <c r="G1382" s="26">
        <v>1337361</v>
      </c>
      <c r="H1382" s="26">
        <v>1418628</v>
      </c>
    </row>
    <row r="1383" spans="1:8">
      <c r="A1383" s="24">
        <v>255151</v>
      </c>
      <c r="B1383" s="25" t="s">
        <v>118</v>
      </c>
      <c r="C1383" s="39" t="str">
        <f t="shared" si="42"/>
        <v>205</v>
      </c>
      <c r="D1383" s="39" t="str">
        <f t="shared" si="43"/>
        <v>20502</v>
      </c>
      <c r="E1383" s="39">
        <f>IF(ISNA(VLOOKUP(F1383,'2020功能科目'!A:B,2,FALSE)),"",VLOOKUP(F1383,'2020功能科目'!A:B,2,FALSE))</f>
        <v>2050202</v>
      </c>
      <c r="F1383" s="25" t="s">
        <v>375</v>
      </c>
      <c r="G1383" s="26">
        <v>44380388.020000003</v>
      </c>
      <c r="H1383" s="26">
        <v>32766939.850000001</v>
      </c>
    </row>
    <row r="1384" spans="1:8">
      <c r="A1384" s="24">
        <v>255151</v>
      </c>
      <c r="B1384" s="25" t="s">
        <v>118</v>
      </c>
      <c r="C1384" s="39" t="str">
        <f t="shared" si="42"/>
        <v>205</v>
      </c>
      <c r="D1384" s="39" t="str">
        <f t="shared" si="43"/>
        <v>20508</v>
      </c>
      <c r="E1384" s="39">
        <f>IF(ISNA(VLOOKUP(F1384,'2020功能科目'!A:B,2,FALSE)),"",VLOOKUP(F1384,'2020功能科目'!A:B,2,FALSE))</f>
        <v>2050803</v>
      </c>
      <c r="F1384" s="25" t="s">
        <v>378</v>
      </c>
      <c r="G1384" s="26">
        <v>0</v>
      </c>
      <c r="H1384" s="26">
        <v>105600</v>
      </c>
    </row>
    <row r="1385" spans="1:8">
      <c r="A1385" s="24">
        <v>255151</v>
      </c>
      <c r="B1385" s="25" t="s">
        <v>118</v>
      </c>
      <c r="C1385" s="39" t="str">
        <f t="shared" si="42"/>
        <v>205</v>
      </c>
      <c r="D1385" s="39" t="str">
        <f t="shared" si="43"/>
        <v>20509</v>
      </c>
      <c r="E1385" s="39">
        <f>IF(ISNA(VLOOKUP(F1385,'2020功能科目'!A:B,2,FALSE)),"",VLOOKUP(F1385,'2020功能科目'!A:B,2,FALSE))</f>
        <v>2050903</v>
      </c>
      <c r="F1385" s="25" t="s">
        <v>379</v>
      </c>
      <c r="G1385" s="26">
        <v>277381.84000000003</v>
      </c>
      <c r="H1385" s="26">
        <v>400000</v>
      </c>
    </row>
    <row r="1386" spans="1:8">
      <c r="A1386" s="24">
        <v>255151</v>
      </c>
      <c r="B1386" s="25" t="s">
        <v>118</v>
      </c>
      <c r="C1386" s="39" t="str">
        <f t="shared" si="42"/>
        <v>205</v>
      </c>
      <c r="D1386" s="39" t="str">
        <f t="shared" si="43"/>
        <v>20509</v>
      </c>
      <c r="E1386" s="39">
        <f>IF(ISNA(VLOOKUP(F1386,'2020功能科目'!A:B,2,FALSE)),"",VLOOKUP(F1386,'2020功能科目'!A:B,2,FALSE))</f>
        <v>2050904</v>
      </c>
      <c r="F1386" s="25" t="s">
        <v>380</v>
      </c>
      <c r="G1386" s="26">
        <v>675150</v>
      </c>
      <c r="H1386" s="26">
        <v>682500</v>
      </c>
    </row>
    <row r="1387" spans="1:8">
      <c r="A1387" s="24">
        <v>255151</v>
      </c>
      <c r="B1387" s="25" t="s">
        <v>118</v>
      </c>
      <c r="C1387" s="39" t="str">
        <f t="shared" si="42"/>
        <v>208</v>
      </c>
      <c r="D1387" s="39" t="str">
        <f t="shared" si="43"/>
        <v>20805</v>
      </c>
      <c r="E1387" s="39">
        <f>IF(ISNA(VLOOKUP(F1387,'2020功能科目'!A:B,2,FALSE)),"",VLOOKUP(F1387,'2020功能科目'!A:B,2,FALSE))</f>
        <v>2080502</v>
      </c>
      <c r="F1387" s="25" t="s">
        <v>381</v>
      </c>
      <c r="G1387" s="26">
        <v>1225943</v>
      </c>
      <c r="H1387" s="26">
        <v>1089079</v>
      </c>
    </row>
    <row r="1388" spans="1:8">
      <c r="A1388" s="24">
        <v>255151</v>
      </c>
      <c r="B1388" s="25" t="s">
        <v>118</v>
      </c>
      <c r="C1388" s="39" t="str">
        <f t="shared" si="42"/>
        <v>208</v>
      </c>
      <c r="D1388" s="39" t="str">
        <f t="shared" si="43"/>
        <v>20805</v>
      </c>
      <c r="E1388" s="39">
        <f>IF(ISNA(VLOOKUP(F1388,'2020功能科目'!A:B,2,FALSE)),"",VLOOKUP(F1388,'2020功能科目'!A:B,2,FALSE))</f>
        <v>2080505</v>
      </c>
      <c r="F1388" s="25" t="s">
        <v>382</v>
      </c>
      <c r="G1388" s="26">
        <v>2581000</v>
      </c>
      <c r="H1388" s="26">
        <v>2488511.36</v>
      </c>
    </row>
    <row r="1389" spans="1:8">
      <c r="A1389" s="24">
        <v>255151</v>
      </c>
      <c r="B1389" s="25" t="s">
        <v>118</v>
      </c>
      <c r="C1389" s="39" t="str">
        <f t="shared" si="42"/>
        <v>208</v>
      </c>
      <c r="D1389" s="39" t="str">
        <f t="shared" si="43"/>
        <v>20805</v>
      </c>
      <c r="E1389" s="39">
        <f>IF(ISNA(VLOOKUP(F1389,'2020功能科目'!A:B,2,FALSE)),"",VLOOKUP(F1389,'2020功能科目'!A:B,2,FALSE))</f>
        <v>2080506</v>
      </c>
      <c r="F1389" s="25" t="s">
        <v>383</v>
      </c>
      <c r="G1389" s="26">
        <v>1291000</v>
      </c>
      <c r="H1389" s="26">
        <v>1244255.68</v>
      </c>
    </row>
    <row r="1390" spans="1:8">
      <c r="A1390" s="24">
        <v>255151</v>
      </c>
      <c r="B1390" s="25" t="s">
        <v>118</v>
      </c>
      <c r="C1390" s="39" t="str">
        <f t="shared" si="42"/>
        <v>210</v>
      </c>
      <c r="D1390" s="39" t="str">
        <f t="shared" si="43"/>
        <v>21011</v>
      </c>
      <c r="E1390" s="39">
        <f>IF(ISNA(VLOOKUP(F1390,'2020功能科目'!A:B,2,FALSE)),"",VLOOKUP(F1390,'2020功能科目'!A:B,2,FALSE))</f>
        <v>2101102</v>
      </c>
      <c r="F1390" s="25" t="s">
        <v>385</v>
      </c>
      <c r="G1390" s="26">
        <v>2212000</v>
      </c>
      <c r="H1390" s="26">
        <v>2021915.48</v>
      </c>
    </row>
    <row r="1391" spans="1:8">
      <c r="A1391" s="24">
        <v>255151</v>
      </c>
      <c r="B1391" s="25" t="s">
        <v>118</v>
      </c>
      <c r="C1391" s="39" t="str">
        <f t="shared" si="42"/>
        <v>210</v>
      </c>
      <c r="D1391" s="39" t="str">
        <f t="shared" si="43"/>
        <v>21011</v>
      </c>
      <c r="E1391" s="39">
        <f>IF(ISNA(VLOOKUP(F1391,'2020功能科目'!A:B,2,FALSE)),"",VLOOKUP(F1391,'2020功能科目'!A:B,2,FALSE))</f>
        <v>2101199</v>
      </c>
      <c r="F1391" s="25" t="s">
        <v>386</v>
      </c>
      <c r="G1391" s="26">
        <v>180000</v>
      </c>
      <c r="H1391" s="26">
        <v>180000</v>
      </c>
    </row>
    <row r="1392" spans="1:8">
      <c r="A1392" s="24">
        <v>255151</v>
      </c>
      <c r="B1392" s="25" t="s">
        <v>118</v>
      </c>
      <c r="C1392" s="39" t="str">
        <f t="shared" si="42"/>
        <v>221</v>
      </c>
      <c r="D1392" s="39" t="str">
        <f t="shared" si="43"/>
        <v>22102</v>
      </c>
      <c r="E1392" s="39">
        <f>IF(ISNA(VLOOKUP(F1392,'2020功能科目'!A:B,2,FALSE)),"",VLOOKUP(F1392,'2020功能科目'!A:B,2,FALSE))</f>
        <v>2210201</v>
      </c>
      <c r="F1392" s="25" t="s">
        <v>387</v>
      </c>
      <c r="G1392" s="26">
        <v>2904821</v>
      </c>
      <c r="H1392" s="26">
        <v>2658383.52</v>
      </c>
    </row>
    <row r="1393" spans="1:8">
      <c r="A1393" s="24">
        <v>255151</v>
      </c>
      <c r="B1393" s="25" t="s">
        <v>118</v>
      </c>
      <c r="C1393" s="39" t="str">
        <f t="shared" si="42"/>
        <v>221</v>
      </c>
      <c r="D1393" s="39" t="str">
        <f t="shared" si="43"/>
        <v>22102</v>
      </c>
      <c r="E1393" s="39">
        <f>IF(ISNA(VLOOKUP(F1393,'2020功能科目'!A:B,2,FALSE)),"",VLOOKUP(F1393,'2020功能科目'!A:B,2,FALSE))</f>
        <v>2210202</v>
      </c>
      <c r="F1393" s="25" t="s">
        <v>388</v>
      </c>
      <c r="G1393" s="26">
        <v>178420</v>
      </c>
      <c r="H1393" s="26">
        <v>179220</v>
      </c>
    </row>
    <row r="1394" spans="1:8">
      <c r="A1394" s="24">
        <v>255151</v>
      </c>
      <c r="B1394" s="25" t="s">
        <v>118</v>
      </c>
      <c r="C1394" s="39" t="str">
        <f t="shared" si="42"/>
        <v>221</v>
      </c>
      <c r="D1394" s="39" t="str">
        <f t="shared" si="43"/>
        <v>22102</v>
      </c>
      <c r="E1394" s="39">
        <f>IF(ISNA(VLOOKUP(F1394,'2020功能科目'!A:B,2,FALSE)),"",VLOOKUP(F1394,'2020功能科目'!A:B,2,FALSE))</f>
        <v>2210203</v>
      </c>
      <c r="F1394" s="25" t="s">
        <v>389</v>
      </c>
      <c r="G1394" s="26">
        <v>3207061</v>
      </c>
      <c r="H1394" s="26">
        <v>2958564</v>
      </c>
    </row>
    <row r="1395" spans="1:8">
      <c r="A1395" s="24">
        <v>255152</v>
      </c>
      <c r="B1395" s="25" t="s">
        <v>119</v>
      </c>
      <c r="C1395" s="39" t="str">
        <f t="shared" si="42"/>
        <v>205</v>
      </c>
      <c r="D1395" s="39" t="str">
        <f t="shared" si="43"/>
        <v>20502</v>
      </c>
      <c r="E1395" s="39">
        <f>IF(ISNA(VLOOKUP(F1395,'2020功能科目'!A:B,2,FALSE)),"",VLOOKUP(F1395,'2020功能科目'!A:B,2,FALSE))</f>
        <v>2050202</v>
      </c>
      <c r="F1395" s="25" t="s">
        <v>375</v>
      </c>
      <c r="G1395" s="26">
        <v>37020339.109999999</v>
      </c>
      <c r="H1395" s="26">
        <v>26701991.66</v>
      </c>
    </row>
    <row r="1396" spans="1:8">
      <c r="A1396" s="24">
        <v>255152</v>
      </c>
      <c r="B1396" s="25" t="s">
        <v>119</v>
      </c>
      <c r="C1396" s="39" t="str">
        <f t="shared" si="42"/>
        <v>205</v>
      </c>
      <c r="D1396" s="39" t="str">
        <f t="shared" si="43"/>
        <v>20502</v>
      </c>
      <c r="E1396" s="39">
        <f>IF(ISNA(VLOOKUP(F1396,'2020功能科目'!A:B,2,FALSE)),"",VLOOKUP(F1396,'2020功能科目'!A:B,2,FALSE))</f>
        <v>2050299</v>
      </c>
      <c r="F1396" s="25" t="s">
        <v>377</v>
      </c>
      <c r="G1396" s="26">
        <v>74533.41</v>
      </c>
      <c r="H1396" s="26">
        <v>0</v>
      </c>
    </row>
    <row r="1397" spans="1:8">
      <c r="A1397" s="24">
        <v>255152</v>
      </c>
      <c r="B1397" s="25" t="s">
        <v>119</v>
      </c>
      <c r="C1397" s="39" t="str">
        <f t="shared" si="42"/>
        <v>205</v>
      </c>
      <c r="D1397" s="39" t="str">
        <f t="shared" si="43"/>
        <v>20508</v>
      </c>
      <c r="E1397" s="39">
        <f>IF(ISNA(VLOOKUP(F1397,'2020功能科目'!A:B,2,FALSE)),"",VLOOKUP(F1397,'2020功能科目'!A:B,2,FALSE))</f>
        <v>2050803</v>
      </c>
      <c r="F1397" s="25" t="s">
        <v>378</v>
      </c>
      <c r="G1397" s="26">
        <v>15650</v>
      </c>
      <c r="H1397" s="26">
        <v>81600</v>
      </c>
    </row>
    <row r="1398" spans="1:8">
      <c r="A1398" s="24">
        <v>255152</v>
      </c>
      <c r="B1398" s="25" t="s">
        <v>119</v>
      </c>
      <c r="C1398" s="39" t="str">
        <f t="shared" si="42"/>
        <v>205</v>
      </c>
      <c r="D1398" s="39" t="str">
        <f t="shared" si="43"/>
        <v>20509</v>
      </c>
      <c r="E1398" s="39">
        <f>IF(ISNA(VLOOKUP(F1398,'2020功能科目'!A:B,2,FALSE)),"",VLOOKUP(F1398,'2020功能科目'!A:B,2,FALSE))</f>
        <v>2050903</v>
      </c>
      <c r="F1398" s="25" t="s">
        <v>379</v>
      </c>
      <c r="G1398" s="26">
        <v>0</v>
      </c>
      <c r="H1398" s="26">
        <v>1000000</v>
      </c>
    </row>
    <row r="1399" spans="1:8">
      <c r="A1399" s="24">
        <v>255152</v>
      </c>
      <c r="B1399" s="25" t="s">
        <v>119</v>
      </c>
      <c r="C1399" s="39" t="str">
        <f t="shared" si="42"/>
        <v>205</v>
      </c>
      <c r="D1399" s="39" t="str">
        <f t="shared" si="43"/>
        <v>20509</v>
      </c>
      <c r="E1399" s="39">
        <f>IF(ISNA(VLOOKUP(F1399,'2020功能科目'!A:B,2,FALSE)),"",VLOOKUP(F1399,'2020功能科目'!A:B,2,FALSE))</f>
        <v>2050904</v>
      </c>
      <c r="F1399" s="25" t="s">
        <v>380</v>
      </c>
      <c r="G1399" s="26">
        <v>177540.9</v>
      </c>
      <c r="H1399" s="26">
        <v>179598</v>
      </c>
    </row>
    <row r="1400" spans="1:8">
      <c r="A1400" s="24">
        <v>255152</v>
      </c>
      <c r="B1400" s="25" t="s">
        <v>119</v>
      </c>
      <c r="C1400" s="39" t="str">
        <f t="shared" si="42"/>
        <v>208</v>
      </c>
      <c r="D1400" s="39" t="str">
        <f t="shared" si="43"/>
        <v>20805</v>
      </c>
      <c r="E1400" s="39">
        <f>IF(ISNA(VLOOKUP(F1400,'2020功能科目'!A:B,2,FALSE)),"",VLOOKUP(F1400,'2020功能科目'!A:B,2,FALSE))</f>
        <v>2080502</v>
      </c>
      <c r="F1400" s="25" t="s">
        <v>381</v>
      </c>
      <c r="G1400" s="26">
        <v>837362.2</v>
      </c>
      <c r="H1400" s="26">
        <v>710454</v>
      </c>
    </row>
    <row r="1401" spans="1:8">
      <c r="A1401" s="24">
        <v>255152</v>
      </c>
      <c r="B1401" s="25" t="s">
        <v>119</v>
      </c>
      <c r="C1401" s="39" t="str">
        <f t="shared" si="42"/>
        <v>208</v>
      </c>
      <c r="D1401" s="39" t="str">
        <f t="shared" si="43"/>
        <v>20805</v>
      </c>
      <c r="E1401" s="39">
        <f>IF(ISNA(VLOOKUP(F1401,'2020功能科目'!A:B,2,FALSE)),"",VLOOKUP(F1401,'2020功能科目'!A:B,2,FALSE))</f>
        <v>2080505</v>
      </c>
      <c r="F1401" s="25" t="s">
        <v>382</v>
      </c>
      <c r="G1401" s="26">
        <v>2268020.3199999998</v>
      </c>
      <c r="H1401" s="26">
        <v>2130842.2400000002</v>
      </c>
    </row>
    <row r="1402" spans="1:8">
      <c r="A1402" s="24">
        <v>255152</v>
      </c>
      <c r="B1402" s="25" t="s">
        <v>119</v>
      </c>
      <c r="C1402" s="39" t="str">
        <f t="shared" si="42"/>
        <v>208</v>
      </c>
      <c r="D1402" s="39" t="str">
        <f t="shared" si="43"/>
        <v>20805</v>
      </c>
      <c r="E1402" s="39">
        <f>IF(ISNA(VLOOKUP(F1402,'2020功能科目'!A:B,2,FALSE)),"",VLOOKUP(F1402,'2020功能科目'!A:B,2,FALSE))</f>
        <v>2080506</v>
      </c>
      <c r="F1402" s="25" t="s">
        <v>383</v>
      </c>
      <c r="G1402" s="26">
        <v>1134010.1599999999</v>
      </c>
      <c r="H1402" s="26">
        <v>1065421.1200000001</v>
      </c>
    </row>
    <row r="1403" spans="1:8">
      <c r="A1403" s="24">
        <v>255152</v>
      </c>
      <c r="B1403" s="25" t="s">
        <v>119</v>
      </c>
      <c r="C1403" s="39" t="str">
        <f t="shared" si="42"/>
        <v>210</v>
      </c>
      <c r="D1403" s="39" t="str">
        <f t="shared" si="43"/>
        <v>21011</v>
      </c>
      <c r="E1403" s="39">
        <f>IF(ISNA(VLOOKUP(F1403,'2020功能科目'!A:B,2,FALSE)),"",VLOOKUP(F1403,'2020功能科目'!A:B,2,FALSE))</f>
        <v>2101102</v>
      </c>
      <c r="F1403" s="25" t="s">
        <v>385</v>
      </c>
      <c r="G1403" s="26">
        <v>2173540.33</v>
      </c>
      <c r="H1403" s="26">
        <v>1731309.32</v>
      </c>
    </row>
    <row r="1404" spans="1:8">
      <c r="A1404" s="24">
        <v>255152</v>
      </c>
      <c r="B1404" s="25" t="s">
        <v>119</v>
      </c>
      <c r="C1404" s="39" t="str">
        <f t="shared" si="42"/>
        <v>221</v>
      </c>
      <c r="D1404" s="39" t="str">
        <f t="shared" si="43"/>
        <v>22102</v>
      </c>
      <c r="E1404" s="39">
        <f>IF(ISNA(VLOOKUP(F1404,'2020功能科目'!A:B,2,FALSE)),"",VLOOKUP(F1404,'2020功能科目'!A:B,2,FALSE))</f>
        <v>2210201</v>
      </c>
      <c r="F1404" s="25" t="s">
        <v>387</v>
      </c>
      <c r="G1404" s="26">
        <v>2367800</v>
      </c>
      <c r="H1404" s="26">
        <v>2210131.6800000002</v>
      </c>
    </row>
    <row r="1405" spans="1:8">
      <c r="A1405" s="24">
        <v>255152</v>
      </c>
      <c r="B1405" s="25" t="s">
        <v>119</v>
      </c>
      <c r="C1405" s="39" t="str">
        <f t="shared" si="42"/>
        <v>221</v>
      </c>
      <c r="D1405" s="39" t="str">
        <f t="shared" si="43"/>
        <v>22102</v>
      </c>
      <c r="E1405" s="39">
        <f>IF(ISNA(VLOOKUP(F1405,'2020功能科目'!A:B,2,FALSE)),"",VLOOKUP(F1405,'2020功能科目'!A:B,2,FALSE))</f>
        <v>2210202</v>
      </c>
      <c r="F1405" s="25" t="s">
        <v>388</v>
      </c>
      <c r="G1405" s="26">
        <v>135260</v>
      </c>
      <c r="H1405" s="26">
        <v>141120</v>
      </c>
    </row>
    <row r="1406" spans="1:8">
      <c r="A1406" s="24">
        <v>255152</v>
      </c>
      <c r="B1406" s="25" t="s">
        <v>119</v>
      </c>
      <c r="C1406" s="39" t="str">
        <f t="shared" si="42"/>
        <v>221</v>
      </c>
      <c r="D1406" s="39" t="str">
        <f t="shared" si="43"/>
        <v>22102</v>
      </c>
      <c r="E1406" s="39">
        <f>IF(ISNA(VLOOKUP(F1406,'2020功能科目'!A:B,2,FALSE)),"",VLOOKUP(F1406,'2020功能科目'!A:B,2,FALSE))</f>
        <v>2210203</v>
      </c>
      <c r="F1406" s="25" t="s">
        <v>389</v>
      </c>
      <c r="G1406" s="26">
        <v>2363655.36</v>
      </c>
      <c r="H1406" s="26">
        <v>2224284</v>
      </c>
    </row>
    <row r="1407" spans="1:8">
      <c r="A1407" s="24">
        <v>255153</v>
      </c>
      <c r="B1407" s="25" t="s">
        <v>120</v>
      </c>
      <c r="C1407" s="39" t="str">
        <f t="shared" si="42"/>
        <v>205</v>
      </c>
      <c r="D1407" s="39" t="str">
        <f t="shared" si="43"/>
        <v>20502</v>
      </c>
      <c r="E1407" s="39">
        <f>IF(ISNA(VLOOKUP(F1407,'2020功能科目'!A:B,2,FALSE)),"",VLOOKUP(F1407,'2020功能科目'!A:B,2,FALSE))</f>
        <v>2050202</v>
      </c>
      <c r="F1407" s="25" t="s">
        <v>375</v>
      </c>
      <c r="G1407" s="26">
        <v>15800114.300000001</v>
      </c>
      <c r="H1407" s="26">
        <v>12538143.390000001</v>
      </c>
    </row>
    <row r="1408" spans="1:8">
      <c r="A1408" s="24">
        <v>255153</v>
      </c>
      <c r="B1408" s="25" t="s">
        <v>120</v>
      </c>
      <c r="C1408" s="39" t="str">
        <f t="shared" si="42"/>
        <v>205</v>
      </c>
      <c r="D1408" s="39" t="str">
        <f t="shared" si="43"/>
        <v>20508</v>
      </c>
      <c r="E1408" s="39">
        <f>IF(ISNA(VLOOKUP(F1408,'2020功能科目'!A:B,2,FALSE)),"",VLOOKUP(F1408,'2020功能科目'!A:B,2,FALSE))</f>
        <v>2050803</v>
      </c>
      <c r="F1408" s="25" t="s">
        <v>378</v>
      </c>
      <c r="G1408" s="26">
        <v>0</v>
      </c>
      <c r="H1408" s="26">
        <v>38400</v>
      </c>
    </row>
    <row r="1409" spans="1:8">
      <c r="A1409" s="24">
        <v>255153</v>
      </c>
      <c r="B1409" s="25" t="s">
        <v>120</v>
      </c>
      <c r="C1409" s="39" t="str">
        <f t="shared" si="42"/>
        <v>205</v>
      </c>
      <c r="D1409" s="39" t="str">
        <f t="shared" si="43"/>
        <v>20509</v>
      </c>
      <c r="E1409" s="39">
        <f>IF(ISNA(VLOOKUP(F1409,'2020功能科目'!A:B,2,FALSE)),"",VLOOKUP(F1409,'2020功能科目'!A:B,2,FALSE))</f>
        <v>2050903</v>
      </c>
      <c r="F1409" s="25" t="s">
        <v>379</v>
      </c>
      <c r="G1409" s="26">
        <v>539305.65</v>
      </c>
      <c r="H1409" s="26">
        <v>750000</v>
      </c>
    </row>
    <row r="1410" spans="1:8">
      <c r="A1410" s="24">
        <v>255153</v>
      </c>
      <c r="B1410" s="25" t="s">
        <v>120</v>
      </c>
      <c r="C1410" s="39" t="str">
        <f t="shared" si="42"/>
        <v>205</v>
      </c>
      <c r="D1410" s="39" t="str">
        <f t="shared" si="43"/>
        <v>20509</v>
      </c>
      <c r="E1410" s="39">
        <f>IF(ISNA(VLOOKUP(F1410,'2020功能科目'!A:B,2,FALSE)),"",VLOOKUP(F1410,'2020功能科目'!A:B,2,FALSE))</f>
        <v>2050904</v>
      </c>
      <c r="F1410" s="25" t="s">
        <v>380</v>
      </c>
      <c r="G1410" s="26">
        <v>286000</v>
      </c>
      <c r="H1410" s="26">
        <v>286000</v>
      </c>
    </row>
    <row r="1411" spans="1:8">
      <c r="A1411" s="24">
        <v>255153</v>
      </c>
      <c r="B1411" s="25" t="s">
        <v>120</v>
      </c>
      <c r="C1411" s="39" t="str">
        <f t="shared" ref="C1411:C1474" si="44">LEFT(D1411,3)</f>
        <v>208</v>
      </c>
      <c r="D1411" s="39" t="str">
        <f t="shared" ref="D1411:D1474" si="45">LEFT(E1411,5)</f>
        <v>20805</v>
      </c>
      <c r="E1411" s="39">
        <f>IF(ISNA(VLOOKUP(F1411,'2020功能科目'!A:B,2,FALSE)),"",VLOOKUP(F1411,'2020功能科目'!A:B,2,FALSE))</f>
        <v>2080502</v>
      </c>
      <c r="F1411" s="25" t="s">
        <v>381</v>
      </c>
      <c r="G1411" s="26">
        <v>347906</v>
      </c>
      <c r="H1411" s="26">
        <v>327992</v>
      </c>
    </row>
    <row r="1412" spans="1:8">
      <c r="A1412" s="24">
        <v>255153</v>
      </c>
      <c r="B1412" s="25" t="s">
        <v>120</v>
      </c>
      <c r="C1412" s="39" t="str">
        <f t="shared" si="44"/>
        <v>208</v>
      </c>
      <c r="D1412" s="39" t="str">
        <f t="shared" si="45"/>
        <v>20805</v>
      </c>
      <c r="E1412" s="39">
        <f>IF(ISNA(VLOOKUP(F1412,'2020功能科目'!A:B,2,FALSE)),"",VLOOKUP(F1412,'2020功能科目'!A:B,2,FALSE))</f>
        <v>2080505</v>
      </c>
      <c r="F1412" s="25" t="s">
        <v>382</v>
      </c>
      <c r="G1412" s="26">
        <v>1193108.1599999999</v>
      </c>
      <c r="H1412" s="26">
        <v>1422187.52</v>
      </c>
    </row>
    <row r="1413" spans="1:8">
      <c r="A1413" s="24">
        <v>255153</v>
      </c>
      <c r="B1413" s="25" t="s">
        <v>120</v>
      </c>
      <c r="C1413" s="39" t="str">
        <f t="shared" si="44"/>
        <v>208</v>
      </c>
      <c r="D1413" s="39" t="str">
        <f t="shared" si="45"/>
        <v>20805</v>
      </c>
      <c r="E1413" s="39">
        <f>IF(ISNA(VLOOKUP(F1413,'2020功能科目'!A:B,2,FALSE)),"",VLOOKUP(F1413,'2020功能科目'!A:B,2,FALSE))</f>
        <v>2080506</v>
      </c>
      <c r="F1413" s="25" t="s">
        <v>383</v>
      </c>
      <c r="G1413" s="26">
        <v>596554.07999999996</v>
      </c>
      <c r="H1413" s="26">
        <v>711093.76000000001</v>
      </c>
    </row>
    <row r="1414" spans="1:8">
      <c r="A1414" s="24">
        <v>255153</v>
      </c>
      <c r="B1414" s="25" t="s">
        <v>120</v>
      </c>
      <c r="C1414" s="39" t="str">
        <f t="shared" si="44"/>
        <v>210</v>
      </c>
      <c r="D1414" s="39" t="str">
        <f t="shared" si="45"/>
        <v>21011</v>
      </c>
      <c r="E1414" s="39">
        <f>IF(ISNA(VLOOKUP(F1414,'2020功能科目'!A:B,2,FALSE)),"",VLOOKUP(F1414,'2020功能科目'!A:B,2,FALSE))</f>
        <v>2101102</v>
      </c>
      <c r="F1414" s="25" t="s">
        <v>385</v>
      </c>
      <c r="G1414" s="26">
        <v>1062076.95</v>
      </c>
      <c r="H1414" s="26">
        <v>1155527.3600000001</v>
      </c>
    </row>
    <row r="1415" spans="1:8">
      <c r="A1415" s="24">
        <v>255153</v>
      </c>
      <c r="B1415" s="25" t="s">
        <v>120</v>
      </c>
      <c r="C1415" s="39" t="str">
        <f t="shared" si="44"/>
        <v>221</v>
      </c>
      <c r="D1415" s="39" t="str">
        <f t="shared" si="45"/>
        <v>22102</v>
      </c>
      <c r="E1415" s="39">
        <f>IF(ISNA(VLOOKUP(F1415,'2020功能科目'!A:B,2,FALSE)),"",VLOOKUP(F1415,'2020功能科目'!A:B,2,FALSE))</f>
        <v>2210201</v>
      </c>
      <c r="F1415" s="25" t="s">
        <v>387</v>
      </c>
      <c r="G1415" s="26">
        <v>1347908</v>
      </c>
      <c r="H1415" s="26">
        <v>1354640.64</v>
      </c>
    </row>
    <row r="1416" spans="1:8">
      <c r="A1416" s="24">
        <v>255153</v>
      </c>
      <c r="B1416" s="25" t="s">
        <v>120</v>
      </c>
      <c r="C1416" s="39" t="str">
        <f t="shared" si="44"/>
        <v>221</v>
      </c>
      <c r="D1416" s="39" t="str">
        <f t="shared" si="45"/>
        <v>22102</v>
      </c>
      <c r="E1416" s="39">
        <f>IF(ISNA(VLOOKUP(F1416,'2020功能科目'!A:B,2,FALSE)),"",VLOOKUP(F1416,'2020功能科目'!A:B,2,FALSE))</f>
        <v>2210202</v>
      </c>
      <c r="F1416" s="25" t="s">
        <v>388</v>
      </c>
      <c r="G1416" s="26">
        <v>72260</v>
      </c>
      <c r="H1416" s="26">
        <v>72720</v>
      </c>
    </row>
    <row r="1417" spans="1:8">
      <c r="A1417" s="24">
        <v>255153</v>
      </c>
      <c r="B1417" s="25" t="s">
        <v>120</v>
      </c>
      <c r="C1417" s="39" t="str">
        <f t="shared" si="44"/>
        <v>221</v>
      </c>
      <c r="D1417" s="39" t="str">
        <f t="shared" si="45"/>
        <v>22102</v>
      </c>
      <c r="E1417" s="39">
        <f>IF(ISNA(VLOOKUP(F1417,'2020功能科目'!A:B,2,FALSE)),"",VLOOKUP(F1417,'2020功能科目'!A:B,2,FALSE))</f>
        <v>2210203</v>
      </c>
      <c r="F1417" s="25" t="s">
        <v>389</v>
      </c>
      <c r="G1417" s="26">
        <v>1164510</v>
      </c>
      <c r="H1417" s="26">
        <v>1143360</v>
      </c>
    </row>
    <row r="1418" spans="1:8">
      <c r="A1418" s="24">
        <v>255154</v>
      </c>
      <c r="B1418" s="25" t="s">
        <v>121</v>
      </c>
      <c r="C1418" s="39" t="str">
        <f t="shared" si="44"/>
        <v>205</v>
      </c>
      <c r="D1418" s="39" t="str">
        <f t="shared" si="45"/>
        <v>20502</v>
      </c>
      <c r="E1418" s="39">
        <f>IF(ISNA(VLOOKUP(F1418,'2020功能科目'!A:B,2,FALSE)),"",VLOOKUP(F1418,'2020功能科目'!A:B,2,FALSE))</f>
        <v>2050202</v>
      </c>
      <c r="F1418" s="25" t="s">
        <v>375</v>
      </c>
      <c r="G1418" s="26">
        <v>20479047.600000001</v>
      </c>
      <c r="H1418" s="26">
        <v>16164691.27</v>
      </c>
    </row>
    <row r="1419" spans="1:8">
      <c r="A1419" s="24">
        <v>255154</v>
      </c>
      <c r="B1419" s="25" t="s">
        <v>121</v>
      </c>
      <c r="C1419" s="39" t="str">
        <f t="shared" si="44"/>
        <v>205</v>
      </c>
      <c r="D1419" s="39" t="str">
        <f t="shared" si="45"/>
        <v>20502</v>
      </c>
      <c r="E1419" s="39">
        <f>IF(ISNA(VLOOKUP(F1419,'2020功能科目'!A:B,2,FALSE)),"",VLOOKUP(F1419,'2020功能科目'!A:B,2,FALSE))</f>
        <v>2050299</v>
      </c>
      <c r="F1419" s="25" t="s">
        <v>377</v>
      </c>
      <c r="G1419" s="26">
        <v>0</v>
      </c>
      <c r="H1419" s="26">
        <v>0</v>
      </c>
    </row>
    <row r="1420" spans="1:8">
      <c r="A1420" s="24">
        <v>255154</v>
      </c>
      <c r="B1420" s="25" t="s">
        <v>121</v>
      </c>
      <c r="C1420" s="39" t="str">
        <f t="shared" si="44"/>
        <v>205</v>
      </c>
      <c r="D1420" s="39" t="str">
        <f t="shared" si="45"/>
        <v>20508</v>
      </c>
      <c r="E1420" s="39">
        <f>IF(ISNA(VLOOKUP(F1420,'2020功能科目'!A:B,2,FALSE)),"",VLOOKUP(F1420,'2020功能科目'!A:B,2,FALSE))</f>
        <v>2050803</v>
      </c>
      <c r="F1420" s="25" t="s">
        <v>378</v>
      </c>
      <c r="G1420" s="26">
        <v>20238.09</v>
      </c>
      <c r="H1420" s="26">
        <v>46400</v>
      </c>
    </row>
    <row r="1421" spans="1:8">
      <c r="A1421" s="24">
        <v>255154</v>
      </c>
      <c r="B1421" s="25" t="s">
        <v>121</v>
      </c>
      <c r="C1421" s="39" t="str">
        <f t="shared" si="44"/>
        <v>205</v>
      </c>
      <c r="D1421" s="39" t="str">
        <f t="shared" si="45"/>
        <v>20509</v>
      </c>
      <c r="E1421" s="39">
        <f>IF(ISNA(VLOOKUP(F1421,'2020功能科目'!A:B,2,FALSE)),"",VLOOKUP(F1421,'2020功能科目'!A:B,2,FALSE))</f>
        <v>2050904</v>
      </c>
      <c r="F1421" s="25" t="s">
        <v>380</v>
      </c>
      <c r="G1421" s="26">
        <v>603636</v>
      </c>
      <c r="H1421" s="26">
        <v>603636</v>
      </c>
    </row>
    <row r="1422" spans="1:8">
      <c r="A1422" s="24">
        <v>255154</v>
      </c>
      <c r="B1422" s="25" t="s">
        <v>121</v>
      </c>
      <c r="C1422" s="39" t="str">
        <f t="shared" si="44"/>
        <v>208</v>
      </c>
      <c r="D1422" s="39" t="str">
        <f t="shared" si="45"/>
        <v>20805</v>
      </c>
      <c r="E1422" s="39">
        <f>IF(ISNA(VLOOKUP(F1422,'2020功能科目'!A:B,2,FALSE)),"",VLOOKUP(F1422,'2020功能科目'!A:B,2,FALSE))</f>
        <v>2080502</v>
      </c>
      <c r="F1422" s="25" t="s">
        <v>381</v>
      </c>
      <c r="G1422" s="26">
        <v>567996.68000000005</v>
      </c>
      <c r="H1422" s="26">
        <v>419596</v>
      </c>
    </row>
    <row r="1423" spans="1:8">
      <c r="A1423" s="24">
        <v>255154</v>
      </c>
      <c r="B1423" s="25" t="s">
        <v>121</v>
      </c>
      <c r="C1423" s="39" t="str">
        <f t="shared" si="44"/>
        <v>208</v>
      </c>
      <c r="D1423" s="39" t="str">
        <f t="shared" si="45"/>
        <v>20805</v>
      </c>
      <c r="E1423" s="39">
        <f>IF(ISNA(VLOOKUP(F1423,'2020功能科目'!A:B,2,FALSE)),"",VLOOKUP(F1423,'2020功能科目'!A:B,2,FALSE))</f>
        <v>2080505</v>
      </c>
      <c r="F1423" s="25" t="s">
        <v>382</v>
      </c>
      <c r="G1423" s="26">
        <v>1308829.6299999999</v>
      </c>
      <c r="H1423" s="26">
        <v>1368424.1</v>
      </c>
    </row>
    <row r="1424" spans="1:8">
      <c r="A1424" s="24">
        <v>255154</v>
      </c>
      <c r="B1424" s="25" t="s">
        <v>121</v>
      </c>
      <c r="C1424" s="39" t="str">
        <f t="shared" si="44"/>
        <v>208</v>
      </c>
      <c r="D1424" s="39" t="str">
        <f t="shared" si="45"/>
        <v>20805</v>
      </c>
      <c r="E1424" s="39">
        <f>IF(ISNA(VLOOKUP(F1424,'2020功能科目'!A:B,2,FALSE)),"",VLOOKUP(F1424,'2020功能科目'!A:B,2,FALSE))</f>
        <v>2080506</v>
      </c>
      <c r="F1424" s="25" t="s">
        <v>383</v>
      </c>
      <c r="G1424" s="26">
        <v>654387.36</v>
      </c>
      <c r="H1424" s="26">
        <v>684212.05</v>
      </c>
    </row>
    <row r="1425" spans="1:8">
      <c r="A1425" s="24">
        <v>255154</v>
      </c>
      <c r="B1425" s="25" t="s">
        <v>121</v>
      </c>
      <c r="C1425" s="39" t="str">
        <f t="shared" si="44"/>
        <v>210</v>
      </c>
      <c r="D1425" s="39" t="str">
        <f t="shared" si="45"/>
        <v>21011</v>
      </c>
      <c r="E1425" s="39">
        <f>IF(ISNA(VLOOKUP(F1425,'2020功能科目'!A:B,2,FALSE)),"",VLOOKUP(F1425,'2020功能科目'!A:B,2,FALSE))</f>
        <v>2101102</v>
      </c>
      <c r="F1425" s="25" t="s">
        <v>385</v>
      </c>
      <c r="G1425" s="26">
        <v>1093062.8400000001</v>
      </c>
      <c r="H1425" s="26">
        <v>1111844.58</v>
      </c>
    </row>
    <row r="1426" spans="1:8">
      <c r="A1426" s="24">
        <v>255154</v>
      </c>
      <c r="B1426" s="25" t="s">
        <v>121</v>
      </c>
      <c r="C1426" s="39" t="str">
        <f t="shared" si="44"/>
        <v>221</v>
      </c>
      <c r="D1426" s="39" t="str">
        <f t="shared" si="45"/>
        <v>22102</v>
      </c>
      <c r="E1426" s="39">
        <f>IF(ISNA(VLOOKUP(F1426,'2020功能科目'!A:B,2,FALSE)),"",VLOOKUP(F1426,'2020功能科目'!A:B,2,FALSE))</f>
        <v>2210201</v>
      </c>
      <c r="F1426" s="25" t="s">
        <v>387</v>
      </c>
      <c r="G1426" s="26">
        <v>1409272</v>
      </c>
      <c r="H1426" s="26">
        <v>1374318.08</v>
      </c>
    </row>
    <row r="1427" spans="1:8">
      <c r="A1427" s="24">
        <v>255154</v>
      </c>
      <c r="B1427" s="25" t="s">
        <v>121</v>
      </c>
      <c r="C1427" s="39" t="str">
        <f t="shared" si="44"/>
        <v>221</v>
      </c>
      <c r="D1427" s="39" t="str">
        <f t="shared" si="45"/>
        <v>22102</v>
      </c>
      <c r="E1427" s="39">
        <f>IF(ISNA(VLOOKUP(F1427,'2020功能科目'!A:B,2,FALSE)),"",VLOOKUP(F1427,'2020功能科目'!A:B,2,FALSE))</f>
        <v>2210202</v>
      </c>
      <c r="F1427" s="25" t="s">
        <v>388</v>
      </c>
      <c r="G1427" s="26">
        <v>87520</v>
      </c>
      <c r="H1427" s="26">
        <v>88440</v>
      </c>
    </row>
    <row r="1428" spans="1:8">
      <c r="A1428" s="24">
        <v>255154</v>
      </c>
      <c r="B1428" s="25" t="s">
        <v>121</v>
      </c>
      <c r="C1428" s="39" t="str">
        <f t="shared" si="44"/>
        <v>221</v>
      </c>
      <c r="D1428" s="39" t="str">
        <f t="shared" si="45"/>
        <v>22102</v>
      </c>
      <c r="E1428" s="39">
        <f>IF(ISNA(VLOOKUP(F1428,'2020功能科目'!A:B,2,FALSE)),"",VLOOKUP(F1428,'2020功能科目'!A:B,2,FALSE))</f>
        <v>2210203</v>
      </c>
      <c r="F1428" s="25" t="s">
        <v>389</v>
      </c>
      <c r="G1428" s="26">
        <v>1433157</v>
      </c>
      <c r="H1428" s="26">
        <v>1396332</v>
      </c>
    </row>
    <row r="1429" spans="1:8">
      <c r="A1429" s="24">
        <v>255155</v>
      </c>
      <c r="B1429" s="25" t="s">
        <v>122</v>
      </c>
      <c r="C1429" s="39" t="str">
        <f t="shared" si="44"/>
        <v>205</v>
      </c>
      <c r="D1429" s="39" t="str">
        <f t="shared" si="45"/>
        <v>20502</v>
      </c>
      <c r="E1429" s="39">
        <f>IF(ISNA(VLOOKUP(F1429,'2020功能科目'!A:B,2,FALSE)),"",VLOOKUP(F1429,'2020功能科目'!A:B,2,FALSE))</f>
        <v>2050202</v>
      </c>
      <c r="F1429" s="25" t="s">
        <v>375</v>
      </c>
      <c r="G1429" s="26">
        <v>23640258.27</v>
      </c>
      <c r="H1429" s="26">
        <v>19097335.149999999</v>
      </c>
    </row>
    <row r="1430" spans="1:8">
      <c r="A1430" s="24">
        <v>255155</v>
      </c>
      <c r="B1430" s="25" t="s">
        <v>122</v>
      </c>
      <c r="C1430" s="39" t="str">
        <f t="shared" si="44"/>
        <v>205</v>
      </c>
      <c r="D1430" s="39" t="str">
        <f t="shared" si="45"/>
        <v>20502</v>
      </c>
      <c r="E1430" s="39">
        <f>IF(ISNA(VLOOKUP(F1430,'2020功能科目'!A:B,2,FALSE)),"",VLOOKUP(F1430,'2020功能科目'!A:B,2,FALSE))</f>
        <v>2050299</v>
      </c>
      <c r="F1430" s="25" t="s">
        <v>377</v>
      </c>
      <c r="G1430" s="26">
        <v>57900</v>
      </c>
      <c r="H1430" s="26">
        <v>0</v>
      </c>
    </row>
    <row r="1431" spans="1:8">
      <c r="A1431" s="24">
        <v>255155</v>
      </c>
      <c r="B1431" s="25" t="s">
        <v>122</v>
      </c>
      <c r="C1431" s="39" t="str">
        <f t="shared" si="44"/>
        <v>205</v>
      </c>
      <c r="D1431" s="39" t="str">
        <f t="shared" si="45"/>
        <v>20508</v>
      </c>
      <c r="E1431" s="39">
        <f>IF(ISNA(VLOOKUP(F1431,'2020功能科目'!A:B,2,FALSE)),"",VLOOKUP(F1431,'2020功能科目'!A:B,2,FALSE))</f>
        <v>2050803</v>
      </c>
      <c r="F1431" s="25" t="s">
        <v>378</v>
      </c>
      <c r="G1431" s="26">
        <v>0</v>
      </c>
      <c r="H1431" s="26">
        <v>60800</v>
      </c>
    </row>
    <row r="1432" spans="1:8">
      <c r="A1432" s="24">
        <v>255155</v>
      </c>
      <c r="B1432" s="25" t="s">
        <v>122</v>
      </c>
      <c r="C1432" s="39" t="str">
        <f t="shared" si="44"/>
        <v>205</v>
      </c>
      <c r="D1432" s="39" t="str">
        <f t="shared" si="45"/>
        <v>20509</v>
      </c>
      <c r="E1432" s="39">
        <f>IF(ISNA(VLOOKUP(F1432,'2020功能科目'!A:B,2,FALSE)),"",VLOOKUP(F1432,'2020功能科目'!A:B,2,FALSE))</f>
        <v>2050903</v>
      </c>
      <c r="F1432" s="25" t="s">
        <v>379</v>
      </c>
      <c r="G1432" s="26">
        <v>174564.74</v>
      </c>
      <c r="H1432" s="26">
        <v>250000</v>
      </c>
    </row>
    <row r="1433" spans="1:8">
      <c r="A1433" s="24">
        <v>255155</v>
      </c>
      <c r="B1433" s="25" t="s">
        <v>122</v>
      </c>
      <c r="C1433" s="39" t="str">
        <f t="shared" si="44"/>
        <v>205</v>
      </c>
      <c r="D1433" s="39" t="str">
        <f t="shared" si="45"/>
        <v>20509</v>
      </c>
      <c r="E1433" s="39">
        <f>IF(ISNA(VLOOKUP(F1433,'2020功能科目'!A:B,2,FALSE)),"",VLOOKUP(F1433,'2020功能科目'!A:B,2,FALSE))</f>
        <v>2050904</v>
      </c>
      <c r="F1433" s="25" t="s">
        <v>380</v>
      </c>
      <c r="G1433" s="26">
        <v>340000</v>
      </c>
      <c r="H1433" s="26">
        <v>340000</v>
      </c>
    </row>
    <row r="1434" spans="1:8">
      <c r="A1434" s="24">
        <v>255155</v>
      </c>
      <c r="B1434" s="25" t="s">
        <v>122</v>
      </c>
      <c r="C1434" s="39" t="str">
        <f t="shared" si="44"/>
        <v>208</v>
      </c>
      <c r="D1434" s="39" t="str">
        <f t="shared" si="45"/>
        <v>20805</v>
      </c>
      <c r="E1434" s="39">
        <f>IF(ISNA(VLOOKUP(F1434,'2020功能科目'!A:B,2,FALSE)),"",VLOOKUP(F1434,'2020功能科目'!A:B,2,FALSE))</f>
        <v>2080502</v>
      </c>
      <c r="F1434" s="25" t="s">
        <v>381</v>
      </c>
      <c r="G1434" s="26">
        <v>1277768</v>
      </c>
      <c r="H1434" s="26">
        <v>1156442</v>
      </c>
    </row>
    <row r="1435" spans="1:8">
      <c r="A1435" s="24">
        <v>255155</v>
      </c>
      <c r="B1435" s="25" t="s">
        <v>122</v>
      </c>
      <c r="C1435" s="39" t="str">
        <f t="shared" si="44"/>
        <v>208</v>
      </c>
      <c r="D1435" s="39" t="str">
        <f t="shared" si="45"/>
        <v>20805</v>
      </c>
      <c r="E1435" s="39">
        <f>IF(ISNA(VLOOKUP(F1435,'2020功能科目'!A:B,2,FALSE)),"",VLOOKUP(F1435,'2020功能科目'!A:B,2,FALSE))</f>
        <v>2080505</v>
      </c>
      <c r="F1435" s="25" t="s">
        <v>382</v>
      </c>
      <c r="G1435" s="26">
        <v>2003410.76</v>
      </c>
      <c r="H1435" s="26">
        <v>1664649.6</v>
      </c>
    </row>
    <row r="1436" spans="1:8">
      <c r="A1436" s="24">
        <v>255155</v>
      </c>
      <c r="B1436" s="25" t="s">
        <v>122</v>
      </c>
      <c r="C1436" s="39" t="str">
        <f t="shared" si="44"/>
        <v>208</v>
      </c>
      <c r="D1436" s="39" t="str">
        <f t="shared" si="45"/>
        <v>20805</v>
      </c>
      <c r="E1436" s="39">
        <f>IF(ISNA(VLOOKUP(F1436,'2020功能科目'!A:B,2,FALSE)),"",VLOOKUP(F1436,'2020功能科目'!A:B,2,FALSE))</f>
        <v>2080506</v>
      </c>
      <c r="F1436" s="25" t="s">
        <v>383</v>
      </c>
      <c r="G1436" s="26">
        <v>1001913.2</v>
      </c>
      <c r="H1436" s="26">
        <v>832324.8</v>
      </c>
    </row>
    <row r="1437" spans="1:8">
      <c r="A1437" s="24">
        <v>255155</v>
      </c>
      <c r="B1437" s="25" t="s">
        <v>122</v>
      </c>
      <c r="C1437" s="39" t="str">
        <f t="shared" si="44"/>
        <v>210</v>
      </c>
      <c r="D1437" s="39" t="str">
        <f t="shared" si="45"/>
        <v>21011</v>
      </c>
      <c r="E1437" s="39">
        <f>IF(ISNA(VLOOKUP(F1437,'2020功能科目'!A:B,2,FALSE)),"",VLOOKUP(F1437,'2020功能科目'!A:B,2,FALSE))</f>
        <v>2101102</v>
      </c>
      <c r="F1437" s="25" t="s">
        <v>385</v>
      </c>
      <c r="G1437" s="26">
        <v>1791154.01</v>
      </c>
      <c r="H1437" s="26">
        <v>1352527.8</v>
      </c>
    </row>
    <row r="1438" spans="1:8">
      <c r="A1438" s="24">
        <v>255155</v>
      </c>
      <c r="B1438" s="25" t="s">
        <v>122</v>
      </c>
      <c r="C1438" s="39" t="str">
        <f t="shared" si="44"/>
        <v>221</v>
      </c>
      <c r="D1438" s="39" t="str">
        <f t="shared" si="45"/>
        <v>22102</v>
      </c>
      <c r="E1438" s="39">
        <f>IF(ISNA(VLOOKUP(F1438,'2020功能科目'!A:B,2,FALSE)),"",VLOOKUP(F1438,'2020功能科目'!A:B,2,FALSE))</f>
        <v>2210201</v>
      </c>
      <c r="F1438" s="25" t="s">
        <v>387</v>
      </c>
      <c r="G1438" s="26">
        <v>1893511</v>
      </c>
      <c r="H1438" s="26">
        <v>1704487.2</v>
      </c>
    </row>
    <row r="1439" spans="1:8">
      <c r="A1439" s="24">
        <v>255155</v>
      </c>
      <c r="B1439" s="25" t="s">
        <v>122</v>
      </c>
      <c r="C1439" s="39" t="str">
        <f t="shared" si="44"/>
        <v>221</v>
      </c>
      <c r="D1439" s="39" t="str">
        <f t="shared" si="45"/>
        <v>22102</v>
      </c>
      <c r="E1439" s="39">
        <f>IF(ISNA(VLOOKUP(F1439,'2020功能科目'!A:B,2,FALSE)),"",VLOOKUP(F1439,'2020功能科目'!A:B,2,FALSE))</f>
        <v>2210202</v>
      </c>
      <c r="F1439" s="25" t="s">
        <v>388</v>
      </c>
      <c r="G1439" s="26">
        <v>161160</v>
      </c>
      <c r="H1439" s="26">
        <v>161640</v>
      </c>
    </row>
    <row r="1440" spans="1:8">
      <c r="A1440" s="24">
        <v>255155</v>
      </c>
      <c r="B1440" s="25" t="s">
        <v>122</v>
      </c>
      <c r="C1440" s="39" t="str">
        <f t="shared" si="44"/>
        <v>221</v>
      </c>
      <c r="D1440" s="39" t="str">
        <f t="shared" si="45"/>
        <v>22102</v>
      </c>
      <c r="E1440" s="39">
        <f>IF(ISNA(VLOOKUP(F1440,'2020功能科目'!A:B,2,FALSE)),"",VLOOKUP(F1440,'2020功能科目'!A:B,2,FALSE))</f>
        <v>2210203</v>
      </c>
      <c r="F1440" s="25" t="s">
        <v>389</v>
      </c>
      <c r="G1440" s="26">
        <v>2014844</v>
      </c>
      <c r="H1440" s="26">
        <v>2199972</v>
      </c>
    </row>
    <row r="1441" spans="1:8">
      <c r="A1441" s="24">
        <v>255156</v>
      </c>
      <c r="B1441" s="25" t="s">
        <v>123</v>
      </c>
      <c r="C1441" s="39" t="str">
        <f t="shared" si="44"/>
        <v>205</v>
      </c>
      <c r="D1441" s="39" t="str">
        <f t="shared" si="45"/>
        <v>20502</v>
      </c>
      <c r="E1441" s="39">
        <f>IF(ISNA(VLOOKUP(F1441,'2020功能科目'!A:B,2,FALSE)),"",VLOOKUP(F1441,'2020功能科目'!A:B,2,FALSE))</f>
        <v>2050202</v>
      </c>
      <c r="F1441" s="25" t="s">
        <v>375</v>
      </c>
      <c r="G1441" s="26">
        <v>17776195.510000002</v>
      </c>
      <c r="H1441" s="26">
        <v>13926439.02</v>
      </c>
    </row>
    <row r="1442" spans="1:8">
      <c r="A1442" s="24">
        <v>255156</v>
      </c>
      <c r="B1442" s="25" t="s">
        <v>123</v>
      </c>
      <c r="C1442" s="39" t="str">
        <f t="shared" si="44"/>
        <v>205</v>
      </c>
      <c r="D1442" s="39" t="str">
        <f t="shared" si="45"/>
        <v>20502</v>
      </c>
      <c r="E1442" s="39">
        <f>IF(ISNA(VLOOKUP(F1442,'2020功能科目'!A:B,2,FALSE)),"",VLOOKUP(F1442,'2020功能科目'!A:B,2,FALSE))</f>
        <v>2050299</v>
      </c>
      <c r="F1442" s="25" t="s">
        <v>377</v>
      </c>
      <c r="G1442" s="26">
        <v>20400</v>
      </c>
      <c r="H1442" s="26">
        <v>0</v>
      </c>
    </row>
    <row r="1443" spans="1:8">
      <c r="A1443" s="24">
        <v>255156</v>
      </c>
      <c r="B1443" s="25" t="s">
        <v>123</v>
      </c>
      <c r="C1443" s="39" t="str">
        <f t="shared" si="44"/>
        <v>205</v>
      </c>
      <c r="D1443" s="39" t="str">
        <f t="shared" si="45"/>
        <v>20508</v>
      </c>
      <c r="E1443" s="39">
        <f>IF(ISNA(VLOOKUP(F1443,'2020功能科目'!A:B,2,FALSE)),"",VLOOKUP(F1443,'2020功能科目'!A:B,2,FALSE))</f>
        <v>2050803</v>
      </c>
      <c r="F1443" s="25" t="s">
        <v>378</v>
      </c>
      <c r="G1443" s="26">
        <v>0</v>
      </c>
      <c r="H1443" s="26">
        <v>44000</v>
      </c>
    </row>
    <row r="1444" spans="1:8">
      <c r="A1444" s="24">
        <v>255156</v>
      </c>
      <c r="B1444" s="25" t="s">
        <v>123</v>
      </c>
      <c r="C1444" s="39" t="str">
        <f t="shared" si="44"/>
        <v>205</v>
      </c>
      <c r="D1444" s="39" t="str">
        <f t="shared" si="45"/>
        <v>20509</v>
      </c>
      <c r="E1444" s="39">
        <f>IF(ISNA(VLOOKUP(F1444,'2020功能科目'!A:B,2,FALSE)),"",VLOOKUP(F1444,'2020功能科目'!A:B,2,FALSE))</f>
        <v>2050903</v>
      </c>
      <c r="F1444" s="25" t="s">
        <v>379</v>
      </c>
      <c r="G1444" s="26">
        <v>0</v>
      </c>
      <c r="H1444" s="26">
        <v>439628.87</v>
      </c>
    </row>
    <row r="1445" spans="1:8">
      <c r="A1445" s="24">
        <v>255156</v>
      </c>
      <c r="B1445" s="25" t="s">
        <v>123</v>
      </c>
      <c r="C1445" s="39" t="str">
        <f t="shared" si="44"/>
        <v>205</v>
      </c>
      <c r="D1445" s="39" t="str">
        <f t="shared" si="45"/>
        <v>20509</v>
      </c>
      <c r="E1445" s="39">
        <f>IF(ISNA(VLOOKUP(F1445,'2020功能科目'!A:B,2,FALSE)),"",VLOOKUP(F1445,'2020功能科目'!A:B,2,FALSE))</f>
        <v>2050904</v>
      </c>
      <c r="F1445" s="25" t="s">
        <v>380</v>
      </c>
      <c r="G1445" s="26">
        <v>231850</v>
      </c>
      <c r="H1445" s="26">
        <v>241850</v>
      </c>
    </row>
    <row r="1446" spans="1:8">
      <c r="A1446" s="24">
        <v>255156</v>
      </c>
      <c r="B1446" s="25" t="s">
        <v>123</v>
      </c>
      <c r="C1446" s="39" t="str">
        <f t="shared" si="44"/>
        <v>208</v>
      </c>
      <c r="D1446" s="39" t="str">
        <f t="shared" si="45"/>
        <v>20805</v>
      </c>
      <c r="E1446" s="39">
        <f>IF(ISNA(VLOOKUP(F1446,'2020功能科目'!A:B,2,FALSE)),"",VLOOKUP(F1446,'2020功能科目'!A:B,2,FALSE))</f>
        <v>2080502</v>
      </c>
      <c r="F1446" s="25" t="s">
        <v>381</v>
      </c>
      <c r="G1446" s="26">
        <v>1124509</v>
      </c>
      <c r="H1446" s="26">
        <v>981044</v>
      </c>
    </row>
    <row r="1447" spans="1:8">
      <c r="A1447" s="24">
        <v>255156</v>
      </c>
      <c r="B1447" s="25" t="s">
        <v>123</v>
      </c>
      <c r="C1447" s="39" t="str">
        <f t="shared" si="44"/>
        <v>208</v>
      </c>
      <c r="D1447" s="39" t="str">
        <f t="shared" si="45"/>
        <v>20805</v>
      </c>
      <c r="E1447" s="39">
        <f>IF(ISNA(VLOOKUP(F1447,'2020功能科目'!A:B,2,FALSE)),"",VLOOKUP(F1447,'2020功能科目'!A:B,2,FALSE))</f>
        <v>2080505</v>
      </c>
      <c r="F1447" s="25" t="s">
        <v>382</v>
      </c>
      <c r="G1447" s="26">
        <v>1368343.04</v>
      </c>
      <c r="H1447" s="26">
        <v>1282479.04</v>
      </c>
    </row>
    <row r="1448" spans="1:8">
      <c r="A1448" s="24">
        <v>255156</v>
      </c>
      <c r="B1448" s="25" t="s">
        <v>123</v>
      </c>
      <c r="C1448" s="39" t="str">
        <f t="shared" si="44"/>
        <v>208</v>
      </c>
      <c r="D1448" s="39" t="str">
        <f t="shared" si="45"/>
        <v>20805</v>
      </c>
      <c r="E1448" s="39">
        <f>IF(ISNA(VLOOKUP(F1448,'2020功能科目'!A:B,2,FALSE)),"",VLOOKUP(F1448,'2020功能科目'!A:B,2,FALSE))</f>
        <v>2080506</v>
      </c>
      <c r="F1448" s="25" t="s">
        <v>383</v>
      </c>
      <c r="G1448" s="26">
        <v>684171.52</v>
      </c>
      <c r="H1448" s="26">
        <v>641239.52</v>
      </c>
    </row>
    <row r="1449" spans="1:8">
      <c r="A1449" s="24">
        <v>255156</v>
      </c>
      <c r="B1449" s="25" t="s">
        <v>123</v>
      </c>
      <c r="C1449" s="39" t="str">
        <f t="shared" si="44"/>
        <v>210</v>
      </c>
      <c r="D1449" s="39" t="str">
        <f t="shared" si="45"/>
        <v>21011</v>
      </c>
      <c r="E1449" s="39">
        <f>IF(ISNA(VLOOKUP(F1449,'2020功能科目'!A:B,2,FALSE)),"",VLOOKUP(F1449,'2020功能科目'!A:B,2,FALSE))</f>
        <v>2101102</v>
      </c>
      <c r="F1449" s="25" t="s">
        <v>385</v>
      </c>
      <c r="G1449" s="26">
        <v>1177064.97</v>
      </c>
      <c r="H1449" s="26">
        <v>1042014.22</v>
      </c>
    </row>
    <row r="1450" spans="1:8">
      <c r="A1450" s="24">
        <v>255156</v>
      </c>
      <c r="B1450" s="25" t="s">
        <v>123</v>
      </c>
      <c r="C1450" s="39" t="str">
        <f t="shared" si="44"/>
        <v>221</v>
      </c>
      <c r="D1450" s="39" t="str">
        <f t="shared" si="45"/>
        <v>22102</v>
      </c>
      <c r="E1450" s="39">
        <f>IF(ISNA(VLOOKUP(F1450,'2020功能科目'!A:B,2,FALSE)),"",VLOOKUP(F1450,'2020功能科目'!A:B,2,FALSE))</f>
        <v>2210201</v>
      </c>
      <c r="F1450" s="25" t="s">
        <v>387</v>
      </c>
      <c r="G1450" s="26">
        <v>1313477</v>
      </c>
      <c r="H1450" s="26">
        <v>1291859.28</v>
      </c>
    </row>
    <row r="1451" spans="1:8">
      <c r="A1451" s="24">
        <v>255156</v>
      </c>
      <c r="B1451" s="25" t="s">
        <v>123</v>
      </c>
      <c r="C1451" s="39" t="str">
        <f t="shared" si="44"/>
        <v>221</v>
      </c>
      <c r="D1451" s="39" t="str">
        <f t="shared" si="45"/>
        <v>22102</v>
      </c>
      <c r="E1451" s="39">
        <f>IF(ISNA(VLOOKUP(F1451,'2020功能科目'!A:B,2,FALSE)),"",VLOOKUP(F1451,'2020功能科目'!A:B,2,FALSE))</f>
        <v>2210202</v>
      </c>
      <c r="F1451" s="25" t="s">
        <v>388</v>
      </c>
      <c r="G1451" s="26">
        <v>138560</v>
      </c>
      <c r="H1451" s="26">
        <v>138720</v>
      </c>
    </row>
    <row r="1452" spans="1:8">
      <c r="A1452" s="24">
        <v>255156</v>
      </c>
      <c r="B1452" s="25" t="s">
        <v>123</v>
      </c>
      <c r="C1452" s="39" t="str">
        <f t="shared" si="44"/>
        <v>221</v>
      </c>
      <c r="D1452" s="39" t="str">
        <f t="shared" si="45"/>
        <v>22102</v>
      </c>
      <c r="E1452" s="39">
        <f>IF(ISNA(VLOOKUP(F1452,'2020功能科目'!A:B,2,FALSE)),"",VLOOKUP(F1452,'2020功能科目'!A:B,2,FALSE))</f>
        <v>2210203</v>
      </c>
      <c r="F1452" s="25" t="s">
        <v>389</v>
      </c>
      <c r="G1452" s="26">
        <v>1234348</v>
      </c>
      <c r="H1452" s="26">
        <v>1204632</v>
      </c>
    </row>
    <row r="1453" spans="1:8">
      <c r="A1453" s="24">
        <v>255158</v>
      </c>
      <c r="B1453" s="25" t="s">
        <v>124</v>
      </c>
      <c r="C1453" s="39" t="str">
        <f t="shared" si="44"/>
        <v>205</v>
      </c>
      <c r="D1453" s="39" t="str">
        <f t="shared" si="45"/>
        <v>20502</v>
      </c>
      <c r="E1453" s="39">
        <f>IF(ISNA(VLOOKUP(F1453,'2020功能科目'!A:B,2,FALSE)),"",VLOOKUP(F1453,'2020功能科目'!A:B,2,FALSE))</f>
        <v>2050201</v>
      </c>
      <c r="F1453" s="25" t="s">
        <v>374</v>
      </c>
      <c r="G1453" s="26">
        <v>21890203.91</v>
      </c>
      <c r="H1453" s="26">
        <v>18077928.760000002</v>
      </c>
    </row>
    <row r="1454" spans="1:8">
      <c r="A1454" s="24">
        <v>255158</v>
      </c>
      <c r="B1454" s="25" t="s">
        <v>124</v>
      </c>
      <c r="C1454" s="39" t="str">
        <f t="shared" si="44"/>
        <v>205</v>
      </c>
      <c r="D1454" s="39" t="str">
        <f t="shared" si="45"/>
        <v>20508</v>
      </c>
      <c r="E1454" s="39">
        <f>IF(ISNA(VLOOKUP(F1454,'2020功能科目'!A:B,2,FALSE)),"",VLOOKUP(F1454,'2020功能科目'!A:B,2,FALSE))</f>
        <v>2050803</v>
      </c>
      <c r="F1454" s="25" t="s">
        <v>378</v>
      </c>
      <c r="G1454" s="26">
        <v>11057</v>
      </c>
      <c r="H1454" s="26">
        <v>56800</v>
      </c>
    </row>
    <row r="1455" spans="1:8">
      <c r="A1455" s="24">
        <v>255158</v>
      </c>
      <c r="B1455" s="25" t="s">
        <v>124</v>
      </c>
      <c r="C1455" s="39" t="str">
        <f t="shared" si="44"/>
        <v>205</v>
      </c>
      <c r="D1455" s="39" t="str">
        <f t="shared" si="45"/>
        <v>20509</v>
      </c>
      <c r="E1455" s="39">
        <f>IF(ISNA(VLOOKUP(F1455,'2020功能科目'!A:B,2,FALSE)),"",VLOOKUP(F1455,'2020功能科目'!A:B,2,FALSE))</f>
        <v>2050999</v>
      </c>
      <c r="F1455" s="25" t="s">
        <v>394</v>
      </c>
      <c r="G1455" s="26">
        <v>5385326.1299999999</v>
      </c>
      <c r="H1455" s="26">
        <v>5430256</v>
      </c>
    </row>
    <row r="1456" spans="1:8">
      <c r="A1456" s="24">
        <v>255158</v>
      </c>
      <c r="B1456" s="25" t="s">
        <v>124</v>
      </c>
      <c r="C1456" s="39" t="str">
        <f t="shared" si="44"/>
        <v>208</v>
      </c>
      <c r="D1456" s="39" t="str">
        <f t="shared" si="45"/>
        <v>20805</v>
      </c>
      <c r="E1456" s="39">
        <f>IF(ISNA(VLOOKUP(F1456,'2020功能科目'!A:B,2,FALSE)),"",VLOOKUP(F1456,'2020功能科目'!A:B,2,FALSE))</f>
        <v>2080502</v>
      </c>
      <c r="F1456" s="25" t="s">
        <v>381</v>
      </c>
      <c r="G1456" s="26">
        <v>391966</v>
      </c>
      <c r="H1456" s="26">
        <v>384256</v>
      </c>
    </row>
    <row r="1457" spans="1:8">
      <c r="A1457" s="24">
        <v>255158</v>
      </c>
      <c r="B1457" s="25" t="s">
        <v>124</v>
      </c>
      <c r="C1457" s="39" t="str">
        <f t="shared" si="44"/>
        <v>208</v>
      </c>
      <c r="D1457" s="39" t="str">
        <f t="shared" si="45"/>
        <v>20805</v>
      </c>
      <c r="E1457" s="39">
        <f>IF(ISNA(VLOOKUP(F1457,'2020功能科目'!A:B,2,FALSE)),"",VLOOKUP(F1457,'2020功能科目'!A:B,2,FALSE))</f>
        <v>2080505</v>
      </c>
      <c r="F1457" s="25" t="s">
        <v>382</v>
      </c>
      <c r="G1457" s="26">
        <v>1265080.8</v>
      </c>
      <c r="H1457" s="26">
        <v>1498576</v>
      </c>
    </row>
    <row r="1458" spans="1:8">
      <c r="A1458" s="24">
        <v>255158</v>
      </c>
      <c r="B1458" s="25" t="s">
        <v>124</v>
      </c>
      <c r="C1458" s="39" t="str">
        <f t="shared" si="44"/>
        <v>208</v>
      </c>
      <c r="D1458" s="39" t="str">
        <f t="shared" si="45"/>
        <v>20805</v>
      </c>
      <c r="E1458" s="39">
        <f>IF(ISNA(VLOOKUP(F1458,'2020功能科目'!A:B,2,FALSE)),"",VLOOKUP(F1458,'2020功能科目'!A:B,2,FALSE))</f>
        <v>2080506</v>
      </c>
      <c r="F1458" s="25" t="s">
        <v>383</v>
      </c>
      <c r="G1458" s="26">
        <v>632540.4</v>
      </c>
      <c r="H1458" s="26">
        <v>749288</v>
      </c>
    </row>
    <row r="1459" spans="1:8">
      <c r="A1459" s="24">
        <v>255158</v>
      </c>
      <c r="B1459" s="25" t="s">
        <v>124</v>
      </c>
      <c r="C1459" s="39" t="str">
        <f t="shared" si="44"/>
        <v>210</v>
      </c>
      <c r="D1459" s="39" t="str">
        <f t="shared" si="45"/>
        <v>21011</v>
      </c>
      <c r="E1459" s="39">
        <f>IF(ISNA(VLOOKUP(F1459,'2020功能科目'!A:B,2,FALSE)),"",VLOOKUP(F1459,'2020功能科目'!A:B,2,FALSE))</f>
        <v>2101102</v>
      </c>
      <c r="F1459" s="25" t="s">
        <v>385</v>
      </c>
      <c r="G1459" s="26">
        <v>1372021.81</v>
      </c>
      <c r="H1459" s="26">
        <v>1217593</v>
      </c>
    </row>
    <row r="1460" spans="1:8">
      <c r="A1460" s="24">
        <v>255158</v>
      </c>
      <c r="B1460" s="25" t="s">
        <v>124</v>
      </c>
      <c r="C1460" s="39" t="str">
        <f t="shared" si="44"/>
        <v>221</v>
      </c>
      <c r="D1460" s="39" t="str">
        <f t="shared" si="45"/>
        <v>22102</v>
      </c>
      <c r="E1460" s="39">
        <f>IF(ISNA(VLOOKUP(F1460,'2020功能科目'!A:B,2,FALSE)),"",VLOOKUP(F1460,'2020功能科目'!A:B,2,FALSE))</f>
        <v>2210201</v>
      </c>
      <c r="F1460" s="25" t="s">
        <v>387</v>
      </c>
      <c r="G1460" s="26">
        <v>1503027</v>
      </c>
      <c r="H1460" s="26">
        <v>1549932</v>
      </c>
    </row>
    <row r="1461" spans="1:8">
      <c r="A1461" s="24">
        <v>255158</v>
      </c>
      <c r="B1461" s="25" t="s">
        <v>124</v>
      </c>
      <c r="C1461" s="39" t="str">
        <f t="shared" si="44"/>
        <v>221</v>
      </c>
      <c r="D1461" s="39" t="str">
        <f t="shared" si="45"/>
        <v>22102</v>
      </c>
      <c r="E1461" s="39">
        <f>IF(ISNA(VLOOKUP(F1461,'2020功能科目'!A:B,2,FALSE)),"",VLOOKUP(F1461,'2020功能科目'!A:B,2,FALSE))</f>
        <v>2210202</v>
      </c>
      <c r="F1461" s="25" t="s">
        <v>388</v>
      </c>
      <c r="G1461" s="26">
        <v>94240</v>
      </c>
      <c r="H1461" s="26">
        <v>98160</v>
      </c>
    </row>
    <row r="1462" spans="1:8">
      <c r="A1462" s="24">
        <v>255158</v>
      </c>
      <c r="B1462" s="25" t="s">
        <v>124</v>
      </c>
      <c r="C1462" s="39" t="str">
        <f t="shared" si="44"/>
        <v>221</v>
      </c>
      <c r="D1462" s="39" t="str">
        <f t="shared" si="45"/>
        <v>22102</v>
      </c>
      <c r="E1462" s="39">
        <f>IF(ISNA(VLOOKUP(F1462,'2020功能科目'!A:B,2,FALSE)),"",VLOOKUP(F1462,'2020功能科目'!A:B,2,FALSE))</f>
        <v>2210203</v>
      </c>
      <c r="F1462" s="25" t="s">
        <v>389</v>
      </c>
      <c r="G1462" s="26">
        <v>1652073</v>
      </c>
      <c r="H1462" s="26">
        <v>1612008</v>
      </c>
    </row>
    <row r="1463" spans="1:8">
      <c r="A1463" s="24">
        <v>255159</v>
      </c>
      <c r="B1463" s="25" t="s">
        <v>125</v>
      </c>
      <c r="C1463" s="39" t="str">
        <f t="shared" si="44"/>
        <v>205</v>
      </c>
      <c r="D1463" s="39" t="str">
        <f t="shared" si="45"/>
        <v>20502</v>
      </c>
      <c r="E1463" s="39">
        <f>IF(ISNA(VLOOKUP(F1463,'2020功能科目'!A:B,2,FALSE)),"",VLOOKUP(F1463,'2020功能科目'!A:B,2,FALSE))</f>
        <v>2050201</v>
      </c>
      <c r="F1463" s="25" t="s">
        <v>374</v>
      </c>
      <c r="G1463" s="26">
        <v>24333045.82</v>
      </c>
      <c r="H1463" s="26">
        <v>20894653.469999999</v>
      </c>
    </row>
    <row r="1464" spans="1:8">
      <c r="A1464" s="24">
        <v>255159</v>
      </c>
      <c r="B1464" s="25" t="s">
        <v>125</v>
      </c>
      <c r="C1464" s="39" t="str">
        <f t="shared" si="44"/>
        <v>205</v>
      </c>
      <c r="D1464" s="39" t="str">
        <f t="shared" si="45"/>
        <v>20508</v>
      </c>
      <c r="E1464" s="39">
        <f>IF(ISNA(VLOOKUP(F1464,'2020功能科目'!A:B,2,FALSE)),"",VLOOKUP(F1464,'2020功能科目'!A:B,2,FALSE))</f>
        <v>2050803</v>
      </c>
      <c r="F1464" s="25" t="s">
        <v>378</v>
      </c>
      <c r="G1464" s="26">
        <v>26799</v>
      </c>
      <c r="H1464" s="26">
        <v>68000</v>
      </c>
    </row>
    <row r="1465" spans="1:8">
      <c r="A1465" s="24">
        <v>255159</v>
      </c>
      <c r="B1465" s="25" t="s">
        <v>125</v>
      </c>
      <c r="C1465" s="39" t="str">
        <f t="shared" si="44"/>
        <v>205</v>
      </c>
      <c r="D1465" s="39" t="str">
        <f t="shared" si="45"/>
        <v>20509</v>
      </c>
      <c r="E1465" s="39">
        <f>IF(ISNA(VLOOKUP(F1465,'2020功能科目'!A:B,2,FALSE)),"",VLOOKUP(F1465,'2020功能科目'!A:B,2,FALSE))</f>
        <v>2050999</v>
      </c>
      <c r="F1465" s="25" t="s">
        <v>394</v>
      </c>
      <c r="G1465" s="26">
        <v>954768.9</v>
      </c>
      <c r="H1465" s="26">
        <v>1240000</v>
      </c>
    </row>
    <row r="1466" spans="1:8">
      <c r="A1466" s="24">
        <v>255159</v>
      </c>
      <c r="B1466" s="25" t="s">
        <v>125</v>
      </c>
      <c r="C1466" s="39" t="str">
        <f t="shared" si="44"/>
        <v>208</v>
      </c>
      <c r="D1466" s="39" t="str">
        <f t="shared" si="45"/>
        <v>20805</v>
      </c>
      <c r="E1466" s="39">
        <f>IF(ISNA(VLOOKUP(F1466,'2020功能科目'!A:B,2,FALSE)),"",VLOOKUP(F1466,'2020功能科目'!A:B,2,FALSE))</f>
        <v>2080502</v>
      </c>
      <c r="F1466" s="25" t="s">
        <v>381</v>
      </c>
      <c r="G1466" s="26">
        <v>1001722</v>
      </c>
      <c r="H1466" s="26">
        <v>708054</v>
      </c>
    </row>
    <row r="1467" spans="1:8">
      <c r="A1467" s="24">
        <v>255159</v>
      </c>
      <c r="B1467" s="25" t="s">
        <v>125</v>
      </c>
      <c r="C1467" s="39" t="str">
        <f t="shared" si="44"/>
        <v>208</v>
      </c>
      <c r="D1467" s="39" t="str">
        <f t="shared" si="45"/>
        <v>20805</v>
      </c>
      <c r="E1467" s="39">
        <f>IF(ISNA(VLOOKUP(F1467,'2020功能科目'!A:B,2,FALSE)),"",VLOOKUP(F1467,'2020功能科目'!A:B,2,FALSE))</f>
        <v>2080505</v>
      </c>
      <c r="F1467" s="25" t="s">
        <v>382</v>
      </c>
      <c r="G1467" s="26">
        <v>1520781.76</v>
      </c>
      <c r="H1467" s="26">
        <v>1733179.82</v>
      </c>
    </row>
    <row r="1468" spans="1:8">
      <c r="A1468" s="24">
        <v>255159</v>
      </c>
      <c r="B1468" s="25" t="s">
        <v>125</v>
      </c>
      <c r="C1468" s="39" t="str">
        <f t="shared" si="44"/>
        <v>208</v>
      </c>
      <c r="D1468" s="39" t="str">
        <f t="shared" si="45"/>
        <v>20805</v>
      </c>
      <c r="E1468" s="39">
        <f>IF(ISNA(VLOOKUP(F1468,'2020功能科目'!A:B,2,FALSE)),"",VLOOKUP(F1468,'2020功能科目'!A:B,2,FALSE))</f>
        <v>2080506</v>
      </c>
      <c r="F1468" s="25" t="s">
        <v>383</v>
      </c>
      <c r="G1468" s="26">
        <v>760390.88</v>
      </c>
      <c r="H1468" s="26">
        <v>866589.91</v>
      </c>
    </row>
    <row r="1469" spans="1:8">
      <c r="A1469" s="24">
        <v>255159</v>
      </c>
      <c r="B1469" s="25" t="s">
        <v>125</v>
      </c>
      <c r="C1469" s="39" t="str">
        <f t="shared" si="44"/>
        <v>210</v>
      </c>
      <c r="D1469" s="39" t="str">
        <f t="shared" si="45"/>
        <v>21011</v>
      </c>
      <c r="E1469" s="39">
        <f>IF(ISNA(VLOOKUP(F1469,'2020功能科目'!A:B,2,FALSE)),"",VLOOKUP(F1469,'2020功能科目'!A:B,2,FALSE))</f>
        <v>2101102</v>
      </c>
      <c r="F1469" s="25" t="s">
        <v>385</v>
      </c>
      <c r="G1469" s="26">
        <v>1694058.52</v>
      </c>
      <c r="H1469" s="26">
        <v>1408208.6</v>
      </c>
    </row>
    <row r="1470" spans="1:8">
      <c r="A1470" s="24">
        <v>255159</v>
      </c>
      <c r="B1470" s="25" t="s">
        <v>125</v>
      </c>
      <c r="C1470" s="39" t="str">
        <f t="shared" si="44"/>
        <v>210</v>
      </c>
      <c r="D1470" s="39" t="str">
        <f t="shared" si="45"/>
        <v>21011</v>
      </c>
      <c r="E1470" s="39">
        <f>IF(ISNA(VLOOKUP(F1470,'2020功能科目'!A:B,2,FALSE)),"",VLOOKUP(F1470,'2020功能科目'!A:B,2,FALSE))</f>
        <v>2101199</v>
      </c>
      <c r="F1470" s="25" t="s">
        <v>386</v>
      </c>
      <c r="G1470" s="26">
        <v>90000</v>
      </c>
      <c r="H1470" s="26">
        <v>90000</v>
      </c>
    </row>
    <row r="1471" spans="1:8">
      <c r="A1471" s="24">
        <v>255159</v>
      </c>
      <c r="B1471" s="25" t="s">
        <v>125</v>
      </c>
      <c r="C1471" s="39" t="str">
        <f t="shared" si="44"/>
        <v>221</v>
      </c>
      <c r="D1471" s="39" t="str">
        <f t="shared" si="45"/>
        <v>22102</v>
      </c>
      <c r="E1471" s="39">
        <f>IF(ISNA(VLOOKUP(F1471,'2020功能科目'!A:B,2,FALSE)),"",VLOOKUP(F1471,'2020功能科目'!A:B,2,FALSE))</f>
        <v>2210201</v>
      </c>
      <c r="F1471" s="25" t="s">
        <v>387</v>
      </c>
      <c r="G1471" s="26">
        <v>2084087</v>
      </c>
      <c r="H1471" s="26">
        <v>1809884.87</v>
      </c>
    </row>
    <row r="1472" spans="1:8">
      <c r="A1472" s="24">
        <v>255159</v>
      </c>
      <c r="B1472" s="25" t="s">
        <v>125</v>
      </c>
      <c r="C1472" s="39" t="str">
        <f t="shared" si="44"/>
        <v>221</v>
      </c>
      <c r="D1472" s="39" t="str">
        <f t="shared" si="45"/>
        <v>22102</v>
      </c>
      <c r="E1472" s="39">
        <f>IF(ISNA(VLOOKUP(F1472,'2020功能科目'!A:B,2,FALSE)),"",VLOOKUP(F1472,'2020功能科目'!A:B,2,FALSE))</f>
        <v>2210202</v>
      </c>
      <c r="F1472" s="25" t="s">
        <v>388</v>
      </c>
      <c r="G1472" s="26">
        <v>119640</v>
      </c>
      <c r="H1472" s="26">
        <v>119640</v>
      </c>
    </row>
    <row r="1473" spans="1:8">
      <c r="A1473" s="24">
        <v>255159</v>
      </c>
      <c r="B1473" s="25" t="s">
        <v>125</v>
      </c>
      <c r="C1473" s="39" t="str">
        <f t="shared" si="44"/>
        <v>221</v>
      </c>
      <c r="D1473" s="39" t="str">
        <f t="shared" si="45"/>
        <v>22102</v>
      </c>
      <c r="E1473" s="39">
        <f>IF(ISNA(VLOOKUP(F1473,'2020功能科目'!A:B,2,FALSE)),"",VLOOKUP(F1473,'2020功能科目'!A:B,2,FALSE))</f>
        <v>2210203</v>
      </c>
      <c r="F1473" s="25" t="s">
        <v>389</v>
      </c>
      <c r="G1473" s="26">
        <v>1905345</v>
      </c>
      <c r="H1473" s="26">
        <v>1833132</v>
      </c>
    </row>
    <row r="1474" spans="1:8">
      <c r="A1474" s="24">
        <v>255160</v>
      </c>
      <c r="B1474" s="25" t="s">
        <v>126</v>
      </c>
      <c r="C1474" s="39" t="str">
        <f t="shared" si="44"/>
        <v>205</v>
      </c>
      <c r="D1474" s="39" t="str">
        <f t="shared" si="45"/>
        <v>20502</v>
      </c>
      <c r="E1474" s="39">
        <f>IF(ISNA(VLOOKUP(F1474,'2020功能科目'!A:B,2,FALSE)),"",VLOOKUP(F1474,'2020功能科目'!A:B,2,FALSE))</f>
        <v>2050201</v>
      </c>
      <c r="F1474" s="25" t="s">
        <v>374</v>
      </c>
      <c r="G1474" s="26">
        <v>20053655.93</v>
      </c>
      <c r="H1474" s="26">
        <v>17388694.399999999</v>
      </c>
    </row>
    <row r="1475" spans="1:8">
      <c r="A1475" s="24">
        <v>255160</v>
      </c>
      <c r="B1475" s="25" t="s">
        <v>126</v>
      </c>
      <c r="C1475" s="39" t="str">
        <f t="shared" ref="C1475:C1538" si="46">LEFT(D1475,3)</f>
        <v>205</v>
      </c>
      <c r="D1475" s="39" t="str">
        <f t="shared" ref="D1475:D1538" si="47">LEFT(E1475,5)</f>
        <v>20508</v>
      </c>
      <c r="E1475" s="39">
        <f>IF(ISNA(VLOOKUP(F1475,'2020功能科目'!A:B,2,FALSE)),"",VLOOKUP(F1475,'2020功能科目'!A:B,2,FALSE))</f>
        <v>2050803</v>
      </c>
      <c r="F1475" s="25" t="s">
        <v>378</v>
      </c>
      <c r="G1475" s="26">
        <v>27600</v>
      </c>
      <c r="H1475" s="26">
        <v>58400</v>
      </c>
    </row>
    <row r="1476" spans="1:8">
      <c r="A1476" s="24">
        <v>255160</v>
      </c>
      <c r="B1476" s="25" t="s">
        <v>126</v>
      </c>
      <c r="C1476" s="39" t="str">
        <f t="shared" si="46"/>
        <v>205</v>
      </c>
      <c r="D1476" s="39" t="str">
        <f t="shared" si="47"/>
        <v>20509</v>
      </c>
      <c r="E1476" s="39">
        <f>IF(ISNA(VLOOKUP(F1476,'2020功能科目'!A:B,2,FALSE)),"",VLOOKUP(F1476,'2020功能科目'!A:B,2,FALSE))</f>
        <v>2050999</v>
      </c>
      <c r="F1476" s="25" t="s">
        <v>394</v>
      </c>
      <c r="G1476" s="26">
        <v>8726</v>
      </c>
      <c r="H1476" s="26">
        <v>8726</v>
      </c>
    </row>
    <row r="1477" spans="1:8">
      <c r="A1477" s="24">
        <v>255160</v>
      </c>
      <c r="B1477" s="25" t="s">
        <v>126</v>
      </c>
      <c r="C1477" s="39" t="str">
        <f t="shared" si="46"/>
        <v>208</v>
      </c>
      <c r="D1477" s="39" t="str">
        <f t="shared" si="47"/>
        <v>20805</v>
      </c>
      <c r="E1477" s="39">
        <f>IF(ISNA(VLOOKUP(F1477,'2020功能科目'!A:B,2,FALSE)),"",VLOOKUP(F1477,'2020功能科目'!A:B,2,FALSE))</f>
        <v>2080502</v>
      </c>
      <c r="F1477" s="25" t="s">
        <v>381</v>
      </c>
      <c r="G1477" s="26">
        <v>892018.08</v>
      </c>
      <c r="H1477" s="26">
        <v>633134</v>
      </c>
    </row>
    <row r="1478" spans="1:8">
      <c r="A1478" s="24">
        <v>255160</v>
      </c>
      <c r="B1478" s="25" t="s">
        <v>126</v>
      </c>
      <c r="C1478" s="39" t="str">
        <f t="shared" si="46"/>
        <v>208</v>
      </c>
      <c r="D1478" s="39" t="str">
        <f t="shared" si="47"/>
        <v>20805</v>
      </c>
      <c r="E1478" s="39">
        <f>IF(ISNA(VLOOKUP(F1478,'2020功能科目'!A:B,2,FALSE)),"",VLOOKUP(F1478,'2020功能科目'!A:B,2,FALSE))</f>
        <v>2080505</v>
      </c>
      <c r="F1478" s="25" t="s">
        <v>382</v>
      </c>
      <c r="G1478" s="26">
        <v>1442072.96</v>
      </c>
      <c r="H1478" s="26">
        <v>1511593.92</v>
      </c>
    </row>
    <row r="1479" spans="1:8">
      <c r="A1479" s="24">
        <v>255160</v>
      </c>
      <c r="B1479" s="25" t="s">
        <v>126</v>
      </c>
      <c r="C1479" s="39" t="str">
        <f t="shared" si="46"/>
        <v>208</v>
      </c>
      <c r="D1479" s="39" t="str">
        <f t="shared" si="47"/>
        <v>20805</v>
      </c>
      <c r="E1479" s="39">
        <f>IF(ISNA(VLOOKUP(F1479,'2020功能科目'!A:B,2,FALSE)),"",VLOOKUP(F1479,'2020功能科目'!A:B,2,FALSE))</f>
        <v>2080506</v>
      </c>
      <c r="F1479" s="25" t="s">
        <v>383</v>
      </c>
      <c r="G1479" s="26">
        <v>721026.96</v>
      </c>
      <c r="H1479" s="26">
        <v>755796.96</v>
      </c>
    </row>
    <row r="1480" spans="1:8">
      <c r="A1480" s="24">
        <v>255160</v>
      </c>
      <c r="B1480" s="25" t="s">
        <v>126</v>
      </c>
      <c r="C1480" s="39" t="str">
        <f t="shared" si="46"/>
        <v>210</v>
      </c>
      <c r="D1480" s="39" t="str">
        <f t="shared" si="47"/>
        <v>21011</v>
      </c>
      <c r="E1480" s="39">
        <f>IF(ISNA(VLOOKUP(F1480,'2020功能科目'!A:B,2,FALSE)),"",VLOOKUP(F1480,'2020功能科目'!A:B,2,FALSE))</f>
        <v>2101102</v>
      </c>
      <c r="F1480" s="25" t="s">
        <v>385</v>
      </c>
      <c r="G1480" s="26">
        <v>1488572.41</v>
      </c>
      <c r="H1480" s="26">
        <v>1228170.06</v>
      </c>
    </row>
    <row r="1481" spans="1:8">
      <c r="A1481" s="24">
        <v>255160</v>
      </c>
      <c r="B1481" s="25" t="s">
        <v>126</v>
      </c>
      <c r="C1481" s="39" t="str">
        <f t="shared" si="46"/>
        <v>210</v>
      </c>
      <c r="D1481" s="39" t="str">
        <f t="shared" si="47"/>
        <v>21011</v>
      </c>
      <c r="E1481" s="39">
        <f>IF(ISNA(VLOOKUP(F1481,'2020功能科目'!A:B,2,FALSE)),"",VLOOKUP(F1481,'2020功能科目'!A:B,2,FALSE))</f>
        <v>2101199</v>
      </c>
      <c r="F1481" s="25" t="s">
        <v>386</v>
      </c>
      <c r="G1481" s="26">
        <v>45000</v>
      </c>
      <c r="H1481" s="26">
        <v>90000</v>
      </c>
    </row>
    <row r="1482" spans="1:8">
      <c r="A1482" s="24">
        <v>255160</v>
      </c>
      <c r="B1482" s="25" t="s">
        <v>126</v>
      </c>
      <c r="C1482" s="39" t="str">
        <f t="shared" si="46"/>
        <v>221</v>
      </c>
      <c r="D1482" s="39" t="str">
        <f t="shared" si="47"/>
        <v>22102</v>
      </c>
      <c r="E1482" s="39">
        <f>IF(ISNA(VLOOKUP(F1482,'2020功能科目'!A:B,2,FALSE)),"",VLOOKUP(F1482,'2020功能科目'!A:B,2,FALSE))</f>
        <v>2210201</v>
      </c>
      <c r="F1482" s="25" t="s">
        <v>387</v>
      </c>
      <c r="G1482" s="26">
        <v>1595880</v>
      </c>
      <c r="H1482" s="26">
        <v>1571695.44</v>
      </c>
    </row>
    <row r="1483" spans="1:8">
      <c r="A1483" s="24">
        <v>255160</v>
      </c>
      <c r="B1483" s="25" t="s">
        <v>126</v>
      </c>
      <c r="C1483" s="39" t="str">
        <f t="shared" si="46"/>
        <v>221</v>
      </c>
      <c r="D1483" s="39" t="str">
        <f t="shared" si="47"/>
        <v>22102</v>
      </c>
      <c r="E1483" s="39">
        <f>IF(ISNA(VLOOKUP(F1483,'2020功能科目'!A:B,2,FALSE)),"",VLOOKUP(F1483,'2020功能科目'!A:B,2,FALSE))</f>
        <v>2210202</v>
      </c>
      <c r="F1483" s="25" t="s">
        <v>388</v>
      </c>
      <c r="G1483" s="26">
        <v>95280</v>
      </c>
      <c r="H1483" s="26">
        <v>101880</v>
      </c>
    </row>
    <row r="1484" spans="1:8">
      <c r="A1484" s="24">
        <v>255160</v>
      </c>
      <c r="B1484" s="25" t="s">
        <v>126</v>
      </c>
      <c r="C1484" s="39" t="str">
        <f t="shared" si="46"/>
        <v>221</v>
      </c>
      <c r="D1484" s="39" t="str">
        <f t="shared" si="47"/>
        <v>22102</v>
      </c>
      <c r="E1484" s="39">
        <f>IF(ISNA(VLOOKUP(F1484,'2020功能科目'!A:B,2,FALSE)),"",VLOOKUP(F1484,'2020功能科目'!A:B,2,FALSE))</f>
        <v>2210203</v>
      </c>
      <c r="F1484" s="25" t="s">
        <v>389</v>
      </c>
      <c r="G1484" s="26">
        <v>1612116</v>
      </c>
      <c r="H1484" s="26">
        <v>1577568</v>
      </c>
    </row>
    <row r="1485" spans="1:8">
      <c r="A1485" s="24">
        <v>255161</v>
      </c>
      <c r="B1485" s="25" t="s">
        <v>127</v>
      </c>
      <c r="C1485" s="39" t="str">
        <f t="shared" si="46"/>
        <v>205</v>
      </c>
      <c r="D1485" s="39" t="str">
        <f t="shared" si="47"/>
        <v>20502</v>
      </c>
      <c r="E1485" s="39">
        <f>IF(ISNA(VLOOKUP(F1485,'2020功能科目'!A:B,2,FALSE)),"",VLOOKUP(F1485,'2020功能科目'!A:B,2,FALSE))</f>
        <v>2050201</v>
      </c>
      <c r="F1485" s="25" t="s">
        <v>374</v>
      </c>
      <c r="G1485" s="26">
        <v>17377893.960000001</v>
      </c>
      <c r="H1485" s="26">
        <v>14058198.119999999</v>
      </c>
    </row>
    <row r="1486" spans="1:8">
      <c r="A1486" s="24">
        <v>255161</v>
      </c>
      <c r="B1486" s="25" t="s">
        <v>127</v>
      </c>
      <c r="C1486" s="39" t="str">
        <f t="shared" si="46"/>
        <v>205</v>
      </c>
      <c r="D1486" s="39" t="str">
        <f t="shared" si="47"/>
        <v>20508</v>
      </c>
      <c r="E1486" s="39">
        <f>IF(ISNA(VLOOKUP(F1486,'2020功能科目'!A:B,2,FALSE)),"",VLOOKUP(F1486,'2020功能科目'!A:B,2,FALSE))</f>
        <v>2050803</v>
      </c>
      <c r="F1486" s="25" t="s">
        <v>378</v>
      </c>
      <c r="G1486" s="26">
        <v>22400</v>
      </c>
      <c r="H1486" s="26">
        <v>44800</v>
      </c>
    </row>
    <row r="1487" spans="1:8">
      <c r="A1487" s="24">
        <v>255161</v>
      </c>
      <c r="B1487" s="25" t="s">
        <v>127</v>
      </c>
      <c r="C1487" s="39" t="str">
        <f t="shared" si="46"/>
        <v>208</v>
      </c>
      <c r="D1487" s="39" t="str">
        <f t="shared" si="47"/>
        <v>20805</v>
      </c>
      <c r="E1487" s="39">
        <f>IF(ISNA(VLOOKUP(F1487,'2020功能科目'!A:B,2,FALSE)),"",VLOOKUP(F1487,'2020功能科目'!A:B,2,FALSE))</f>
        <v>2080502</v>
      </c>
      <c r="F1487" s="25" t="s">
        <v>381</v>
      </c>
      <c r="G1487" s="26">
        <v>211800</v>
      </c>
      <c r="H1487" s="26">
        <v>211800</v>
      </c>
    </row>
    <row r="1488" spans="1:8">
      <c r="A1488" s="24">
        <v>255161</v>
      </c>
      <c r="B1488" s="25" t="s">
        <v>127</v>
      </c>
      <c r="C1488" s="39" t="str">
        <f t="shared" si="46"/>
        <v>208</v>
      </c>
      <c r="D1488" s="39" t="str">
        <f t="shared" si="47"/>
        <v>20805</v>
      </c>
      <c r="E1488" s="39">
        <f>IF(ISNA(VLOOKUP(F1488,'2020功能科目'!A:B,2,FALSE)),"",VLOOKUP(F1488,'2020功能科目'!A:B,2,FALSE))</f>
        <v>2080505</v>
      </c>
      <c r="F1488" s="25" t="s">
        <v>382</v>
      </c>
      <c r="G1488" s="26">
        <v>1086412.98</v>
      </c>
      <c r="H1488" s="26">
        <v>1103318.72</v>
      </c>
    </row>
    <row r="1489" spans="1:8">
      <c r="A1489" s="24">
        <v>255161</v>
      </c>
      <c r="B1489" s="25" t="s">
        <v>127</v>
      </c>
      <c r="C1489" s="39" t="str">
        <f t="shared" si="46"/>
        <v>208</v>
      </c>
      <c r="D1489" s="39" t="str">
        <f t="shared" si="47"/>
        <v>20805</v>
      </c>
      <c r="E1489" s="39">
        <f>IF(ISNA(VLOOKUP(F1489,'2020功能科目'!A:B,2,FALSE)),"",VLOOKUP(F1489,'2020功能科目'!A:B,2,FALSE))</f>
        <v>2080506</v>
      </c>
      <c r="F1489" s="25" t="s">
        <v>383</v>
      </c>
      <c r="G1489" s="26">
        <v>542886.40000000002</v>
      </c>
      <c r="H1489" s="26">
        <v>551659.36</v>
      </c>
    </row>
    <row r="1490" spans="1:8">
      <c r="A1490" s="24">
        <v>255161</v>
      </c>
      <c r="B1490" s="25" t="s">
        <v>127</v>
      </c>
      <c r="C1490" s="39" t="str">
        <f t="shared" si="46"/>
        <v>210</v>
      </c>
      <c r="D1490" s="39" t="str">
        <f t="shared" si="47"/>
        <v>21011</v>
      </c>
      <c r="E1490" s="39">
        <f>IF(ISNA(VLOOKUP(F1490,'2020功能科目'!A:B,2,FALSE)),"",VLOOKUP(F1490,'2020功能科目'!A:B,2,FALSE))</f>
        <v>2101102</v>
      </c>
      <c r="F1490" s="25" t="s">
        <v>385</v>
      </c>
      <c r="G1490" s="26">
        <v>1090840.48</v>
      </c>
      <c r="H1490" s="26">
        <v>896446.46</v>
      </c>
    </row>
    <row r="1491" spans="1:8">
      <c r="A1491" s="24">
        <v>255161</v>
      </c>
      <c r="B1491" s="25" t="s">
        <v>127</v>
      </c>
      <c r="C1491" s="39" t="str">
        <f t="shared" si="46"/>
        <v>221</v>
      </c>
      <c r="D1491" s="39" t="str">
        <f t="shared" si="47"/>
        <v>22102</v>
      </c>
      <c r="E1491" s="39">
        <f>IF(ISNA(VLOOKUP(F1491,'2020功能科目'!A:B,2,FALSE)),"",VLOOKUP(F1491,'2020功能科目'!A:B,2,FALSE))</f>
        <v>2210201</v>
      </c>
      <c r="F1491" s="25" t="s">
        <v>387</v>
      </c>
      <c r="G1491" s="26">
        <v>1247993</v>
      </c>
      <c r="H1491" s="26">
        <v>1163489.04</v>
      </c>
    </row>
    <row r="1492" spans="1:8">
      <c r="A1492" s="24">
        <v>255161</v>
      </c>
      <c r="B1492" s="25" t="s">
        <v>127</v>
      </c>
      <c r="C1492" s="39" t="str">
        <f t="shared" si="46"/>
        <v>221</v>
      </c>
      <c r="D1492" s="39" t="str">
        <f t="shared" si="47"/>
        <v>22102</v>
      </c>
      <c r="E1492" s="39">
        <f>IF(ISNA(VLOOKUP(F1492,'2020功能科目'!A:B,2,FALSE)),"",VLOOKUP(F1492,'2020功能科目'!A:B,2,FALSE))</f>
        <v>2210202</v>
      </c>
      <c r="F1492" s="25" t="s">
        <v>388</v>
      </c>
      <c r="G1492" s="26">
        <v>68760</v>
      </c>
      <c r="H1492" s="26">
        <v>68760</v>
      </c>
    </row>
    <row r="1493" spans="1:8">
      <c r="A1493" s="24">
        <v>255161</v>
      </c>
      <c r="B1493" s="25" t="s">
        <v>127</v>
      </c>
      <c r="C1493" s="39" t="str">
        <f t="shared" si="46"/>
        <v>221</v>
      </c>
      <c r="D1493" s="39" t="str">
        <f t="shared" si="47"/>
        <v>22102</v>
      </c>
      <c r="E1493" s="39">
        <f>IF(ISNA(VLOOKUP(F1493,'2020功能科目'!A:B,2,FALSE)),"",VLOOKUP(F1493,'2020功能科目'!A:B,2,FALSE))</f>
        <v>2210203</v>
      </c>
      <c r="F1493" s="25" t="s">
        <v>389</v>
      </c>
      <c r="G1493" s="26">
        <v>1276161</v>
      </c>
      <c r="H1493" s="26">
        <v>1209156</v>
      </c>
    </row>
    <row r="1494" spans="1:8">
      <c r="A1494" s="24">
        <v>255162</v>
      </c>
      <c r="B1494" s="25" t="s">
        <v>128</v>
      </c>
      <c r="C1494" s="39" t="str">
        <f t="shared" si="46"/>
        <v>205</v>
      </c>
      <c r="D1494" s="39" t="str">
        <f t="shared" si="47"/>
        <v>20502</v>
      </c>
      <c r="E1494" s="39">
        <f>IF(ISNA(VLOOKUP(F1494,'2020功能科目'!A:B,2,FALSE)),"",VLOOKUP(F1494,'2020功能科目'!A:B,2,FALSE))</f>
        <v>2050201</v>
      </c>
      <c r="F1494" s="25" t="s">
        <v>374</v>
      </c>
      <c r="G1494" s="26">
        <v>17646532.02</v>
      </c>
      <c r="H1494" s="26">
        <v>15768217.02</v>
      </c>
    </row>
    <row r="1495" spans="1:8">
      <c r="A1495" s="24">
        <v>255162</v>
      </c>
      <c r="B1495" s="25" t="s">
        <v>128</v>
      </c>
      <c r="C1495" s="39" t="str">
        <f t="shared" si="46"/>
        <v>205</v>
      </c>
      <c r="D1495" s="39" t="str">
        <f t="shared" si="47"/>
        <v>20508</v>
      </c>
      <c r="E1495" s="39">
        <f>IF(ISNA(VLOOKUP(F1495,'2020功能科目'!A:B,2,FALSE)),"",VLOOKUP(F1495,'2020功能科目'!A:B,2,FALSE))</f>
        <v>2050803</v>
      </c>
      <c r="F1495" s="25" t="s">
        <v>378</v>
      </c>
      <c r="G1495" s="26">
        <v>25600</v>
      </c>
      <c r="H1495" s="26">
        <v>51200</v>
      </c>
    </row>
    <row r="1496" spans="1:8">
      <c r="A1496" s="24">
        <v>255162</v>
      </c>
      <c r="B1496" s="25" t="s">
        <v>128</v>
      </c>
      <c r="C1496" s="39" t="str">
        <f t="shared" si="46"/>
        <v>205</v>
      </c>
      <c r="D1496" s="39" t="str">
        <f t="shared" si="47"/>
        <v>20509</v>
      </c>
      <c r="E1496" s="39">
        <f>IF(ISNA(VLOOKUP(F1496,'2020功能科目'!A:B,2,FALSE)),"",VLOOKUP(F1496,'2020功能科目'!A:B,2,FALSE))</f>
        <v>2050999</v>
      </c>
      <c r="F1496" s="25" t="s">
        <v>394</v>
      </c>
      <c r="G1496" s="26">
        <v>1264005.3899999999</v>
      </c>
      <c r="H1496" s="26">
        <v>1664100</v>
      </c>
    </row>
    <row r="1497" spans="1:8">
      <c r="A1497" s="24">
        <v>255162</v>
      </c>
      <c r="B1497" s="25" t="s">
        <v>128</v>
      </c>
      <c r="C1497" s="39" t="str">
        <f t="shared" si="46"/>
        <v>208</v>
      </c>
      <c r="D1497" s="39" t="str">
        <f t="shared" si="47"/>
        <v>20805</v>
      </c>
      <c r="E1497" s="39">
        <f>IF(ISNA(VLOOKUP(F1497,'2020功能科目'!A:B,2,FALSE)),"",VLOOKUP(F1497,'2020功能科目'!A:B,2,FALSE))</f>
        <v>2080502</v>
      </c>
      <c r="F1497" s="25" t="s">
        <v>381</v>
      </c>
      <c r="G1497" s="26">
        <v>868508</v>
      </c>
      <c r="H1497" s="26">
        <v>408706</v>
      </c>
    </row>
    <row r="1498" spans="1:8">
      <c r="A1498" s="24">
        <v>255162</v>
      </c>
      <c r="B1498" s="25" t="s">
        <v>128</v>
      </c>
      <c r="C1498" s="39" t="str">
        <f t="shared" si="46"/>
        <v>208</v>
      </c>
      <c r="D1498" s="39" t="str">
        <f t="shared" si="47"/>
        <v>20805</v>
      </c>
      <c r="E1498" s="39">
        <f>IF(ISNA(VLOOKUP(F1498,'2020功能科目'!A:B,2,FALSE)),"",VLOOKUP(F1498,'2020功能科目'!A:B,2,FALSE))</f>
        <v>2080505</v>
      </c>
      <c r="F1498" s="25" t="s">
        <v>382</v>
      </c>
      <c r="G1498" s="26">
        <v>1388258.24</v>
      </c>
      <c r="H1498" s="26">
        <v>1388258.24</v>
      </c>
    </row>
    <row r="1499" spans="1:8">
      <c r="A1499" s="24">
        <v>255162</v>
      </c>
      <c r="B1499" s="25" t="s">
        <v>128</v>
      </c>
      <c r="C1499" s="39" t="str">
        <f t="shared" si="46"/>
        <v>208</v>
      </c>
      <c r="D1499" s="39" t="str">
        <f t="shared" si="47"/>
        <v>20805</v>
      </c>
      <c r="E1499" s="39">
        <f>IF(ISNA(VLOOKUP(F1499,'2020功能科目'!A:B,2,FALSE)),"",VLOOKUP(F1499,'2020功能科目'!A:B,2,FALSE))</f>
        <v>2080506</v>
      </c>
      <c r="F1499" s="25" t="s">
        <v>383</v>
      </c>
      <c r="G1499" s="26">
        <v>694129.12</v>
      </c>
      <c r="H1499" s="26">
        <v>694129.12</v>
      </c>
    </row>
    <row r="1500" spans="1:8">
      <c r="A1500" s="24">
        <v>255162</v>
      </c>
      <c r="B1500" s="25" t="s">
        <v>128</v>
      </c>
      <c r="C1500" s="39" t="str">
        <f t="shared" si="46"/>
        <v>210</v>
      </c>
      <c r="D1500" s="39" t="str">
        <f t="shared" si="47"/>
        <v>21011</v>
      </c>
      <c r="E1500" s="39">
        <f>IF(ISNA(VLOOKUP(F1500,'2020功能科目'!A:B,2,FALSE)),"",VLOOKUP(F1500,'2020功能科目'!A:B,2,FALSE))</f>
        <v>2101102</v>
      </c>
      <c r="F1500" s="25" t="s">
        <v>385</v>
      </c>
      <c r="G1500" s="26">
        <v>1127959.82</v>
      </c>
      <c r="H1500" s="26">
        <v>1127959.82</v>
      </c>
    </row>
    <row r="1501" spans="1:8">
      <c r="A1501" s="24">
        <v>255162</v>
      </c>
      <c r="B1501" s="25" t="s">
        <v>128</v>
      </c>
      <c r="C1501" s="39" t="str">
        <f t="shared" si="46"/>
        <v>221</v>
      </c>
      <c r="D1501" s="39" t="str">
        <f t="shared" si="47"/>
        <v>22102</v>
      </c>
      <c r="E1501" s="39">
        <f>IF(ISNA(VLOOKUP(F1501,'2020功能科目'!A:B,2,FALSE)),"",VLOOKUP(F1501,'2020功能科目'!A:B,2,FALSE))</f>
        <v>2210201</v>
      </c>
      <c r="F1501" s="25" t="s">
        <v>387</v>
      </c>
      <c r="G1501" s="26">
        <v>1425193.68</v>
      </c>
      <c r="H1501" s="26">
        <v>1425193.68</v>
      </c>
    </row>
    <row r="1502" spans="1:8">
      <c r="A1502" s="24">
        <v>255162</v>
      </c>
      <c r="B1502" s="25" t="s">
        <v>128</v>
      </c>
      <c r="C1502" s="39" t="str">
        <f t="shared" si="46"/>
        <v>221</v>
      </c>
      <c r="D1502" s="39" t="str">
        <f t="shared" si="47"/>
        <v>22102</v>
      </c>
      <c r="E1502" s="39">
        <f>IF(ISNA(VLOOKUP(F1502,'2020功能科目'!A:B,2,FALSE)),"",VLOOKUP(F1502,'2020功能科目'!A:B,2,FALSE))</f>
        <v>2210202</v>
      </c>
      <c r="F1502" s="25" t="s">
        <v>388</v>
      </c>
      <c r="G1502" s="26">
        <v>66632</v>
      </c>
      <c r="H1502" s="26">
        <v>91440</v>
      </c>
    </row>
    <row r="1503" spans="1:8">
      <c r="A1503" s="24">
        <v>255162</v>
      </c>
      <c r="B1503" s="25" t="s">
        <v>128</v>
      </c>
      <c r="C1503" s="39" t="str">
        <f t="shared" si="46"/>
        <v>221</v>
      </c>
      <c r="D1503" s="39" t="str">
        <f t="shared" si="47"/>
        <v>22102</v>
      </c>
      <c r="E1503" s="39">
        <f>IF(ISNA(VLOOKUP(F1503,'2020功能科目'!A:B,2,FALSE)),"",VLOOKUP(F1503,'2020功能科目'!A:B,2,FALSE))</f>
        <v>2210203</v>
      </c>
      <c r="F1503" s="25" t="s">
        <v>389</v>
      </c>
      <c r="G1503" s="26">
        <v>1368749.49</v>
      </c>
      <c r="H1503" s="26">
        <v>1359360</v>
      </c>
    </row>
    <row r="1504" spans="1:8">
      <c r="A1504" s="24">
        <v>255163</v>
      </c>
      <c r="B1504" s="25" t="s">
        <v>129</v>
      </c>
      <c r="C1504" s="39" t="str">
        <f t="shared" si="46"/>
        <v>205</v>
      </c>
      <c r="D1504" s="39" t="str">
        <f t="shared" si="47"/>
        <v>20502</v>
      </c>
      <c r="E1504" s="39">
        <f>IF(ISNA(VLOOKUP(F1504,'2020功能科目'!A:B,2,FALSE)),"",VLOOKUP(F1504,'2020功能科目'!A:B,2,FALSE))</f>
        <v>2050201</v>
      </c>
      <c r="F1504" s="25" t="s">
        <v>374</v>
      </c>
      <c r="G1504" s="26">
        <v>16317942.9</v>
      </c>
      <c r="H1504" s="26">
        <v>14271022.99</v>
      </c>
    </row>
    <row r="1505" spans="1:8">
      <c r="A1505" s="24">
        <v>255163</v>
      </c>
      <c r="B1505" s="25" t="s">
        <v>129</v>
      </c>
      <c r="C1505" s="39" t="str">
        <f t="shared" si="46"/>
        <v>205</v>
      </c>
      <c r="D1505" s="39" t="str">
        <f t="shared" si="47"/>
        <v>20508</v>
      </c>
      <c r="E1505" s="39">
        <f>IF(ISNA(VLOOKUP(F1505,'2020功能科目'!A:B,2,FALSE)),"",VLOOKUP(F1505,'2020功能科目'!A:B,2,FALSE))</f>
        <v>2050803</v>
      </c>
      <c r="F1505" s="25" t="s">
        <v>378</v>
      </c>
      <c r="G1505" s="26">
        <v>23600</v>
      </c>
      <c r="H1505" s="26">
        <v>47200</v>
      </c>
    </row>
    <row r="1506" spans="1:8">
      <c r="A1506" s="24">
        <v>255163</v>
      </c>
      <c r="B1506" s="25" t="s">
        <v>129</v>
      </c>
      <c r="C1506" s="39" t="str">
        <f t="shared" si="46"/>
        <v>205</v>
      </c>
      <c r="D1506" s="39" t="str">
        <f t="shared" si="47"/>
        <v>20509</v>
      </c>
      <c r="E1506" s="39">
        <f>IF(ISNA(VLOOKUP(F1506,'2020功能科目'!A:B,2,FALSE)),"",VLOOKUP(F1506,'2020功能科目'!A:B,2,FALSE))</f>
        <v>2050999</v>
      </c>
      <c r="F1506" s="25" t="s">
        <v>394</v>
      </c>
      <c r="G1506" s="26">
        <v>402862</v>
      </c>
      <c r="H1506" s="26">
        <v>852862</v>
      </c>
    </row>
    <row r="1507" spans="1:8">
      <c r="A1507" s="24">
        <v>255163</v>
      </c>
      <c r="B1507" s="25" t="s">
        <v>129</v>
      </c>
      <c r="C1507" s="39" t="str">
        <f t="shared" si="46"/>
        <v>208</v>
      </c>
      <c r="D1507" s="39" t="str">
        <f t="shared" si="47"/>
        <v>20805</v>
      </c>
      <c r="E1507" s="39">
        <f>IF(ISNA(VLOOKUP(F1507,'2020功能科目'!A:B,2,FALSE)),"",VLOOKUP(F1507,'2020功能科目'!A:B,2,FALSE))</f>
        <v>2080502</v>
      </c>
      <c r="F1507" s="25" t="s">
        <v>381</v>
      </c>
      <c r="G1507" s="26">
        <v>308820</v>
      </c>
      <c r="H1507" s="26">
        <v>305496</v>
      </c>
    </row>
    <row r="1508" spans="1:8">
      <c r="A1508" s="24">
        <v>255163</v>
      </c>
      <c r="B1508" s="25" t="s">
        <v>129</v>
      </c>
      <c r="C1508" s="39" t="str">
        <f t="shared" si="46"/>
        <v>208</v>
      </c>
      <c r="D1508" s="39" t="str">
        <f t="shared" si="47"/>
        <v>20805</v>
      </c>
      <c r="E1508" s="39">
        <f>IF(ISNA(VLOOKUP(F1508,'2020功能科目'!A:B,2,FALSE)),"",VLOOKUP(F1508,'2020功能科目'!A:B,2,FALSE))</f>
        <v>2080505</v>
      </c>
      <c r="F1508" s="25" t="s">
        <v>382</v>
      </c>
      <c r="G1508" s="26">
        <v>1328470.8799999999</v>
      </c>
      <c r="H1508" s="26">
        <v>1328470.8799999999</v>
      </c>
    </row>
    <row r="1509" spans="1:8">
      <c r="A1509" s="24">
        <v>255163</v>
      </c>
      <c r="B1509" s="25" t="s">
        <v>129</v>
      </c>
      <c r="C1509" s="39" t="str">
        <f t="shared" si="46"/>
        <v>208</v>
      </c>
      <c r="D1509" s="39" t="str">
        <f t="shared" si="47"/>
        <v>20805</v>
      </c>
      <c r="E1509" s="39">
        <f>IF(ISNA(VLOOKUP(F1509,'2020功能科目'!A:B,2,FALSE)),"",VLOOKUP(F1509,'2020功能科目'!A:B,2,FALSE))</f>
        <v>2080506</v>
      </c>
      <c r="F1509" s="25" t="s">
        <v>383</v>
      </c>
      <c r="G1509" s="26">
        <v>610645.43999999994</v>
      </c>
      <c r="H1509" s="26">
        <v>664235.43999999994</v>
      </c>
    </row>
    <row r="1510" spans="1:8">
      <c r="A1510" s="24">
        <v>255163</v>
      </c>
      <c r="B1510" s="25" t="s">
        <v>129</v>
      </c>
      <c r="C1510" s="39" t="str">
        <f t="shared" si="46"/>
        <v>210</v>
      </c>
      <c r="D1510" s="39" t="str">
        <f t="shared" si="47"/>
        <v>21011</v>
      </c>
      <c r="E1510" s="39">
        <f>IF(ISNA(VLOOKUP(F1510,'2020功能科目'!A:B,2,FALSE)),"",VLOOKUP(F1510,'2020功能科目'!A:B,2,FALSE))</f>
        <v>2101102</v>
      </c>
      <c r="F1510" s="25" t="s">
        <v>385</v>
      </c>
      <c r="G1510" s="26">
        <v>1079382.5900000001</v>
      </c>
      <c r="H1510" s="26">
        <v>1079382.5900000001</v>
      </c>
    </row>
    <row r="1511" spans="1:8">
      <c r="A1511" s="24">
        <v>255163</v>
      </c>
      <c r="B1511" s="25" t="s">
        <v>129</v>
      </c>
      <c r="C1511" s="39" t="str">
        <f t="shared" si="46"/>
        <v>221</v>
      </c>
      <c r="D1511" s="39" t="str">
        <f t="shared" si="47"/>
        <v>22102</v>
      </c>
      <c r="E1511" s="39">
        <f>IF(ISNA(VLOOKUP(F1511,'2020功能科目'!A:B,2,FALSE)),"",VLOOKUP(F1511,'2020功能科目'!A:B,2,FALSE))</f>
        <v>2210201</v>
      </c>
      <c r="F1511" s="25" t="s">
        <v>387</v>
      </c>
      <c r="G1511" s="26">
        <v>1239964</v>
      </c>
      <c r="H1511" s="26">
        <v>1350353.16</v>
      </c>
    </row>
    <row r="1512" spans="1:8">
      <c r="A1512" s="24">
        <v>255163</v>
      </c>
      <c r="B1512" s="25" t="s">
        <v>129</v>
      </c>
      <c r="C1512" s="39" t="str">
        <f t="shared" si="46"/>
        <v>221</v>
      </c>
      <c r="D1512" s="39" t="str">
        <f t="shared" si="47"/>
        <v>22102</v>
      </c>
      <c r="E1512" s="39">
        <f>IF(ISNA(VLOOKUP(F1512,'2020功能科目'!A:B,2,FALSE)),"",VLOOKUP(F1512,'2020功能科目'!A:B,2,FALSE))</f>
        <v>2210202</v>
      </c>
      <c r="F1512" s="25" t="s">
        <v>388</v>
      </c>
      <c r="G1512" s="26">
        <v>79060</v>
      </c>
      <c r="H1512" s="26">
        <v>79080</v>
      </c>
    </row>
    <row r="1513" spans="1:8">
      <c r="A1513" s="24">
        <v>255163</v>
      </c>
      <c r="B1513" s="25" t="s">
        <v>129</v>
      </c>
      <c r="C1513" s="39" t="str">
        <f t="shared" si="46"/>
        <v>221</v>
      </c>
      <c r="D1513" s="39" t="str">
        <f t="shared" si="47"/>
        <v>22102</v>
      </c>
      <c r="E1513" s="39">
        <f>IF(ISNA(VLOOKUP(F1513,'2020功能科目'!A:B,2,FALSE)),"",VLOOKUP(F1513,'2020功能科目'!A:B,2,FALSE))</f>
        <v>2210203</v>
      </c>
      <c r="F1513" s="25" t="s">
        <v>389</v>
      </c>
      <c r="G1513" s="26">
        <v>1238528</v>
      </c>
      <c r="H1513" s="26">
        <v>1314348</v>
      </c>
    </row>
    <row r="1514" spans="1:8">
      <c r="A1514" s="24">
        <v>255164</v>
      </c>
      <c r="B1514" s="25" t="s">
        <v>130</v>
      </c>
      <c r="C1514" s="39" t="str">
        <f t="shared" si="46"/>
        <v>205</v>
      </c>
      <c r="D1514" s="39" t="str">
        <f t="shared" si="47"/>
        <v>20502</v>
      </c>
      <c r="E1514" s="39">
        <f>IF(ISNA(VLOOKUP(F1514,'2020功能科目'!A:B,2,FALSE)),"",VLOOKUP(F1514,'2020功能科目'!A:B,2,FALSE))</f>
        <v>2050201</v>
      </c>
      <c r="F1514" s="25" t="s">
        <v>374</v>
      </c>
      <c r="G1514" s="26">
        <v>19028736.84</v>
      </c>
      <c r="H1514" s="26">
        <v>16467571.050000001</v>
      </c>
    </row>
    <row r="1515" spans="1:8">
      <c r="A1515" s="24">
        <v>255164</v>
      </c>
      <c r="B1515" s="25" t="s">
        <v>130</v>
      </c>
      <c r="C1515" s="39" t="str">
        <f t="shared" si="46"/>
        <v>205</v>
      </c>
      <c r="D1515" s="39" t="str">
        <f t="shared" si="47"/>
        <v>20508</v>
      </c>
      <c r="E1515" s="39">
        <f>IF(ISNA(VLOOKUP(F1515,'2020功能科目'!A:B,2,FALSE)),"",VLOOKUP(F1515,'2020功能科目'!A:B,2,FALSE))</f>
        <v>2050803</v>
      </c>
      <c r="F1515" s="25" t="s">
        <v>378</v>
      </c>
      <c r="G1515" s="26">
        <v>22400</v>
      </c>
      <c r="H1515" s="26">
        <v>44800</v>
      </c>
    </row>
    <row r="1516" spans="1:8">
      <c r="A1516" s="24">
        <v>255164</v>
      </c>
      <c r="B1516" s="25" t="s">
        <v>130</v>
      </c>
      <c r="C1516" s="39" t="str">
        <f t="shared" si="46"/>
        <v>205</v>
      </c>
      <c r="D1516" s="39" t="str">
        <f t="shared" si="47"/>
        <v>20509</v>
      </c>
      <c r="E1516" s="39">
        <f>IF(ISNA(VLOOKUP(F1516,'2020功能科目'!A:B,2,FALSE)),"",VLOOKUP(F1516,'2020功能科目'!A:B,2,FALSE))</f>
        <v>2050999</v>
      </c>
      <c r="F1516" s="25" t="s">
        <v>394</v>
      </c>
      <c r="G1516" s="26">
        <v>368778</v>
      </c>
      <c r="H1516" s="26">
        <v>375118</v>
      </c>
    </row>
    <row r="1517" spans="1:8">
      <c r="A1517" s="24">
        <v>255164</v>
      </c>
      <c r="B1517" s="25" t="s">
        <v>130</v>
      </c>
      <c r="C1517" s="39" t="str">
        <f t="shared" si="46"/>
        <v>208</v>
      </c>
      <c r="D1517" s="39" t="str">
        <f t="shared" si="47"/>
        <v>20805</v>
      </c>
      <c r="E1517" s="39">
        <f>IF(ISNA(VLOOKUP(F1517,'2020功能科目'!A:B,2,FALSE)),"",VLOOKUP(F1517,'2020功能科目'!A:B,2,FALSE))</f>
        <v>2080502</v>
      </c>
      <c r="F1517" s="25" t="s">
        <v>381</v>
      </c>
      <c r="G1517" s="26">
        <v>286943</v>
      </c>
      <c r="H1517" s="26">
        <v>299184</v>
      </c>
    </row>
    <row r="1518" spans="1:8">
      <c r="A1518" s="24">
        <v>255164</v>
      </c>
      <c r="B1518" s="25" t="s">
        <v>130</v>
      </c>
      <c r="C1518" s="39" t="str">
        <f t="shared" si="46"/>
        <v>208</v>
      </c>
      <c r="D1518" s="39" t="str">
        <f t="shared" si="47"/>
        <v>20805</v>
      </c>
      <c r="E1518" s="39">
        <f>IF(ISNA(VLOOKUP(F1518,'2020功能科目'!A:B,2,FALSE)),"",VLOOKUP(F1518,'2020功能科目'!A:B,2,FALSE))</f>
        <v>2080505</v>
      </c>
      <c r="F1518" s="25" t="s">
        <v>382</v>
      </c>
      <c r="G1518" s="26">
        <v>1627895.52</v>
      </c>
      <c r="H1518" s="26">
        <v>1627895.52</v>
      </c>
    </row>
    <row r="1519" spans="1:8">
      <c r="A1519" s="24">
        <v>255164</v>
      </c>
      <c r="B1519" s="25" t="s">
        <v>130</v>
      </c>
      <c r="C1519" s="39" t="str">
        <f t="shared" si="46"/>
        <v>208</v>
      </c>
      <c r="D1519" s="39" t="str">
        <f t="shared" si="47"/>
        <v>20805</v>
      </c>
      <c r="E1519" s="39">
        <f>IF(ISNA(VLOOKUP(F1519,'2020功能科目'!A:B,2,FALSE)),"",VLOOKUP(F1519,'2020功能科目'!A:B,2,FALSE))</f>
        <v>2080506</v>
      </c>
      <c r="F1519" s="25" t="s">
        <v>383</v>
      </c>
      <c r="G1519" s="26">
        <v>813947.76</v>
      </c>
      <c r="H1519" s="26">
        <v>813947.76</v>
      </c>
    </row>
    <row r="1520" spans="1:8">
      <c r="A1520" s="24">
        <v>255164</v>
      </c>
      <c r="B1520" s="25" t="s">
        <v>130</v>
      </c>
      <c r="C1520" s="39" t="str">
        <f t="shared" si="46"/>
        <v>210</v>
      </c>
      <c r="D1520" s="39" t="str">
        <f t="shared" si="47"/>
        <v>21011</v>
      </c>
      <c r="E1520" s="39">
        <f>IF(ISNA(VLOOKUP(F1520,'2020功能科目'!A:B,2,FALSE)),"",VLOOKUP(F1520,'2020功能科目'!A:B,2,FALSE))</f>
        <v>2101102</v>
      </c>
      <c r="F1520" s="25" t="s">
        <v>385</v>
      </c>
      <c r="G1520" s="26">
        <v>1322665.1100000001</v>
      </c>
      <c r="H1520" s="26">
        <v>1322665.1100000001</v>
      </c>
    </row>
    <row r="1521" spans="1:8">
      <c r="A1521" s="24">
        <v>255164</v>
      </c>
      <c r="B1521" s="25" t="s">
        <v>130</v>
      </c>
      <c r="C1521" s="39" t="str">
        <f t="shared" si="46"/>
        <v>221</v>
      </c>
      <c r="D1521" s="39" t="str">
        <f t="shared" si="47"/>
        <v>22102</v>
      </c>
      <c r="E1521" s="39">
        <f>IF(ISNA(VLOOKUP(F1521,'2020功能科目'!A:B,2,FALSE)),"",VLOOKUP(F1521,'2020功能科目'!A:B,2,FALSE))</f>
        <v>2210201</v>
      </c>
      <c r="F1521" s="25" t="s">
        <v>387</v>
      </c>
      <c r="G1521" s="26">
        <v>1556921.64</v>
      </c>
      <c r="H1521" s="26">
        <v>1556921.64</v>
      </c>
    </row>
    <row r="1522" spans="1:8">
      <c r="A1522" s="24">
        <v>255164</v>
      </c>
      <c r="B1522" s="25" t="s">
        <v>130</v>
      </c>
      <c r="C1522" s="39" t="str">
        <f t="shared" si="46"/>
        <v>221</v>
      </c>
      <c r="D1522" s="39" t="str">
        <f t="shared" si="47"/>
        <v>22102</v>
      </c>
      <c r="E1522" s="39">
        <f>IF(ISNA(VLOOKUP(F1522,'2020功能科目'!A:B,2,FALSE)),"",VLOOKUP(F1522,'2020功能科目'!A:B,2,FALSE))</f>
        <v>2210202</v>
      </c>
      <c r="F1522" s="25" t="s">
        <v>388</v>
      </c>
      <c r="G1522" s="26">
        <v>75380</v>
      </c>
      <c r="H1522" s="26">
        <v>77400</v>
      </c>
    </row>
    <row r="1523" spans="1:8">
      <c r="A1523" s="24">
        <v>255164</v>
      </c>
      <c r="B1523" s="25" t="s">
        <v>130</v>
      </c>
      <c r="C1523" s="39" t="str">
        <f t="shared" si="46"/>
        <v>221</v>
      </c>
      <c r="D1523" s="39" t="str">
        <f t="shared" si="47"/>
        <v>22102</v>
      </c>
      <c r="E1523" s="39">
        <f>IF(ISNA(VLOOKUP(F1523,'2020功能科目'!A:B,2,FALSE)),"",VLOOKUP(F1523,'2020功能科目'!A:B,2,FALSE))</f>
        <v>2210203</v>
      </c>
      <c r="F1523" s="25" t="s">
        <v>389</v>
      </c>
      <c r="G1523" s="26">
        <v>1305230</v>
      </c>
      <c r="H1523" s="26">
        <v>1347456</v>
      </c>
    </row>
    <row r="1524" spans="1:8">
      <c r="A1524" s="24">
        <v>255165</v>
      </c>
      <c r="B1524" s="25" t="s">
        <v>131</v>
      </c>
      <c r="C1524" s="39" t="str">
        <f t="shared" si="46"/>
        <v>205</v>
      </c>
      <c r="D1524" s="39" t="str">
        <f t="shared" si="47"/>
        <v>20502</v>
      </c>
      <c r="E1524" s="39">
        <f>IF(ISNA(VLOOKUP(F1524,'2020功能科目'!A:B,2,FALSE)),"",VLOOKUP(F1524,'2020功能科目'!A:B,2,FALSE))</f>
        <v>2050201</v>
      </c>
      <c r="F1524" s="25" t="s">
        <v>374</v>
      </c>
      <c r="G1524" s="26">
        <v>25515661.649999999</v>
      </c>
      <c r="H1524" s="26">
        <v>23215364.530000001</v>
      </c>
    </row>
    <row r="1525" spans="1:8">
      <c r="A1525" s="24">
        <v>255165</v>
      </c>
      <c r="B1525" s="25" t="s">
        <v>131</v>
      </c>
      <c r="C1525" s="39" t="str">
        <f t="shared" si="46"/>
        <v>205</v>
      </c>
      <c r="D1525" s="39" t="str">
        <f t="shared" si="47"/>
        <v>20508</v>
      </c>
      <c r="E1525" s="39">
        <f>IF(ISNA(VLOOKUP(F1525,'2020功能科目'!A:B,2,FALSE)),"",VLOOKUP(F1525,'2020功能科目'!A:B,2,FALSE))</f>
        <v>2050803</v>
      </c>
      <c r="F1525" s="25" t="s">
        <v>378</v>
      </c>
      <c r="G1525" s="26">
        <v>28790</v>
      </c>
      <c r="H1525" s="26">
        <v>57600</v>
      </c>
    </row>
    <row r="1526" spans="1:8">
      <c r="A1526" s="24">
        <v>255165</v>
      </c>
      <c r="B1526" s="25" t="s">
        <v>131</v>
      </c>
      <c r="C1526" s="39" t="str">
        <f t="shared" si="46"/>
        <v>208</v>
      </c>
      <c r="D1526" s="39" t="str">
        <f t="shared" si="47"/>
        <v>20805</v>
      </c>
      <c r="E1526" s="39">
        <f>IF(ISNA(VLOOKUP(F1526,'2020功能科目'!A:B,2,FALSE)),"",VLOOKUP(F1526,'2020功能科目'!A:B,2,FALSE))</f>
        <v>2080502</v>
      </c>
      <c r="F1526" s="25" t="s">
        <v>381</v>
      </c>
      <c r="G1526" s="26">
        <v>286084</v>
      </c>
      <c r="H1526" s="26">
        <v>324334</v>
      </c>
    </row>
    <row r="1527" spans="1:8">
      <c r="A1527" s="24">
        <v>255165</v>
      </c>
      <c r="B1527" s="25" t="s">
        <v>131</v>
      </c>
      <c r="C1527" s="39" t="str">
        <f t="shared" si="46"/>
        <v>208</v>
      </c>
      <c r="D1527" s="39" t="str">
        <f t="shared" si="47"/>
        <v>20805</v>
      </c>
      <c r="E1527" s="39">
        <f>IF(ISNA(VLOOKUP(F1527,'2020功能科目'!A:B,2,FALSE)),"",VLOOKUP(F1527,'2020功能科目'!A:B,2,FALSE))</f>
        <v>2080505</v>
      </c>
      <c r="F1527" s="25" t="s">
        <v>382</v>
      </c>
      <c r="G1527" s="26">
        <v>1631239.04</v>
      </c>
      <c r="H1527" s="26">
        <v>1631239.04</v>
      </c>
    </row>
    <row r="1528" spans="1:8">
      <c r="A1528" s="24">
        <v>255165</v>
      </c>
      <c r="B1528" s="25" t="s">
        <v>131</v>
      </c>
      <c r="C1528" s="39" t="str">
        <f t="shared" si="46"/>
        <v>208</v>
      </c>
      <c r="D1528" s="39" t="str">
        <f t="shared" si="47"/>
        <v>20805</v>
      </c>
      <c r="E1528" s="39">
        <f>IF(ISNA(VLOOKUP(F1528,'2020功能科目'!A:B,2,FALSE)),"",VLOOKUP(F1528,'2020功能科目'!A:B,2,FALSE))</f>
        <v>2080506</v>
      </c>
      <c r="F1528" s="25" t="s">
        <v>383</v>
      </c>
      <c r="G1528" s="26">
        <v>915885.68</v>
      </c>
      <c r="H1528" s="26">
        <v>815619.52</v>
      </c>
    </row>
    <row r="1529" spans="1:8">
      <c r="A1529" s="24">
        <v>255165</v>
      </c>
      <c r="B1529" s="25" t="s">
        <v>131</v>
      </c>
      <c r="C1529" s="39" t="str">
        <f t="shared" si="46"/>
        <v>210</v>
      </c>
      <c r="D1529" s="39" t="str">
        <f t="shared" si="47"/>
        <v>21011</v>
      </c>
      <c r="E1529" s="39">
        <f>IF(ISNA(VLOOKUP(F1529,'2020功能科目'!A:B,2,FALSE)),"",VLOOKUP(F1529,'2020功能科目'!A:B,2,FALSE))</f>
        <v>2101102</v>
      </c>
      <c r="F1529" s="25" t="s">
        <v>385</v>
      </c>
      <c r="G1529" s="26">
        <v>1492629.62</v>
      </c>
      <c r="H1529" s="26">
        <v>1325381.72</v>
      </c>
    </row>
    <row r="1530" spans="1:8">
      <c r="A1530" s="24">
        <v>255165</v>
      </c>
      <c r="B1530" s="25" t="s">
        <v>131</v>
      </c>
      <c r="C1530" s="39" t="str">
        <f t="shared" si="46"/>
        <v>221</v>
      </c>
      <c r="D1530" s="39" t="str">
        <f t="shared" si="47"/>
        <v>22102</v>
      </c>
      <c r="E1530" s="39">
        <f>IF(ISNA(VLOOKUP(F1530,'2020功能科目'!A:B,2,FALSE)),"",VLOOKUP(F1530,'2020功能科目'!A:B,2,FALSE))</f>
        <v>2210201</v>
      </c>
      <c r="F1530" s="25" t="s">
        <v>387</v>
      </c>
      <c r="G1530" s="26">
        <v>1919851</v>
      </c>
      <c r="H1530" s="26">
        <v>1655429.28</v>
      </c>
    </row>
    <row r="1531" spans="1:8">
      <c r="A1531" s="24">
        <v>255165</v>
      </c>
      <c r="B1531" s="25" t="s">
        <v>131</v>
      </c>
      <c r="C1531" s="39" t="str">
        <f t="shared" si="46"/>
        <v>221</v>
      </c>
      <c r="D1531" s="39" t="str">
        <f t="shared" si="47"/>
        <v>22102</v>
      </c>
      <c r="E1531" s="39">
        <f>IF(ISNA(VLOOKUP(F1531,'2020功能科目'!A:B,2,FALSE)),"",VLOOKUP(F1531,'2020功能科目'!A:B,2,FALSE))</f>
        <v>2210202</v>
      </c>
      <c r="F1531" s="25" t="s">
        <v>388</v>
      </c>
      <c r="G1531" s="26">
        <v>85175</v>
      </c>
      <c r="H1531" s="26">
        <v>87300</v>
      </c>
    </row>
    <row r="1532" spans="1:8">
      <c r="A1532" s="24">
        <v>255165</v>
      </c>
      <c r="B1532" s="25" t="s">
        <v>131</v>
      </c>
      <c r="C1532" s="39" t="str">
        <f t="shared" si="46"/>
        <v>221</v>
      </c>
      <c r="D1532" s="39" t="str">
        <f t="shared" si="47"/>
        <v>22102</v>
      </c>
      <c r="E1532" s="39">
        <f>IF(ISNA(VLOOKUP(F1532,'2020功能科目'!A:B,2,FALSE)),"",VLOOKUP(F1532,'2020功能科目'!A:B,2,FALSE))</f>
        <v>2210203</v>
      </c>
      <c r="F1532" s="25" t="s">
        <v>389</v>
      </c>
      <c r="G1532" s="26">
        <v>1676851</v>
      </c>
      <c r="H1532" s="26">
        <v>1674060</v>
      </c>
    </row>
    <row r="1533" spans="1:8">
      <c r="A1533" s="24">
        <v>255166</v>
      </c>
      <c r="B1533" s="25" t="s">
        <v>132</v>
      </c>
      <c r="C1533" s="39" t="str">
        <f t="shared" si="46"/>
        <v>205</v>
      </c>
      <c r="D1533" s="39" t="str">
        <f t="shared" si="47"/>
        <v>20502</v>
      </c>
      <c r="E1533" s="39">
        <f>IF(ISNA(VLOOKUP(F1533,'2020功能科目'!A:B,2,FALSE)),"",VLOOKUP(F1533,'2020功能科目'!A:B,2,FALSE))</f>
        <v>2050201</v>
      </c>
      <c r="F1533" s="25" t="s">
        <v>374</v>
      </c>
      <c r="G1533" s="26">
        <v>12792635.51</v>
      </c>
      <c r="H1533" s="26">
        <v>9518411.0500000007</v>
      </c>
    </row>
    <row r="1534" spans="1:8">
      <c r="A1534" s="24">
        <v>255166</v>
      </c>
      <c r="B1534" s="25" t="s">
        <v>132</v>
      </c>
      <c r="C1534" s="39" t="str">
        <f t="shared" si="46"/>
        <v>205</v>
      </c>
      <c r="D1534" s="39" t="str">
        <f t="shared" si="47"/>
        <v>20508</v>
      </c>
      <c r="E1534" s="39">
        <f>IF(ISNA(VLOOKUP(F1534,'2020功能科目'!A:B,2,FALSE)),"",VLOOKUP(F1534,'2020功能科目'!A:B,2,FALSE))</f>
        <v>2050803</v>
      </c>
      <c r="F1534" s="25" t="s">
        <v>378</v>
      </c>
      <c r="G1534" s="26">
        <v>14400</v>
      </c>
      <c r="H1534" s="26">
        <v>28800</v>
      </c>
    </row>
    <row r="1535" spans="1:8">
      <c r="A1535" s="24">
        <v>255166</v>
      </c>
      <c r="B1535" s="25" t="s">
        <v>132</v>
      </c>
      <c r="C1535" s="39" t="str">
        <f t="shared" si="46"/>
        <v>205</v>
      </c>
      <c r="D1535" s="39" t="str">
        <f t="shared" si="47"/>
        <v>20509</v>
      </c>
      <c r="E1535" s="39">
        <f>IF(ISNA(VLOOKUP(F1535,'2020功能科目'!A:B,2,FALSE)),"",VLOOKUP(F1535,'2020功能科目'!A:B,2,FALSE))</f>
        <v>2050999</v>
      </c>
      <c r="F1535" s="25" t="s">
        <v>394</v>
      </c>
      <c r="G1535" s="26">
        <v>1935535</v>
      </c>
      <c r="H1535" s="26">
        <v>1935535</v>
      </c>
    </row>
    <row r="1536" spans="1:8">
      <c r="A1536" s="24">
        <v>255166</v>
      </c>
      <c r="B1536" s="25" t="s">
        <v>132</v>
      </c>
      <c r="C1536" s="39" t="str">
        <f t="shared" si="46"/>
        <v>208</v>
      </c>
      <c r="D1536" s="39" t="str">
        <f t="shared" si="47"/>
        <v>20805</v>
      </c>
      <c r="E1536" s="39">
        <f>IF(ISNA(VLOOKUP(F1536,'2020功能科目'!A:B,2,FALSE)),"",VLOOKUP(F1536,'2020功能科目'!A:B,2,FALSE))</f>
        <v>2080502</v>
      </c>
      <c r="F1536" s="25" t="s">
        <v>381</v>
      </c>
      <c r="G1536" s="26">
        <v>550364</v>
      </c>
      <c r="H1536" s="26">
        <v>551552</v>
      </c>
    </row>
    <row r="1537" spans="1:8">
      <c r="A1537" s="24">
        <v>255166</v>
      </c>
      <c r="B1537" s="25" t="s">
        <v>132</v>
      </c>
      <c r="C1537" s="39" t="str">
        <f t="shared" si="46"/>
        <v>208</v>
      </c>
      <c r="D1537" s="39" t="str">
        <f t="shared" si="47"/>
        <v>20805</v>
      </c>
      <c r="E1537" s="39">
        <f>IF(ISNA(VLOOKUP(F1537,'2020功能科目'!A:B,2,FALSE)),"",VLOOKUP(F1537,'2020功能科目'!A:B,2,FALSE))</f>
        <v>2080505</v>
      </c>
      <c r="F1537" s="25" t="s">
        <v>382</v>
      </c>
      <c r="G1537" s="26">
        <v>797376.8</v>
      </c>
      <c r="H1537" s="26">
        <v>838444.58</v>
      </c>
    </row>
    <row r="1538" spans="1:8">
      <c r="A1538" s="24">
        <v>255166</v>
      </c>
      <c r="B1538" s="25" t="s">
        <v>132</v>
      </c>
      <c r="C1538" s="39" t="str">
        <f t="shared" si="46"/>
        <v>208</v>
      </c>
      <c r="D1538" s="39" t="str">
        <f t="shared" si="47"/>
        <v>20805</v>
      </c>
      <c r="E1538" s="39">
        <f>IF(ISNA(VLOOKUP(F1538,'2020功能科目'!A:B,2,FALSE)),"",VLOOKUP(F1538,'2020功能科目'!A:B,2,FALSE))</f>
        <v>2080506</v>
      </c>
      <c r="F1538" s="25" t="s">
        <v>383</v>
      </c>
      <c r="G1538" s="26">
        <v>398688.4</v>
      </c>
      <c r="H1538" s="26">
        <v>419222.29</v>
      </c>
    </row>
    <row r="1539" spans="1:8">
      <c r="A1539" s="24">
        <v>255166</v>
      </c>
      <c r="B1539" s="25" t="s">
        <v>132</v>
      </c>
      <c r="C1539" s="39" t="str">
        <f t="shared" ref="C1539:C1602" si="48">LEFT(D1539,3)</f>
        <v>210</v>
      </c>
      <c r="D1539" s="39" t="str">
        <f t="shared" ref="D1539:D1602" si="49">LEFT(E1539,5)</f>
        <v>21011</v>
      </c>
      <c r="E1539" s="39">
        <f>IF(ISNA(VLOOKUP(F1539,'2020功能科目'!A:B,2,FALSE)),"",VLOOKUP(F1539,'2020功能科目'!A:B,2,FALSE))</f>
        <v>2101102</v>
      </c>
      <c r="F1539" s="25" t="s">
        <v>385</v>
      </c>
      <c r="G1539" s="26">
        <v>731777.33</v>
      </c>
      <c r="H1539" s="26">
        <v>681236.22</v>
      </c>
    </row>
    <row r="1540" spans="1:8">
      <c r="A1540" s="24">
        <v>255166</v>
      </c>
      <c r="B1540" s="25" t="s">
        <v>132</v>
      </c>
      <c r="C1540" s="39" t="str">
        <f t="shared" si="48"/>
        <v>221</v>
      </c>
      <c r="D1540" s="39" t="str">
        <f t="shared" si="49"/>
        <v>22102</v>
      </c>
      <c r="E1540" s="39">
        <f>IF(ISNA(VLOOKUP(F1540,'2020功能科目'!A:B,2,FALSE)),"",VLOOKUP(F1540,'2020功能科目'!A:B,2,FALSE))</f>
        <v>2210201</v>
      </c>
      <c r="F1540" s="25" t="s">
        <v>387</v>
      </c>
      <c r="G1540" s="26">
        <v>882316</v>
      </c>
      <c r="H1540" s="26">
        <v>844833.44</v>
      </c>
    </row>
    <row r="1541" spans="1:8">
      <c r="A1541" s="24">
        <v>255166</v>
      </c>
      <c r="B1541" s="25" t="s">
        <v>132</v>
      </c>
      <c r="C1541" s="39" t="str">
        <f t="shared" si="48"/>
        <v>221</v>
      </c>
      <c r="D1541" s="39" t="str">
        <f t="shared" si="49"/>
        <v>22102</v>
      </c>
      <c r="E1541" s="39">
        <f>IF(ISNA(VLOOKUP(F1541,'2020功能科目'!A:B,2,FALSE)),"",VLOOKUP(F1541,'2020功能科目'!A:B,2,FALSE))</f>
        <v>2210202</v>
      </c>
      <c r="F1541" s="25" t="s">
        <v>388</v>
      </c>
      <c r="G1541" s="26">
        <v>81960</v>
      </c>
      <c r="H1541" s="26">
        <v>81960</v>
      </c>
    </row>
    <row r="1542" spans="1:8">
      <c r="A1542" s="24">
        <v>255166</v>
      </c>
      <c r="B1542" s="25" t="s">
        <v>132</v>
      </c>
      <c r="C1542" s="39" t="str">
        <f t="shared" si="48"/>
        <v>221</v>
      </c>
      <c r="D1542" s="39" t="str">
        <f t="shared" si="49"/>
        <v>22102</v>
      </c>
      <c r="E1542" s="39">
        <f>IF(ISNA(VLOOKUP(F1542,'2020功能科目'!A:B,2,FALSE)),"",VLOOKUP(F1542,'2020功能科目'!A:B,2,FALSE))</f>
        <v>2210203</v>
      </c>
      <c r="F1542" s="25" t="s">
        <v>389</v>
      </c>
      <c r="G1542" s="26">
        <v>893637</v>
      </c>
      <c r="H1542" s="26">
        <v>887172</v>
      </c>
    </row>
    <row r="1543" spans="1:8">
      <c r="A1543" s="24">
        <v>255167</v>
      </c>
      <c r="B1543" s="25" t="s">
        <v>133</v>
      </c>
      <c r="C1543" s="39" t="str">
        <f t="shared" si="48"/>
        <v>205</v>
      </c>
      <c r="D1543" s="39" t="str">
        <f t="shared" si="49"/>
        <v>20502</v>
      </c>
      <c r="E1543" s="39">
        <f>IF(ISNA(VLOOKUP(F1543,'2020功能科目'!A:B,2,FALSE)),"",VLOOKUP(F1543,'2020功能科目'!A:B,2,FALSE))</f>
        <v>2050201</v>
      </c>
      <c r="F1543" s="25" t="s">
        <v>374</v>
      </c>
      <c r="G1543" s="26">
        <v>32960298.949999999</v>
      </c>
      <c r="H1543" s="26">
        <v>16486174.220000001</v>
      </c>
    </row>
    <row r="1544" spans="1:8">
      <c r="A1544" s="24">
        <v>255167</v>
      </c>
      <c r="B1544" s="25" t="s">
        <v>133</v>
      </c>
      <c r="C1544" s="39" t="str">
        <f t="shared" si="48"/>
        <v>205</v>
      </c>
      <c r="D1544" s="39" t="str">
        <f t="shared" si="49"/>
        <v>20508</v>
      </c>
      <c r="E1544" s="39">
        <f>IF(ISNA(VLOOKUP(F1544,'2020功能科目'!A:B,2,FALSE)),"",VLOOKUP(F1544,'2020功能科目'!A:B,2,FALSE))</f>
        <v>2050803</v>
      </c>
      <c r="F1544" s="25" t="s">
        <v>378</v>
      </c>
      <c r="G1544" s="26">
        <v>24400</v>
      </c>
      <c r="H1544" s="26">
        <v>48800</v>
      </c>
    </row>
    <row r="1545" spans="1:8">
      <c r="A1545" s="24">
        <v>255167</v>
      </c>
      <c r="B1545" s="25" t="s">
        <v>133</v>
      </c>
      <c r="C1545" s="39" t="str">
        <f t="shared" si="48"/>
        <v>205</v>
      </c>
      <c r="D1545" s="39" t="str">
        <f t="shared" si="49"/>
        <v>20509</v>
      </c>
      <c r="E1545" s="39">
        <f>IF(ISNA(VLOOKUP(F1545,'2020功能科目'!A:B,2,FALSE)),"",VLOOKUP(F1545,'2020功能科目'!A:B,2,FALSE))</f>
        <v>2050999</v>
      </c>
      <c r="F1545" s="25" t="s">
        <v>394</v>
      </c>
      <c r="G1545" s="26">
        <v>2837177.51</v>
      </c>
      <c r="H1545" s="26">
        <v>2848600</v>
      </c>
    </row>
    <row r="1546" spans="1:8">
      <c r="A1546" s="24">
        <v>255167</v>
      </c>
      <c r="B1546" s="25" t="s">
        <v>133</v>
      </c>
      <c r="C1546" s="39" t="str">
        <f t="shared" si="48"/>
        <v>208</v>
      </c>
      <c r="D1546" s="39" t="str">
        <f t="shared" si="49"/>
        <v>20805</v>
      </c>
      <c r="E1546" s="39">
        <f>IF(ISNA(VLOOKUP(F1546,'2020功能科目'!A:B,2,FALSE)),"",VLOOKUP(F1546,'2020功能科目'!A:B,2,FALSE))</f>
        <v>2080502</v>
      </c>
      <c r="F1546" s="25" t="s">
        <v>381</v>
      </c>
      <c r="G1546" s="26">
        <v>590863</v>
      </c>
      <c r="H1546" s="26">
        <v>551474</v>
      </c>
    </row>
    <row r="1547" spans="1:8">
      <c r="A1547" s="24">
        <v>255167</v>
      </c>
      <c r="B1547" s="25" t="s">
        <v>133</v>
      </c>
      <c r="C1547" s="39" t="str">
        <f t="shared" si="48"/>
        <v>208</v>
      </c>
      <c r="D1547" s="39" t="str">
        <f t="shared" si="49"/>
        <v>20805</v>
      </c>
      <c r="E1547" s="39">
        <f>IF(ISNA(VLOOKUP(F1547,'2020功能科目'!A:B,2,FALSE)),"",VLOOKUP(F1547,'2020功能科目'!A:B,2,FALSE))</f>
        <v>2080505</v>
      </c>
      <c r="F1547" s="25" t="s">
        <v>382</v>
      </c>
      <c r="G1547" s="26">
        <v>1359569.9199999999</v>
      </c>
      <c r="H1547" s="26">
        <v>1213074.8799999999</v>
      </c>
    </row>
    <row r="1548" spans="1:8">
      <c r="A1548" s="24">
        <v>255167</v>
      </c>
      <c r="B1548" s="25" t="s">
        <v>133</v>
      </c>
      <c r="C1548" s="39" t="str">
        <f t="shared" si="48"/>
        <v>208</v>
      </c>
      <c r="D1548" s="39" t="str">
        <f t="shared" si="49"/>
        <v>20805</v>
      </c>
      <c r="E1548" s="39">
        <f>IF(ISNA(VLOOKUP(F1548,'2020功能科目'!A:B,2,FALSE)),"",VLOOKUP(F1548,'2020功能科目'!A:B,2,FALSE))</f>
        <v>2080506</v>
      </c>
      <c r="F1548" s="25" t="s">
        <v>383</v>
      </c>
      <c r="G1548" s="26">
        <v>679784.95999999996</v>
      </c>
      <c r="H1548" s="26">
        <v>606537.43999999994</v>
      </c>
    </row>
    <row r="1549" spans="1:8">
      <c r="A1549" s="24">
        <v>255167</v>
      </c>
      <c r="B1549" s="25" t="s">
        <v>133</v>
      </c>
      <c r="C1549" s="39" t="str">
        <f t="shared" si="48"/>
        <v>210</v>
      </c>
      <c r="D1549" s="39" t="str">
        <f t="shared" si="49"/>
        <v>21011</v>
      </c>
      <c r="E1549" s="39">
        <f>IF(ISNA(VLOOKUP(F1549,'2020功能科目'!A:B,2,FALSE)),"",VLOOKUP(F1549,'2020功能科目'!A:B,2,FALSE))</f>
        <v>2101102</v>
      </c>
      <c r="F1549" s="25" t="s">
        <v>385</v>
      </c>
      <c r="G1549" s="26">
        <v>1190135.69</v>
      </c>
      <c r="H1549" s="26">
        <v>985623.34</v>
      </c>
    </row>
    <row r="1550" spans="1:8">
      <c r="A1550" s="24">
        <v>255167</v>
      </c>
      <c r="B1550" s="25" t="s">
        <v>133</v>
      </c>
      <c r="C1550" s="39" t="str">
        <f t="shared" si="48"/>
        <v>210</v>
      </c>
      <c r="D1550" s="39" t="str">
        <f t="shared" si="49"/>
        <v>21011</v>
      </c>
      <c r="E1550" s="39">
        <f>IF(ISNA(VLOOKUP(F1550,'2020功能科目'!A:B,2,FALSE)),"",VLOOKUP(F1550,'2020功能科目'!A:B,2,FALSE))</f>
        <v>2101199</v>
      </c>
      <c r="F1550" s="25" t="s">
        <v>386</v>
      </c>
      <c r="G1550" s="26">
        <v>90000</v>
      </c>
      <c r="H1550" s="26">
        <v>90000</v>
      </c>
    </row>
    <row r="1551" spans="1:8">
      <c r="A1551" s="24">
        <v>255167</v>
      </c>
      <c r="B1551" s="25" t="s">
        <v>133</v>
      </c>
      <c r="C1551" s="39" t="str">
        <f t="shared" si="48"/>
        <v>221</v>
      </c>
      <c r="D1551" s="39" t="str">
        <f t="shared" si="49"/>
        <v>22102</v>
      </c>
      <c r="E1551" s="39">
        <f>IF(ISNA(VLOOKUP(F1551,'2020功能科目'!A:B,2,FALSE)),"",VLOOKUP(F1551,'2020功能科目'!A:B,2,FALSE))</f>
        <v>2210201</v>
      </c>
      <c r="F1551" s="25" t="s">
        <v>387</v>
      </c>
      <c r="G1551" s="26">
        <v>1453814</v>
      </c>
      <c r="H1551" s="26">
        <v>1275806.1599999999</v>
      </c>
    </row>
    <row r="1552" spans="1:8">
      <c r="A1552" s="24">
        <v>255167</v>
      </c>
      <c r="B1552" s="25" t="s">
        <v>133</v>
      </c>
      <c r="C1552" s="39" t="str">
        <f t="shared" si="48"/>
        <v>221</v>
      </c>
      <c r="D1552" s="39" t="str">
        <f t="shared" si="49"/>
        <v>22102</v>
      </c>
      <c r="E1552" s="39">
        <f>IF(ISNA(VLOOKUP(F1552,'2020功能科目'!A:B,2,FALSE)),"",VLOOKUP(F1552,'2020功能科目'!A:B,2,FALSE))</f>
        <v>2210202</v>
      </c>
      <c r="F1552" s="25" t="s">
        <v>388</v>
      </c>
      <c r="G1552" s="26">
        <v>88560</v>
      </c>
      <c r="H1552" s="26">
        <v>88440</v>
      </c>
    </row>
    <row r="1553" spans="1:8">
      <c r="A1553" s="24">
        <v>255167</v>
      </c>
      <c r="B1553" s="25" t="s">
        <v>133</v>
      </c>
      <c r="C1553" s="39" t="str">
        <f t="shared" si="48"/>
        <v>221</v>
      </c>
      <c r="D1553" s="39" t="str">
        <f t="shared" si="49"/>
        <v>22102</v>
      </c>
      <c r="E1553" s="39">
        <f>IF(ISNA(VLOOKUP(F1553,'2020功能科目'!A:B,2,FALSE)),"",VLOOKUP(F1553,'2020功能科目'!A:B,2,FALSE))</f>
        <v>2210203</v>
      </c>
      <c r="F1553" s="25" t="s">
        <v>389</v>
      </c>
      <c r="G1553" s="26">
        <v>1159728</v>
      </c>
      <c r="H1553" s="26">
        <v>1124388</v>
      </c>
    </row>
    <row r="1554" spans="1:8">
      <c r="A1554" s="24">
        <v>255168</v>
      </c>
      <c r="B1554" s="25" t="s">
        <v>134</v>
      </c>
      <c r="C1554" s="39" t="str">
        <f t="shared" si="48"/>
        <v>205</v>
      </c>
      <c r="D1554" s="39" t="str">
        <f t="shared" si="49"/>
        <v>20502</v>
      </c>
      <c r="E1554" s="39">
        <f>IF(ISNA(VLOOKUP(F1554,'2020功能科目'!A:B,2,FALSE)),"",VLOOKUP(F1554,'2020功能科目'!A:B,2,FALSE))</f>
        <v>2050201</v>
      </c>
      <c r="F1554" s="25" t="s">
        <v>374</v>
      </c>
      <c r="G1554" s="26">
        <v>9157865.9100000001</v>
      </c>
      <c r="H1554" s="26">
        <v>8305800.0300000003</v>
      </c>
    </row>
    <row r="1555" spans="1:8">
      <c r="A1555" s="24">
        <v>255168</v>
      </c>
      <c r="B1555" s="25" t="s">
        <v>134</v>
      </c>
      <c r="C1555" s="39" t="str">
        <f t="shared" si="48"/>
        <v>205</v>
      </c>
      <c r="D1555" s="39" t="str">
        <f t="shared" si="49"/>
        <v>20508</v>
      </c>
      <c r="E1555" s="39">
        <f>IF(ISNA(VLOOKUP(F1555,'2020功能科目'!A:B,2,FALSE)),"",VLOOKUP(F1555,'2020功能科目'!A:B,2,FALSE))</f>
        <v>2050803</v>
      </c>
      <c r="F1555" s="25" t="s">
        <v>378</v>
      </c>
      <c r="G1555" s="26">
        <v>0</v>
      </c>
      <c r="H1555" s="26">
        <v>27200</v>
      </c>
    </row>
    <row r="1556" spans="1:8">
      <c r="A1556" s="24">
        <v>255168</v>
      </c>
      <c r="B1556" s="25" t="s">
        <v>134</v>
      </c>
      <c r="C1556" s="39" t="str">
        <f t="shared" si="48"/>
        <v>205</v>
      </c>
      <c r="D1556" s="39" t="str">
        <f t="shared" si="49"/>
        <v>20509</v>
      </c>
      <c r="E1556" s="39">
        <f>IF(ISNA(VLOOKUP(F1556,'2020功能科目'!A:B,2,FALSE)),"",VLOOKUP(F1556,'2020功能科目'!A:B,2,FALSE))</f>
        <v>2050999</v>
      </c>
      <c r="F1556" s="25" t="s">
        <v>394</v>
      </c>
      <c r="G1556" s="26">
        <v>245428.19</v>
      </c>
      <c r="H1556" s="26">
        <v>248000</v>
      </c>
    </row>
    <row r="1557" spans="1:8">
      <c r="A1557" s="24">
        <v>255168</v>
      </c>
      <c r="B1557" s="25" t="s">
        <v>134</v>
      </c>
      <c r="C1557" s="39" t="str">
        <f t="shared" si="48"/>
        <v>208</v>
      </c>
      <c r="D1557" s="39" t="str">
        <f t="shared" si="49"/>
        <v>20805</v>
      </c>
      <c r="E1557" s="39">
        <f>IF(ISNA(VLOOKUP(F1557,'2020功能科目'!A:B,2,FALSE)),"",VLOOKUP(F1557,'2020功能科目'!A:B,2,FALSE))</f>
        <v>2080502</v>
      </c>
      <c r="F1557" s="25" t="s">
        <v>381</v>
      </c>
      <c r="G1557" s="26">
        <v>298176</v>
      </c>
      <c r="H1557" s="26">
        <v>288796</v>
      </c>
    </row>
    <row r="1558" spans="1:8">
      <c r="A1558" s="24">
        <v>255168</v>
      </c>
      <c r="B1558" s="25" t="s">
        <v>134</v>
      </c>
      <c r="C1558" s="39" t="str">
        <f t="shared" si="48"/>
        <v>208</v>
      </c>
      <c r="D1558" s="39" t="str">
        <f t="shared" si="49"/>
        <v>20805</v>
      </c>
      <c r="E1558" s="39">
        <f>IF(ISNA(VLOOKUP(F1558,'2020功能科目'!A:B,2,FALSE)),"",VLOOKUP(F1558,'2020功能科目'!A:B,2,FALSE))</f>
        <v>2080505</v>
      </c>
      <c r="F1558" s="25" t="s">
        <v>382</v>
      </c>
      <c r="G1558" s="26">
        <v>703541.92</v>
      </c>
      <c r="H1558" s="26">
        <v>703541.92</v>
      </c>
    </row>
    <row r="1559" spans="1:8">
      <c r="A1559" s="24">
        <v>255168</v>
      </c>
      <c r="B1559" s="25" t="s">
        <v>134</v>
      </c>
      <c r="C1559" s="39" t="str">
        <f t="shared" si="48"/>
        <v>208</v>
      </c>
      <c r="D1559" s="39" t="str">
        <f t="shared" si="49"/>
        <v>20805</v>
      </c>
      <c r="E1559" s="39">
        <f>IF(ISNA(VLOOKUP(F1559,'2020功能科目'!A:B,2,FALSE)),"",VLOOKUP(F1559,'2020功能科目'!A:B,2,FALSE))</f>
        <v>2080506</v>
      </c>
      <c r="F1559" s="25" t="s">
        <v>383</v>
      </c>
      <c r="G1559" s="26">
        <v>351770.96</v>
      </c>
      <c r="H1559" s="26">
        <v>351770.96</v>
      </c>
    </row>
    <row r="1560" spans="1:8">
      <c r="A1560" s="24">
        <v>255168</v>
      </c>
      <c r="B1560" s="25" t="s">
        <v>134</v>
      </c>
      <c r="C1560" s="39" t="str">
        <f t="shared" si="48"/>
        <v>210</v>
      </c>
      <c r="D1560" s="39" t="str">
        <f t="shared" si="49"/>
        <v>21011</v>
      </c>
      <c r="E1560" s="39">
        <f>IF(ISNA(VLOOKUP(F1560,'2020功能科目'!A:B,2,FALSE)),"",VLOOKUP(F1560,'2020功能科目'!A:B,2,FALSE))</f>
        <v>2101102</v>
      </c>
      <c r="F1560" s="25" t="s">
        <v>385</v>
      </c>
      <c r="G1560" s="26">
        <v>571627.81000000006</v>
      </c>
      <c r="H1560" s="26">
        <v>571627.81000000006</v>
      </c>
    </row>
    <row r="1561" spans="1:8">
      <c r="A1561" s="24">
        <v>255168</v>
      </c>
      <c r="B1561" s="25" t="s">
        <v>134</v>
      </c>
      <c r="C1561" s="39" t="str">
        <f t="shared" si="48"/>
        <v>221</v>
      </c>
      <c r="D1561" s="39" t="str">
        <f t="shared" si="49"/>
        <v>22102</v>
      </c>
      <c r="E1561" s="39">
        <f>IF(ISNA(VLOOKUP(F1561,'2020功能科目'!A:B,2,FALSE)),"",VLOOKUP(F1561,'2020功能科目'!A:B,2,FALSE))</f>
        <v>2210201</v>
      </c>
      <c r="F1561" s="25" t="s">
        <v>387</v>
      </c>
      <c r="G1561" s="26">
        <v>735989</v>
      </c>
      <c r="H1561" s="26">
        <v>731656.44</v>
      </c>
    </row>
    <row r="1562" spans="1:8">
      <c r="A1562" s="24">
        <v>255168</v>
      </c>
      <c r="B1562" s="25" t="s">
        <v>134</v>
      </c>
      <c r="C1562" s="39" t="str">
        <f t="shared" si="48"/>
        <v>221</v>
      </c>
      <c r="D1562" s="39" t="str">
        <f t="shared" si="49"/>
        <v>22102</v>
      </c>
      <c r="E1562" s="39">
        <f>IF(ISNA(VLOOKUP(F1562,'2020功能科目'!A:B,2,FALSE)),"",VLOOKUP(F1562,'2020功能科目'!A:B,2,FALSE))</f>
        <v>2210202</v>
      </c>
      <c r="F1562" s="25" t="s">
        <v>388</v>
      </c>
      <c r="G1562" s="26">
        <v>57420</v>
      </c>
      <c r="H1562" s="26">
        <v>56760</v>
      </c>
    </row>
    <row r="1563" spans="1:8">
      <c r="A1563" s="24">
        <v>255168</v>
      </c>
      <c r="B1563" s="25" t="s">
        <v>134</v>
      </c>
      <c r="C1563" s="39" t="str">
        <f t="shared" si="48"/>
        <v>221</v>
      </c>
      <c r="D1563" s="39" t="str">
        <f t="shared" si="49"/>
        <v>22102</v>
      </c>
      <c r="E1563" s="39">
        <f>IF(ISNA(VLOOKUP(F1563,'2020功能科目'!A:B,2,FALSE)),"",VLOOKUP(F1563,'2020功能科目'!A:B,2,FALSE))</f>
        <v>2210203</v>
      </c>
      <c r="F1563" s="25" t="s">
        <v>389</v>
      </c>
      <c r="G1563" s="26">
        <v>892354</v>
      </c>
      <c r="H1563" s="26">
        <v>904476</v>
      </c>
    </row>
    <row r="1564" spans="1:8">
      <c r="A1564" s="24">
        <v>255169</v>
      </c>
      <c r="B1564" s="25" t="s">
        <v>135</v>
      </c>
      <c r="C1564" s="39" t="str">
        <f t="shared" si="48"/>
        <v>205</v>
      </c>
      <c r="D1564" s="39" t="str">
        <f t="shared" si="49"/>
        <v>20502</v>
      </c>
      <c r="E1564" s="39">
        <f>IF(ISNA(VLOOKUP(F1564,'2020功能科目'!A:B,2,FALSE)),"",VLOOKUP(F1564,'2020功能科目'!A:B,2,FALSE))</f>
        <v>2050201</v>
      </c>
      <c r="F1564" s="25" t="s">
        <v>374</v>
      </c>
      <c r="G1564" s="26">
        <v>9619186.4800000004</v>
      </c>
      <c r="H1564" s="26">
        <v>8401219.2599999998</v>
      </c>
    </row>
    <row r="1565" spans="1:8">
      <c r="A1565" s="24">
        <v>255169</v>
      </c>
      <c r="B1565" s="25" t="s">
        <v>135</v>
      </c>
      <c r="C1565" s="39" t="str">
        <f t="shared" si="48"/>
        <v>205</v>
      </c>
      <c r="D1565" s="39" t="str">
        <f t="shared" si="49"/>
        <v>20508</v>
      </c>
      <c r="E1565" s="39">
        <f>IF(ISNA(VLOOKUP(F1565,'2020功能科目'!A:B,2,FALSE)),"",VLOOKUP(F1565,'2020功能科目'!A:B,2,FALSE))</f>
        <v>2050803</v>
      </c>
      <c r="F1565" s="25" t="s">
        <v>378</v>
      </c>
      <c r="G1565" s="26">
        <v>1607.5</v>
      </c>
      <c r="H1565" s="26">
        <v>27200</v>
      </c>
    </row>
    <row r="1566" spans="1:8">
      <c r="A1566" s="24">
        <v>255169</v>
      </c>
      <c r="B1566" s="25" t="s">
        <v>135</v>
      </c>
      <c r="C1566" s="39" t="str">
        <f t="shared" si="48"/>
        <v>205</v>
      </c>
      <c r="D1566" s="39" t="str">
        <f t="shared" si="49"/>
        <v>20509</v>
      </c>
      <c r="E1566" s="39">
        <f>IF(ISNA(VLOOKUP(F1566,'2020功能科目'!A:B,2,FALSE)),"",VLOOKUP(F1566,'2020功能科目'!A:B,2,FALSE))</f>
        <v>2050999</v>
      </c>
      <c r="F1566" s="25" t="s">
        <v>394</v>
      </c>
      <c r="G1566" s="26">
        <v>486650</v>
      </c>
      <c r="H1566" s="26">
        <v>524410</v>
      </c>
    </row>
    <row r="1567" spans="1:8">
      <c r="A1567" s="24">
        <v>255169</v>
      </c>
      <c r="B1567" s="25" t="s">
        <v>135</v>
      </c>
      <c r="C1567" s="39" t="str">
        <f t="shared" si="48"/>
        <v>208</v>
      </c>
      <c r="D1567" s="39" t="str">
        <f t="shared" si="49"/>
        <v>20805</v>
      </c>
      <c r="E1567" s="39">
        <f>IF(ISNA(VLOOKUP(F1567,'2020功能科目'!A:B,2,FALSE)),"",VLOOKUP(F1567,'2020功能科目'!A:B,2,FALSE))</f>
        <v>2080502</v>
      </c>
      <c r="F1567" s="25" t="s">
        <v>381</v>
      </c>
      <c r="G1567" s="26">
        <v>269192</v>
      </c>
      <c r="H1567" s="26">
        <v>269192</v>
      </c>
    </row>
    <row r="1568" spans="1:8">
      <c r="A1568" s="24">
        <v>255169</v>
      </c>
      <c r="B1568" s="25" t="s">
        <v>135</v>
      </c>
      <c r="C1568" s="39" t="str">
        <f t="shared" si="48"/>
        <v>208</v>
      </c>
      <c r="D1568" s="39" t="str">
        <f t="shared" si="49"/>
        <v>20805</v>
      </c>
      <c r="E1568" s="39">
        <f>IF(ISNA(VLOOKUP(F1568,'2020功能科目'!A:B,2,FALSE)),"",VLOOKUP(F1568,'2020功能科目'!A:B,2,FALSE))</f>
        <v>2080505</v>
      </c>
      <c r="F1568" s="25" t="s">
        <v>382</v>
      </c>
      <c r="G1568" s="26">
        <v>646501.32999999996</v>
      </c>
      <c r="H1568" s="26">
        <v>770478.4</v>
      </c>
    </row>
    <row r="1569" spans="1:8">
      <c r="A1569" s="24">
        <v>255169</v>
      </c>
      <c r="B1569" s="25" t="s">
        <v>135</v>
      </c>
      <c r="C1569" s="39" t="str">
        <f t="shared" si="48"/>
        <v>208</v>
      </c>
      <c r="D1569" s="39" t="str">
        <f t="shared" si="49"/>
        <v>20805</v>
      </c>
      <c r="E1569" s="39">
        <f>IF(ISNA(VLOOKUP(F1569,'2020功能科目'!A:B,2,FALSE)),"",VLOOKUP(F1569,'2020功能科目'!A:B,2,FALSE))</f>
        <v>2080506</v>
      </c>
      <c r="F1569" s="25" t="s">
        <v>383</v>
      </c>
      <c r="G1569" s="26">
        <v>323250.69</v>
      </c>
      <c r="H1569" s="26">
        <v>385239.2</v>
      </c>
    </row>
    <row r="1570" spans="1:8">
      <c r="A1570" s="24">
        <v>255169</v>
      </c>
      <c r="B1570" s="25" t="s">
        <v>135</v>
      </c>
      <c r="C1570" s="39" t="str">
        <f t="shared" si="48"/>
        <v>210</v>
      </c>
      <c r="D1570" s="39" t="str">
        <f t="shared" si="49"/>
        <v>21011</v>
      </c>
      <c r="E1570" s="39">
        <f>IF(ISNA(VLOOKUP(F1570,'2020功能科目'!A:B,2,FALSE)),"",VLOOKUP(F1570,'2020功能科目'!A:B,2,FALSE))</f>
        <v>2101102</v>
      </c>
      <c r="F1570" s="25" t="s">
        <v>385</v>
      </c>
      <c r="G1570" s="26">
        <v>638356.4</v>
      </c>
      <c r="H1570" s="26">
        <v>626013.69999999995</v>
      </c>
    </row>
    <row r="1571" spans="1:8">
      <c r="A1571" s="24">
        <v>255169</v>
      </c>
      <c r="B1571" s="25" t="s">
        <v>135</v>
      </c>
      <c r="C1571" s="39" t="str">
        <f t="shared" si="48"/>
        <v>221</v>
      </c>
      <c r="D1571" s="39" t="str">
        <f t="shared" si="49"/>
        <v>22102</v>
      </c>
      <c r="E1571" s="39">
        <f>IF(ISNA(VLOOKUP(F1571,'2020功能科目'!A:B,2,FALSE)),"",VLOOKUP(F1571,'2020功能科目'!A:B,2,FALSE))</f>
        <v>2210201</v>
      </c>
      <c r="F1571" s="25" t="s">
        <v>387</v>
      </c>
      <c r="G1571" s="26">
        <v>775116</v>
      </c>
      <c r="H1571" s="26">
        <v>781858.8</v>
      </c>
    </row>
    <row r="1572" spans="1:8">
      <c r="A1572" s="24">
        <v>255169</v>
      </c>
      <c r="B1572" s="25" t="s">
        <v>135</v>
      </c>
      <c r="C1572" s="39" t="str">
        <f t="shared" si="48"/>
        <v>221</v>
      </c>
      <c r="D1572" s="39" t="str">
        <f t="shared" si="49"/>
        <v>22102</v>
      </c>
      <c r="E1572" s="39">
        <f>IF(ISNA(VLOOKUP(F1572,'2020功能科目'!A:B,2,FALSE)),"",VLOOKUP(F1572,'2020功能科目'!A:B,2,FALSE))</f>
        <v>2210202</v>
      </c>
      <c r="F1572" s="25" t="s">
        <v>388</v>
      </c>
      <c r="G1572" s="26">
        <v>53640</v>
      </c>
      <c r="H1572" s="26">
        <v>53640</v>
      </c>
    </row>
    <row r="1573" spans="1:8">
      <c r="A1573" s="24">
        <v>255169</v>
      </c>
      <c r="B1573" s="25" t="s">
        <v>135</v>
      </c>
      <c r="C1573" s="39" t="str">
        <f t="shared" si="48"/>
        <v>221</v>
      </c>
      <c r="D1573" s="39" t="str">
        <f t="shared" si="49"/>
        <v>22102</v>
      </c>
      <c r="E1573" s="39">
        <f>IF(ISNA(VLOOKUP(F1573,'2020功能科目'!A:B,2,FALSE)),"",VLOOKUP(F1573,'2020功能科目'!A:B,2,FALSE))</f>
        <v>2210203</v>
      </c>
      <c r="F1573" s="25" t="s">
        <v>389</v>
      </c>
      <c r="G1573" s="26">
        <v>998147</v>
      </c>
      <c r="H1573" s="26">
        <v>881220</v>
      </c>
    </row>
    <row r="1574" spans="1:8">
      <c r="A1574" s="24">
        <v>255170</v>
      </c>
      <c r="B1574" s="25" t="s">
        <v>136</v>
      </c>
      <c r="C1574" s="39" t="str">
        <f t="shared" si="48"/>
        <v>205</v>
      </c>
      <c r="D1574" s="39" t="str">
        <f t="shared" si="49"/>
        <v>20502</v>
      </c>
      <c r="E1574" s="39">
        <f>IF(ISNA(VLOOKUP(F1574,'2020功能科目'!A:B,2,FALSE)),"",VLOOKUP(F1574,'2020功能科目'!A:B,2,FALSE))</f>
        <v>2050201</v>
      </c>
      <c r="F1574" s="25" t="s">
        <v>374</v>
      </c>
      <c r="G1574" s="26">
        <v>8456306.5999999996</v>
      </c>
      <c r="H1574" s="26">
        <v>7525619.2300000004</v>
      </c>
    </row>
    <row r="1575" spans="1:8">
      <c r="A1575" s="24">
        <v>255170</v>
      </c>
      <c r="B1575" s="25" t="s">
        <v>136</v>
      </c>
      <c r="C1575" s="39" t="str">
        <f t="shared" si="48"/>
        <v>205</v>
      </c>
      <c r="D1575" s="39" t="str">
        <f t="shared" si="49"/>
        <v>20508</v>
      </c>
      <c r="E1575" s="39">
        <f>IF(ISNA(VLOOKUP(F1575,'2020功能科目'!A:B,2,FALSE)),"",VLOOKUP(F1575,'2020功能科目'!A:B,2,FALSE))</f>
        <v>2050803</v>
      </c>
      <c r="F1575" s="25" t="s">
        <v>378</v>
      </c>
      <c r="G1575" s="26">
        <v>12400</v>
      </c>
      <c r="H1575" s="26">
        <v>24800</v>
      </c>
    </row>
    <row r="1576" spans="1:8">
      <c r="A1576" s="24">
        <v>255170</v>
      </c>
      <c r="B1576" s="25" t="s">
        <v>136</v>
      </c>
      <c r="C1576" s="39" t="str">
        <f t="shared" si="48"/>
        <v>205</v>
      </c>
      <c r="D1576" s="39" t="str">
        <f t="shared" si="49"/>
        <v>20509</v>
      </c>
      <c r="E1576" s="39">
        <f>IF(ISNA(VLOOKUP(F1576,'2020功能科目'!A:B,2,FALSE)),"",VLOOKUP(F1576,'2020功能科目'!A:B,2,FALSE))</f>
        <v>2050999</v>
      </c>
      <c r="F1576" s="25" t="s">
        <v>394</v>
      </c>
      <c r="G1576" s="26">
        <v>247563.11</v>
      </c>
      <c r="H1576" s="26">
        <v>248000</v>
      </c>
    </row>
    <row r="1577" spans="1:8">
      <c r="A1577" s="24">
        <v>255170</v>
      </c>
      <c r="B1577" s="25" t="s">
        <v>136</v>
      </c>
      <c r="C1577" s="39" t="str">
        <f t="shared" si="48"/>
        <v>208</v>
      </c>
      <c r="D1577" s="39" t="str">
        <f t="shared" si="49"/>
        <v>20805</v>
      </c>
      <c r="E1577" s="39">
        <f>IF(ISNA(VLOOKUP(F1577,'2020功能科目'!A:B,2,FALSE)),"",VLOOKUP(F1577,'2020功能科目'!A:B,2,FALSE))</f>
        <v>2080502</v>
      </c>
      <c r="F1577" s="25" t="s">
        <v>381</v>
      </c>
      <c r="G1577" s="26">
        <v>300256</v>
      </c>
      <c r="H1577" s="26">
        <v>300264</v>
      </c>
    </row>
    <row r="1578" spans="1:8">
      <c r="A1578" s="24">
        <v>255170</v>
      </c>
      <c r="B1578" s="25" t="s">
        <v>136</v>
      </c>
      <c r="C1578" s="39" t="str">
        <f t="shared" si="48"/>
        <v>208</v>
      </c>
      <c r="D1578" s="39" t="str">
        <f t="shared" si="49"/>
        <v>20805</v>
      </c>
      <c r="E1578" s="39">
        <f>IF(ISNA(VLOOKUP(F1578,'2020功能科目'!A:B,2,FALSE)),"",VLOOKUP(F1578,'2020功能科目'!A:B,2,FALSE))</f>
        <v>2080505</v>
      </c>
      <c r="F1578" s="25" t="s">
        <v>382</v>
      </c>
      <c r="G1578" s="26">
        <v>571644</v>
      </c>
      <c r="H1578" s="26">
        <v>683535.2</v>
      </c>
    </row>
    <row r="1579" spans="1:8">
      <c r="A1579" s="24">
        <v>255170</v>
      </c>
      <c r="B1579" s="25" t="s">
        <v>136</v>
      </c>
      <c r="C1579" s="39" t="str">
        <f t="shared" si="48"/>
        <v>208</v>
      </c>
      <c r="D1579" s="39" t="str">
        <f t="shared" si="49"/>
        <v>20805</v>
      </c>
      <c r="E1579" s="39">
        <f>IF(ISNA(VLOOKUP(F1579,'2020功能科目'!A:B,2,FALSE)),"",VLOOKUP(F1579,'2020功能科目'!A:B,2,FALSE))</f>
        <v>2080506</v>
      </c>
      <c r="F1579" s="25" t="s">
        <v>383</v>
      </c>
      <c r="G1579" s="26">
        <v>271767.59999999998</v>
      </c>
      <c r="H1579" s="26">
        <v>341767.6</v>
      </c>
    </row>
    <row r="1580" spans="1:8">
      <c r="A1580" s="24">
        <v>255170</v>
      </c>
      <c r="B1580" s="25" t="s">
        <v>136</v>
      </c>
      <c r="C1580" s="39" t="str">
        <f t="shared" si="48"/>
        <v>210</v>
      </c>
      <c r="D1580" s="39" t="str">
        <f t="shared" si="49"/>
        <v>21011</v>
      </c>
      <c r="E1580" s="39">
        <f>IF(ISNA(VLOOKUP(F1580,'2020功能科目'!A:B,2,FALSE)),"",VLOOKUP(F1580,'2020功能科目'!A:B,2,FALSE))</f>
        <v>2101102</v>
      </c>
      <c r="F1580" s="25" t="s">
        <v>385</v>
      </c>
      <c r="G1580" s="26">
        <v>558212.63</v>
      </c>
      <c r="H1580" s="26">
        <v>555372.35</v>
      </c>
    </row>
    <row r="1581" spans="1:8">
      <c r="A1581" s="24">
        <v>255170</v>
      </c>
      <c r="B1581" s="25" t="s">
        <v>136</v>
      </c>
      <c r="C1581" s="39" t="str">
        <f t="shared" si="48"/>
        <v>221</v>
      </c>
      <c r="D1581" s="39" t="str">
        <f t="shared" si="49"/>
        <v>22102</v>
      </c>
      <c r="E1581" s="39">
        <f>IF(ISNA(VLOOKUP(F1581,'2020功能科目'!A:B,2,FALSE)),"",VLOOKUP(F1581,'2020功能科目'!A:B,2,FALSE))</f>
        <v>2210201</v>
      </c>
      <c r="F1581" s="25" t="s">
        <v>387</v>
      </c>
      <c r="G1581" s="26">
        <v>668113</v>
      </c>
      <c r="H1581" s="26">
        <v>698651.4</v>
      </c>
    </row>
    <row r="1582" spans="1:8">
      <c r="A1582" s="24">
        <v>255170</v>
      </c>
      <c r="B1582" s="25" t="s">
        <v>136</v>
      </c>
      <c r="C1582" s="39" t="str">
        <f t="shared" si="48"/>
        <v>221</v>
      </c>
      <c r="D1582" s="39" t="str">
        <f t="shared" si="49"/>
        <v>22102</v>
      </c>
      <c r="E1582" s="39">
        <f>IF(ISNA(VLOOKUP(F1582,'2020功能科目'!A:B,2,FALSE)),"",VLOOKUP(F1582,'2020功能科目'!A:B,2,FALSE))</f>
        <v>2210202</v>
      </c>
      <c r="F1582" s="25" t="s">
        <v>388</v>
      </c>
      <c r="G1582" s="26">
        <v>52440</v>
      </c>
      <c r="H1582" s="26">
        <v>52440</v>
      </c>
    </row>
    <row r="1583" spans="1:8">
      <c r="A1583" s="24">
        <v>255170</v>
      </c>
      <c r="B1583" s="25" t="s">
        <v>136</v>
      </c>
      <c r="C1583" s="39" t="str">
        <f t="shared" si="48"/>
        <v>221</v>
      </c>
      <c r="D1583" s="39" t="str">
        <f t="shared" si="49"/>
        <v>22102</v>
      </c>
      <c r="E1583" s="39">
        <f>IF(ISNA(VLOOKUP(F1583,'2020功能科目'!A:B,2,FALSE)),"",VLOOKUP(F1583,'2020功能科目'!A:B,2,FALSE))</f>
        <v>2210203</v>
      </c>
      <c r="F1583" s="25" t="s">
        <v>389</v>
      </c>
      <c r="G1583" s="26">
        <v>703903</v>
      </c>
      <c r="H1583" s="26">
        <v>718152</v>
      </c>
    </row>
    <row r="1584" spans="1:8">
      <c r="A1584" s="24">
        <v>255171</v>
      </c>
      <c r="B1584" s="25" t="s">
        <v>137</v>
      </c>
      <c r="C1584" s="39" t="str">
        <f t="shared" si="48"/>
        <v>205</v>
      </c>
      <c r="D1584" s="39" t="str">
        <f t="shared" si="49"/>
        <v>20504</v>
      </c>
      <c r="E1584" s="39">
        <f>IF(ISNA(VLOOKUP(F1584,'2020功能科目'!A:B,2,FALSE)),"",VLOOKUP(F1584,'2020功能科目'!A:B,2,FALSE))</f>
        <v>2050403</v>
      </c>
      <c r="F1584" s="25" t="s">
        <v>401</v>
      </c>
      <c r="G1584" s="26">
        <v>18338438.050000001</v>
      </c>
      <c r="H1584" s="26">
        <v>17556855.420000002</v>
      </c>
    </row>
    <row r="1585" spans="1:8">
      <c r="A1585" s="24">
        <v>255171</v>
      </c>
      <c r="B1585" s="25" t="s">
        <v>137</v>
      </c>
      <c r="C1585" s="39" t="str">
        <f t="shared" si="48"/>
        <v>205</v>
      </c>
      <c r="D1585" s="39" t="str">
        <f t="shared" si="49"/>
        <v>20508</v>
      </c>
      <c r="E1585" s="39">
        <f>IF(ISNA(VLOOKUP(F1585,'2020功能科目'!A:B,2,FALSE)),"",VLOOKUP(F1585,'2020功能科目'!A:B,2,FALSE))</f>
        <v>2050803</v>
      </c>
      <c r="F1585" s="25" t="s">
        <v>378</v>
      </c>
      <c r="G1585" s="26">
        <v>13380</v>
      </c>
      <c r="H1585" s="26">
        <v>54400</v>
      </c>
    </row>
    <row r="1586" spans="1:8">
      <c r="A1586" s="24">
        <v>255171</v>
      </c>
      <c r="B1586" s="25" t="s">
        <v>137</v>
      </c>
      <c r="C1586" s="39" t="str">
        <f t="shared" si="48"/>
        <v>205</v>
      </c>
      <c r="D1586" s="39" t="str">
        <f t="shared" si="49"/>
        <v>20509</v>
      </c>
      <c r="E1586" s="39">
        <f>IF(ISNA(VLOOKUP(F1586,'2020功能科目'!A:B,2,FALSE)),"",VLOOKUP(F1586,'2020功能科目'!A:B,2,FALSE))</f>
        <v>2050999</v>
      </c>
      <c r="F1586" s="25" t="s">
        <v>394</v>
      </c>
      <c r="G1586" s="26">
        <v>49596.800000000003</v>
      </c>
      <c r="H1586" s="26">
        <v>2450000</v>
      </c>
    </row>
    <row r="1587" spans="1:8">
      <c r="A1587" s="24">
        <v>255171</v>
      </c>
      <c r="B1587" s="25" t="s">
        <v>137</v>
      </c>
      <c r="C1587" s="39" t="str">
        <f t="shared" si="48"/>
        <v>208</v>
      </c>
      <c r="D1587" s="39" t="str">
        <f t="shared" si="49"/>
        <v>20805</v>
      </c>
      <c r="E1587" s="39">
        <f>IF(ISNA(VLOOKUP(F1587,'2020功能科目'!A:B,2,FALSE)),"",VLOOKUP(F1587,'2020功能科目'!A:B,2,FALSE))</f>
        <v>2080502</v>
      </c>
      <c r="F1587" s="25" t="s">
        <v>381</v>
      </c>
      <c r="G1587" s="26">
        <v>2139067.9</v>
      </c>
      <c r="H1587" s="26">
        <v>2015840</v>
      </c>
    </row>
    <row r="1588" spans="1:8">
      <c r="A1588" s="24">
        <v>255171</v>
      </c>
      <c r="B1588" s="25" t="s">
        <v>137</v>
      </c>
      <c r="C1588" s="39" t="str">
        <f t="shared" si="48"/>
        <v>208</v>
      </c>
      <c r="D1588" s="39" t="str">
        <f t="shared" si="49"/>
        <v>20805</v>
      </c>
      <c r="E1588" s="39">
        <f>IF(ISNA(VLOOKUP(F1588,'2020功能科目'!A:B,2,FALSE)),"",VLOOKUP(F1588,'2020功能科目'!A:B,2,FALSE))</f>
        <v>2080505</v>
      </c>
      <c r="F1588" s="25" t="s">
        <v>382</v>
      </c>
      <c r="G1588" s="26">
        <v>1482696.32</v>
      </c>
      <c r="H1588" s="26">
        <v>1715694.72</v>
      </c>
    </row>
    <row r="1589" spans="1:8">
      <c r="A1589" s="24">
        <v>255171</v>
      </c>
      <c r="B1589" s="25" t="s">
        <v>137</v>
      </c>
      <c r="C1589" s="39" t="str">
        <f t="shared" si="48"/>
        <v>208</v>
      </c>
      <c r="D1589" s="39" t="str">
        <f t="shared" si="49"/>
        <v>20805</v>
      </c>
      <c r="E1589" s="39">
        <f>IF(ISNA(VLOOKUP(F1589,'2020功能科目'!A:B,2,FALSE)),"",VLOOKUP(F1589,'2020功能科目'!A:B,2,FALSE))</f>
        <v>2080506</v>
      </c>
      <c r="F1589" s="25" t="s">
        <v>383</v>
      </c>
      <c r="G1589" s="26">
        <v>741348.16</v>
      </c>
      <c r="H1589" s="26">
        <v>857847.36</v>
      </c>
    </row>
    <row r="1590" spans="1:8">
      <c r="A1590" s="24">
        <v>255171</v>
      </c>
      <c r="B1590" s="25" t="s">
        <v>137</v>
      </c>
      <c r="C1590" s="39" t="str">
        <f t="shared" si="48"/>
        <v>210</v>
      </c>
      <c r="D1590" s="39" t="str">
        <f t="shared" si="49"/>
        <v>21011</v>
      </c>
      <c r="E1590" s="39">
        <f>IF(ISNA(VLOOKUP(F1590,'2020功能科目'!A:B,2,FALSE)),"",VLOOKUP(F1590,'2020功能科目'!A:B,2,FALSE))</f>
        <v>2101102</v>
      </c>
      <c r="F1590" s="25" t="s">
        <v>385</v>
      </c>
      <c r="G1590" s="26">
        <v>1510103.9</v>
      </c>
      <c r="H1590" s="26">
        <v>1394001.96</v>
      </c>
    </row>
    <row r="1591" spans="1:8">
      <c r="A1591" s="24">
        <v>255171</v>
      </c>
      <c r="B1591" s="25" t="s">
        <v>137</v>
      </c>
      <c r="C1591" s="39" t="str">
        <f t="shared" si="48"/>
        <v>210</v>
      </c>
      <c r="D1591" s="39" t="str">
        <f t="shared" si="49"/>
        <v>21011</v>
      </c>
      <c r="E1591" s="39">
        <f>IF(ISNA(VLOOKUP(F1591,'2020功能科目'!A:B,2,FALSE)),"",VLOOKUP(F1591,'2020功能科目'!A:B,2,FALSE))</f>
        <v>2101199</v>
      </c>
      <c r="F1591" s="25" t="s">
        <v>386</v>
      </c>
      <c r="G1591" s="26">
        <v>360000</v>
      </c>
      <c r="H1591" s="26">
        <v>360000</v>
      </c>
    </row>
    <row r="1592" spans="1:8">
      <c r="A1592" s="24">
        <v>255171</v>
      </c>
      <c r="B1592" s="25" t="s">
        <v>137</v>
      </c>
      <c r="C1592" s="39" t="str">
        <f t="shared" si="48"/>
        <v>221</v>
      </c>
      <c r="D1592" s="39" t="str">
        <f t="shared" si="49"/>
        <v>22102</v>
      </c>
      <c r="E1592" s="39">
        <f>IF(ISNA(VLOOKUP(F1592,'2020功能科目'!A:B,2,FALSE)),"",VLOOKUP(F1592,'2020功能科目'!A:B,2,FALSE))</f>
        <v>2210201</v>
      </c>
      <c r="F1592" s="25" t="s">
        <v>387</v>
      </c>
      <c r="G1592" s="26">
        <v>1779870</v>
      </c>
      <c r="H1592" s="26">
        <v>1694771.04</v>
      </c>
    </row>
    <row r="1593" spans="1:8">
      <c r="A1593" s="24">
        <v>255171</v>
      </c>
      <c r="B1593" s="25" t="s">
        <v>137</v>
      </c>
      <c r="C1593" s="39" t="str">
        <f t="shared" si="48"/>
        <v>221</v>
      </c>
      <c r="D1593" s="39" t="str">
        <f t="shared" si="49"/>
        <v>22102</v>
      </c>
      <c r="E1593" s="39">
        <f>IF(ISNA(VLOOKUP(F1593,'2020功能科目'!A:B,2,FALSE)),"",VLOOKUP(F1593,'2020功能科目'!A:B,2,FALSE))</f>
        <v>2210202</v>
      </c>
      <c r="F1593" s="25" t="s">
        <v>388</v>
      </c>
      <c r="G1593" s="26">
        <v>172560</v>
      </c>
      <c r="H1593" s="26">
        <v>173160</v>
      </c>
    </row>
    <row r="1594" spans="1:8">
      <c r="A1594" s="24">
        <v>255171</v>
      </c>
      <c r="B1594" s="25" t="s">
        <v>137</v>
      </c>
      <c r="C1594" s="39" t="str">
        <f t="shared" si="48"/>
        <v>221</v>
      </c>
      <c r="D1594" s="39" t="str">
        <f t="shared" si="49"/>
        <v>22102</v>
      </c>
      <c r="E1594" s="39">
        <f>IF(ISNA(VLOOKUP(F1594,'2020功能科目'!A:B,2,FALSE)),"",VLOOKUP(F1594,'2020功能科目'!A:B,2,FALSE))</f>
        <v>2210203</v>
      </c>
      <c r="F1594" s="25" t="s">
        <v>389</v>
      </c>
      <c r="G1594" s="26">
        <v>1484332</v>
      </c>
      <c r="H1594" s="26">
        <v>1540152</v>
      </c>
    </row>
    <row r="1595" spans="1:8">
      <c r="A1595" s="24">
        <v>255172</v>
      </c>
      <c r="B1595" s="25" t="s">
        <v>138</v>
      </c>
      <c r="C1595" s="39" t="str">
        <f t="shared" si="48"/>
        <v>205</v>
      </c>
      <c r="D1595" s="39" t="str">
        <f t="shared" si="49"/>
        <v>20504</v>
      </c>
      <c r="E1595" s="39">
        <f>IF(ISNA(VLOOKUP(F1595,'2020功能科目'!A:B,2,FALSE)),"",VLOOKUP(F1595,'2020功能科目'!A:B,2,FALSE))</f>
        <v>2050404</v>
      </c>
      <c r="F1595" s="25" t="s">
        <v>402</v>
      </c>
      <c r="G1595" s="26">
        <v>6795847.5099999998</v>
      </c>
      <c r="H1595" s="26">
        <v>6413031.46</v>
      </c>
    </row>
    <row r="1596" spans="1:8">
      <c r="A1596" s="24">
        <v>255172</v>
      </c>
      <c r="B1596" s="25" t="s">
        <v>138</v>
      </c>
      <c r="C1596" s="39" t="str">
        <f t="shared" si="48"/>
        <v>205</v>
      </c>
      <c r="D1596" s="39" t="str">
        <f t="shared" si="49"/>
        <v>20508</v>
      </c>
      <c r="E1596" s="39">
        <f>IF(ISNA(VLOOKUP(F1596,'2020功能科目'!A:B,2,FALSE)),"",VLOOKUP(F1596,'2020功能科目'!A:B,2,FALSE))</f>
        <v>2050803</v>
      </c>
      <c r="F1596" s="25" t="s">
        <v>378</v>
      </c>
      <c r="G1596" s="26">
        <v>1905</v>
      </c>
      <c r="H1596" s="26">
        <v>19200</v>
      </c>
    </row>
    <row r="1597" spans="1:8">
      <c r="A1597" s="24">
        <v>255172</v>
      </c>
      <c r="B1597" s="25" t="s">
        <v>138</v>
      </c>
      <c r="C1597" s="39" t="str">
        <f t="shared" si="48"/>
        <v>205</v>
      </c>
      <c r="D1597" s="39" t="str">
        <f t="shared" si="49"/>
        <v>20509</v>
      </c>
      <c r="E1597" s="39">
        <f>IF(ISNA(VLOOKUP(F1597,'2020功能科目'!A:B,2,FALSE)),"",VLOOKUP(F1597,'2020功能科目'!A:B,2,FALSE))</f>
        <v>2050999</v>
      </c>
      <c r="F1597" s="25" t="s">
        <v>394</v>
      </c>
      <c r="G1597" s="26">
        <v>841280</v>
      </c>
      <c r="H1597" s="26">
        <v>841280</v>
      </c>
    </row>
    <row r="1598" spans="1:8">
      <c r="A1598" s="24">
        <v>255172</v>
      </c>
      <c r="B1598" s="25" t="s">
        <v>138</v>
      </c>
      <c r="C1598" s="39" t="str">
        <f t="shared" si="48"/>
        <v>208</v>
      </c>
      <c r="D1598" s="39" t="str">
        <f t="shared" si="49"/>
        <v>20805</v>
      </c>
      <c r="E1598" s="39">
        <f>IF(ISNA(VLOOKUP(F1598,'2020功能科目'!A:B,2,FALSE)),"",VLOOKUP(F1598,'2020功能科目'!A:B,2,FALSE))</f>
        <v>2080502</v>
      </c>
      <c r="F1598" s="25" t="s">
        <v>381</v>
      </c>
      <c r="G1598" s="26">
        <v>223842</v>
      </c>
      <c r="H1598" s="26">
        <v>224082</v>
      </c>
    </row>
    <row r="1599" spans="1:8">
      <c r="A1599" s="24">
        <v>255172</v>
      </c>
      <c r="B1599" s="25" t="s">
        <v>138</v>
      </c>
      <c r="C1599" s="39" t="str">
        <f t="shared" si="48"/>
        <v>208</v>
      </c>
      <c r="D1599" s="39" t="str">
        <f t="shared" si="49"/>
        <v>20805</v>
      </c>
      <c r="E1599" s="39">
        <f>IF(ISNA(VLOOKUP(F1599,'2020功能科目'!A:B,2,FALSE)),"",VLOOKUP(F1599,'2020功能科目'!A:B,2,FALSE))</f>
        <v>2080505</v>
      </c>
      <c r="F1599" s="25" t="s">
        <v>382</v>
      </c>
      <c r="G1599" s="26">
        <v>573048.31999999995</v>
      </c>
      <c r="H1599" s="26">
        <v>573048.31999999995</v>
      </c>
    </row>
    <row r="1600" spans="1:8">
      <c r="A1600" s="24">
        <v>255172</v>
      </c>
      <c r="B1600" s="25" t="s">
        <v>138</v>
      </c>
      <c r="C1600" s="39" t="str">
        <f t="shared" si="48"/>
        <v>208</v>
      </c>
      <c r="D1600" s="39" t="str">
        <f t="shared" si="49"/>
        <v>20805</v>
      </c>
      <c r="E1600" s="39">
        <f>IF(ISNA(VLOOKUP(F1600,'2020功能科目'!A:B,2,FALSE)),"",VLOOKUP(F1600,'2020功能科目'!A:B,2,FALSE))</f>
        <v>2080506</v>
      </c>
      <c r="F1600" s="25" t="s">
        <v>383</v>
      </c>
      <c r="G1600" s="26">
        <v>286524.15999999997</v>
      </c>
      <c r="H1600" s="26">
        <v>286524.15999999997</v>
      </c>
    </row>
    <row r="1601" spans="1:8">
      <c r="A1601" s="24">
        <v>255172</v>
      </c>
      <c r="B1601" s="25" t="s">
        <v>138</v>
      </c>
      <c r="C1601" s="39" t="str">
        <f t="shared" si="48"/>
        <v>210</v>
      </c>
      <c r="D1601" s="39" t="str">
        <f t="shared" si="49"/>
        <v>21011</v>
      </c>
      <c r="E1601" s="39">
        <f>IF(ISNA(VLOOKUP(F1601,'2020功能科目'!A:B,2,FALSE)),"",VLOOKUP(F1601,'2020功能科目'!A:B,2,FALSE))</f>
        <v>2101102</v>
      </c>
      <c r="F1601" s="25" t="s">
        <v>385</v>
      </c>
      <c r="G1601" s="26">
        <v>465601.76</v>
      </c>
      <c r="H1601" s="26">
        <v>465601.76</v>
      </c>
    </row>
    <row r="1602" spans="1:8">
      <c r="A1602" s="24">
        <v>255172</v>
      </c>
      <c r="B1602" s="25" t="s">
        <v>138</v>
      </c>
      <c r="C1602" s="39" t="str">
        <f t="shared" si="48"/>
        <v>221</v>
      </c>
      <c r="D1602" s="39" t="str">
        <f t="shared" si="49"/>
        <v>22102</v>
      </c>
      <c r="E1602" s="39">
        <f>IF(ISNA(VLOOKUP(F1602,'2020功能科目'!A:B,2,FALSE)),"",VLOOKUP(F1602,'2020功能科目'!A:B,2,FALSE))</f>
        <v>2210201</v>
      </c>
      <c r="F1602" s="25" t="s">
        <v>387</v>
      </c>
      <c r="G1602" s="26">
        <v>592770</v>
      </c>
      <c r="H1602" s="26">
        <v>573786.24</v>
      </c>
    </row>
    <row r="1603" spans="1:8">
      <c r="A1603" s="24">
        <v>255172</v>
      </c>
      <c r="B1603" s="25" t="s">
        <v>138</v>
      </c>
      <c r="C1603" s="39" t="str">
        <f t="shared" ref="C1603:C1666" si="50">LEFT(D1603,3)</f>
        <v>221</v>
      </c>
      <c r="D1603" s="39" t="str">
        <f t="shared" ref="D1603:D1666" si="51">LEFT(E1603,5)</f>
        <v>22102</v>
      </c>
      <c r="E1603" s="39">
        <f>IF(ISNA(VLOOKUP(F1603,'2020功能科目'!A:B,2,FALSE)),"",VLOOKUP(F1603,'2020功能科目'!A:B,2,FALSE))</f>
        <v>2210202</v>
      </c>
      <c r="F1603" s="25" t="s">
        <v>388</v>
      </c>
      <c r="G1603" s="26">
        <v>42380</v>
      </c>
      <c r="H1603" s="26">
        <v>42420</v>
      </c>
    </row>
    <row r="1604" spans="1:8">
      <c r="A1604" s="24">
        <v>255172</v>
      </c>
      <c r="B1604" s="25" t="s">
        <v>138</v>
      </c>
      <c r="C1604" s="39" t="str">
        <f t="shared" si="50"/>
        <v>221</v>
      </c>
      <c r="D1604" s="39" t="str">
        <f t="shared" si="51"/>
        <v>22102</v>
      </c>
      <c r="E1604" s="39">
        <f>IF(ISNA(VLOOKUP(F1604,'2020功能科目'!A:B,2,FALSE)),"",VLOOKUP(F1604,'2020功能科目'!A:B,2,FALSE))</f>
        <v>2210203</v>
      </c>
      <c r="F1604" s="25" t="s">
        <v>389</v>
      </c>
      <c r="G1604" s="26">
        <v>614724</v>
      </c>
      <c r="H1604" s="26">
        <v>614724</v>
      </c>
    </row>
    <row r="1605" spans="1:8">
      <c r="A1605" s="24">
        <v>255173</v>
      </c>
      <c r="B1605" s="25" t="s">
        <v>139</v>
      </c>
      <c r="C1605" s="39" t="str">
        <f t="shared" si="50"/>
        <v>205</v>
      </c>
      <c r="D1605" s="39" t="str">
        <f t="shared" si="51"/>
        <v>20502</v>
      </c>
      <c r="E1605" s="39">
        <f>IF(ISNA(VLOOKUP(F1605,'2020功能科目'!A:B,2,FALSE)),"",VLOOKUP(F1605,'2020功能科目'!A:B,2,FALSE))</f>
        <v>2050299</v>
      </c>
      <c r="F1605" s="25" t="s">
        <v>377</v>
      </c>
      <c r="G1605" s="26">
        <v>821507.2</v>
      </c>
      <c r="H1605" s="26">
        <v>897900</v>
      </c>
    </row>
    <row r="1606" spans="1:8">
      <c r="A1606" s="24">
        <v>255173</v>
      </c>
      <c r="B1606" s="25" t="s">
        <v>139</v>
      </c>
      <c r="C1606" s="39" t="str">
        <f t="shared" si="50"/>
        <v>205</v>
      </c>
      <c r="D1606" s="39" t="str">
        <f t="shared" si="51"/>
        <v>20508</v>
      </c>
      <c r="E1606" s="39">
        <f>IF(ISNA(VLOOKUP(F1606,'2020功能科目'!A:B,2,FALSE)),"",VLOOKUP(F1606,'2020功能科目'!A:B,2,FALSE))</f>
        <v>2050801</v>
      </c>
      <c r="F1606" s="25" t="s">
        <v>399</v>
      </c>
      <c r="G1606" s="26">
        <v>23094277.760000002</v>
      </c>
      <c r="H1606" s="26">
        <v>22342896.550000001</v>
      </c>
    </row>
    <row r="1607" spans="1:8">
      <c r="A1607" s="24">
        <v>255173</v>
      </c>
      <c r="B1607" s="25" t="s">
        <v>139</v>
      </c>
      <c r="C1607" s="39" t="str">
        <f t="shared" si="50"/>
        <v>205</v>
      </c>
      <c r="D1607" s="39" t="str">
        <f t="shared" si="51"/>
        <v>20508</v>
      </c>
      <c r="E1607" s="39">
        <f>IF(ISNA(VLOOKUP(F1607,'2020功能科目'!A:B,2,FALSE)),"",VLOOKUP(F1607,'2020功能科目'!A:B,2,FALSE))</f>
        <v>2050803</v>
      </c>
      <c r="F1607" s="25" t="s">
        <v>378</v>
      </c>
      <c r="G1607" s="26">
        <v>24396.63</v>
      </c>
      <c r="H1607" s="26">
        <v>50400</v>
      </c>
    </row>
    <row r="1608" spans="1:8">
      <c r="A1608" s="24">
        <v>255173</v>
      </c>
      <c r="B1608" s="25" t="s">
        <v>139</v>
      </c>
      <c r="C1608" s="39" t="str">
        <f t="shared" si="50"/>
        <v>205</v>
      </c>
      <c r="D1608" s="39" t="str">
        <f t="shared" si="51"/>
        <v>20509</v>
      </c>
      <c r="E1608" s="39">
        <f>IF(ISNA(VLOOKUP(F1608,'2020功能科目'!A:B,2,FALSE)),"",VLOOKUP(F1608,'2020功能科目'!A:B,2,FALSE))</f>
        <v>2050999</v>
      </c>
      <c r="F1608" s="25" t="s">
        <v>394</v>
      </c>
      <c r="G1608" s="26">
        <v>740426</v>
      </c>
      <c r="H1608" s="26">
        <v>740796</v>
      </c>
    </row>
    <row r="1609" spans="1:8">
      <c r="A1609" s="24">
        <v>255173</v>
      </c>
      <c r="B1609" s="25" t="s">
        <v>139</v>
      </c>
      <c r="C1609" s="39" t="str">
        <f t="shared" si="50"/>
        <v>208</v>
      </c>
      <c r="D1609" s="39" t="str">
        <f t="shared" si="51"/>
        <v>20805</v>
      </c>
      <c r="E1609" s="39">
        <f>IF(ISNA(VLOOKUP(F1609,'2020功能科目'!A:B,2,FALSE)),"",VLOOKUP(F1609,'2020功能科目'!A:B,2,FALSE))</f>
        <v>2080502</v>
      </c>
      <c r="F1609" s="25" t="s">
        <v>381</v>
      </c>
      <c r="G1609" s="26">
        <v>5629763.2800000003</v>
      </c>
      <c r="H1609" s="26">
        <v>4041998</v>
      </c>
    </row>
    <row r="1610" spans="1:8">
      <c r="A1610" s="24">
        <v>255173</v>
      </c>
      <c r="B1610" s="25" t="s">
        <v>139</v>
      </c>
      <c r="C1610" s="39" t="str">
        <f t="shared" si="50"/>
        <v>208</v>
      </c>
      <c r="D1610" s="39" t="str">
        <f t="shared" si="51"/>
        <v>20805</v>
      </c>
      <c r="E1610" s="39">
        <f>IF(ISNA(VLOOKUP(F1610,'2020功能科目'!A:B,2,FALSE)),"",VLOOKUP(F1610,'2020功能科目'!A:B,2,FALSE))</f>
        <v>2080505</v>
      </c>
      <c r="F1610" s="25" t="s">
        <v>382</v>
      </c>
      <c r="G1610" s="26">
        <v>1778757.12</v>
      </c>
      <c r="H1610" s="26">
        <v>2865551.3599999999</v>
      </c>
    </row>
    <row r="1611" spans="1:8">
      <c r="A1611" s="24">
        <v>255173</v>
      </c>
      <c r="B1611" s="25" t="s">
        <v>139</v>
      </c>
      <c r="C1611" s="39" t="str">
        <f t="shared" si="50"/>
        <v>208</v>
      </c>
      <c r="D1611" s="39" t="str">
        <f t="shared" si="51"/>
        <v>20805</v>
      </c>
      <c r="E1611" s="39">
        <f>IF(ISNA(VLOOKUP(F1611,'2020功能科目'!A:B,2,FALSE)),"",VLOOKUP(F1611,'2020功能科目'!A:B,2,FALSE))</f>
        <v>2080506</v>
      </c>
      <c r="F1611" s="25" t="s">
        <v>383</v>
      </c>
      <c r="G1611" s="26">
        <v>888182.56</v>
      </c>
      <c r="H1611" s="26">
        <v>1432775.6799999999</v>
      </c>
    </row>
    <row r="1612" spans="1:8">
      <c r="A1612" s="24">
        <v>255173</v>
      </c>
      <c r="B1612" s="25" t="s">
        <v>139</v>
      </c>
      <c r="C1612" s="39" t="str">
        <f t="shared" si="50"/>
        <v>210</v>
      </c>
      <c r="D1612" s="39" t="str">
        <f t="shared" si="51"/>
        <v>21011</v>
      </c>
      <c r="E1612" s="39">
        <f>IF(ISNA(VLOOKUP(F1612,'2020功能科目'!A:B,2,FALSE)),"",VLOOKUP(F1612,'2020功能科目'!A:B,2,FALSE))</f>
        <v>2101102</v>
      </c>
      <c r="F1612" s="25" t="s">
        <v>385</v>
      </c>
      <c r="G1612" s="26">
        <v>1496875.22</v>
      </c>
      <c r="H1612" s="26">
        <v>2328260.48</v>
      </c>
    </row>
    <row r="1613" spans="1:8">
      <c r="A1613" s="24">
        <v>255173</v>
      </c>
      <c r="B1613" s="25" t="s">
        <v>139</v>
      </c>
      <c r="C1613" s="39" t="str">
        <f t="shared" si="50"/>
        <v>210</v>
      </c>
      <c r="D1613" s="39" t="str">
        <f t="shared" si="51"/>
        <v>21011</v>
      </c>
      <c r="E1613" s="39">
        <f>IF(ISNA(VLOOKUP(F1613,'2020功能科目'!A:B,2,FALSE)),"",VLOOKUP(F1613,'2020功能科目'!A:B,2,FALSE))</f>
        <v>2101199</v>
      </c>
      <c r="F1613" s="25" t="s">
        <v>386</v>
      </c>
      <c r="G1613" s="26">
        <v>577500</v>
      </c>
      <c r="H1613" s="26">
        <v>630000</v>
      </c>
    </row>
    <row r="1614" spans="1:8">
      <c r="A1614" s="24">
        <v>255173</v>
      </c>
      <c r="B1614" s="25" t="s">
        <v>139</v>
      </c>
      <c r="C1614" s="39" t="str">
        <f t="shared" si="50"/>
        <v>221</v>
      </c>
      <c r="D1614" s="39" t="str">
        <f t="shared" si="51"/>
        <v>22102</v>
      </c>
      <c r="E1614" s="39">
        <f>IF(ISNA(VLOOKUP(F1614,'2020功能科目'!A:B,2,FALSE)),"",VLOOKUP(F1614,'2020功能科目'!A:B,2,FALSE))</f>
        <v>2210201</v>
      </c>
      <c r="F1614" s="25" t="s">
        <v>387</v>
      </c>
      <c r="G1614" s="26">
        <v>1766441</v>
      </c>
      <c r="H1614" s="26">
        <v>2527163.52</v>
      </c>
    </row>
    <row r="1615" spans="1:8">
      <c r="A1615" s="24">
        <v>255173</v>
      </c>
      <c r="B1615" s="25" t="s">
        <v>139</v>
      </c>
      <c r="C1615" s="39" t="str">
        <f t="shared" si="50"/>
        <v>221</v>
      </c>
      <c r="D1615" s="39" t="str">
        <f t="shared" si="51"/>
        <v>22102</v>
      </c>
      <c r="E1615" s="39">
        <f>IF(ISNA(VLOOKUP(F1615,'2020功能科目'!A:B,2,FALSE)),"",VLOOKUP(F1615,'2020功能科目'!A:B,2,FALSE))</f>
        <v>2210202</v>
      </c>
      <c r="F1615" s="25" t="s">
        <v>388</v>
      </c>
      <c r="G1615" s="26">
        <v>307400</v>
      </c>
      <c r="H1615" s="26">
        <v>312480</v>
      </c>
    </row>
    <row r="1616" spans="1:8">
      <c r="A1616" s="24">
        <v>255173</v>
      </c>
      <c r="B1616" s="25" t="s">
        <v>139</v>
      </c>
      <c r="C1616" s="39" t="str">
        <f t="shared" si="50"/>
        <v>221</v>
      </c>
      <c r="D1616" s="39" t="str">
        <f t="shared" si="51"/>
        <v>22102</v>
      </c>
      <c r="E1616" s="39">
        <f>IF(ISNA(VLOOKUP(F1616,'2020功能科目'!A:B,2,FALSE)),"",VLOOKUP(F1616,'2020功能科目'!A:B,2,FALSE))</f>
        <v>2210203</v>
      </c>
      <c r="F1616" s="25" t="s">
        <v>389</v>
      </c>
      <c r="G1616" s="26">
        <v>1061940</v>
      </c>
      <c r="H1616" s="26">
        <v>1061940</v>
      </c>
    </row>
    <row r="1617" spans="1:8">
      <c r="A1617" s="24">
        <v>255175</v>
      </c>
      <c r="B1617" s="25" t="s">
        <v>140</v>
      </c>
      <c r="C1617" s="39" t="str">
        <f t="shared" si="50"/>
        <v>205</v>
      </c>
      <c r="D1617" s="39" t="str">
        <f t="shared" si="51"/>
        <v>20502</v>
      </c>
      <c r="E1617" s="39">
        <f>IF(ISNA(VLOOKUP(F1617,'2020功能科目'!A:B,2,FALSE)),"",VLOOKUP(F1617,'2020功能科目'!A:B,2,FALSE))</f>
        <v>2050299</v>
      </c>
      <c r="F1617" s="25" t="s">
        <v>377</v>
      </c>
      <c r="G1617" s="26">
        <v>15160404.1</v>
      </c>
      <c r="H1617" s="26">
        <v>15090421</v>
      </c>
    </row>
    <row r="1618" spans="1:8">
      <c r="A1618" s="24">
        <v>255175</v>
      </c>
      <c r="B1618" s="25" t="s">
        <v>140</v>
      </c>
      <c r="C1618" s="39" t="str">
        <f t="shared" si="50"/>
        <v>205</v>
      </c>
      <c r="D1618" s="39" t="str">
        <f t="shared" si="51"/>
        <v>20508</v>
      </c>
      <c r="E1618" s="39">
        <f>IF(ISNA(VLOOKUP(F1618,'2020功能科目'!A:B,2,FALSE)),"",VLOOKUP(F1618,'2020功能科目'!A:B,2,FALSE))</f>
        <v>2050803</v>
      </c>
      <c r="F1618" s="25" t="s">
        <v>378</v>
      </c>
      <c r="G1618" s="26">
        <v>16399</v>
      </c>
      <c r="H1618" s="26">
        <v>33600</v>
      </c>
    </row>
    <row r="1619" spans="1:8">
      <c r="A1619" s="24">
        <v>255175</v>
      </c>
      <c r="B1619" s="25" t="s">
        <v>140</v>
      </c>
      <c r="C1619" s="39" t="str">
        <f t="shared" si="50"/>
        <v>205</v>
      </c>
      <c r="D1619" s="39" t="str">
        <f t="shared" si="51"/>
        <v>20509</v>
      </c>
      <c r="E1619" s="39">
        <f>IF(ISNA(VLOOKUP(F1619,'2020功能科目'!A:B,2,FALSE)),"",VLOOKUP(F1619,'2020功能科目'!A:B,2,FALSE))</f>
        <v>2050999</v>
      </c>
      <c r="F1619" s="25" t="s">
        <v>394</v>
      </c>
      <c r="G1619" s="26">
        <v>517710</v>
      </c>
      <c r="H1619" s="26">
        <v>518790</v>
      </c>
    </row>
    <row r="1620" spans="1:8">
      <c r="A1620" s="24">
        <v>255175</v>
      </c>
      <c r="B1620" s="25" t="s">
        <v>140</v>
      </c>
      <c r="C1620" s="39" t="str">
        <f t="shared" si="50"/>
        <v>208</v>
      </c>
      <c r="D1620" s="39" t="str">
        <f t="shared" si="51"/>
        <v>20805</v>
      </c>
      <c r="E1620" s="39">
        <f>IF(ISNA(VLOOKUP(F1620,'2020功能科目'!A:B,2,FALSE)),"",VLOOKUP(F1620,'2020功能科目'!A:B,2,FALSE))</f>
        <v>2080502</v>
      </c>
      <c r="F1620" s="25" t="s">
        <v>381</v>
      </c>
      <c r="G1620" s="26">
        <v>837023.71</v>
      </c>
      <c r="H1620" s="26">
        <v>832296</v>
      </c>
    </row>
    <row r="1621" spans="1:8">
      <c r="A1621" s="24">
        <v>255175</v>
      </c>
      <c r="B1621" s="25" t="s">
        <v>140</v>
      </c>
      <c r="C1621" s="39" t="str">
        <f t="shared" si="50"/>
        <v>208</v>
      </c>
      <c r="D1621" s="39" t="str">
        <f t="shared" si="51"/>
        <v>20805</v>
      </c>
      <c r="E1621" s="39">
        <f>IF(ISNA(VLOOKUP(F1621,'2020功能科目'!A:B,2,FALSE)),"",VLOOKUP(F1621,'2020功能科目'!A:B,2,FALSE))</f>
        <v>2080505</v>
      </c>
      <c r="F1621" s="25" t="s">
        <v>382</v>
      </c>
      <c r="G1621" s="26">
        <v>905098.88</v>
      </c>
      <c r="H1621" s="26">
        <v>1034676.48</v>
      </c>
    </row>
    <row r="1622" spans="1:8">
      <c r="A1622" s="24">
        <v>255175</v>
      </c>
      <c r="B1622" s="25" t="s">
        <v>140</v>
      </c>
      <c r="C1622" s="39" t="str">
        <f t="shared" si="50"/>
        <v>208</v>
      </c>
      <c r="D1622" s="39" t="str">
        <f t="shared" si="51"/>
        <v>20805</v>
      </c>
      <c r="E1622" s="39">
        <f>IF(ISNA(VLOOKUP(F1622,'2020功能科目'!A:B,2,FALSE)),"",VLOOKUP(F1622,'2020功能科目'!A:B,2,FALSE))</f>
        <v>2080506</v>
      </c>
      <c r="F1622" s="25" t="s">
        <v>383</v>
      </c>
      <c r="G1622" s="26">
        <v>452549.44</v>
      </c>
      <c r="H1622" s="26">
        <v>517338.24</v>
      </c>
    </row>
    <row r="1623" spans="1:8">
      <c r="A1623" s="24">
        <v>255175</v>
      </c>
      <c r="B1623" s="25" t="s">
        <v>140</v>
      </c>
      <c r="C1623" s="39" t="str">
        <f t="shared" si="50"/>
        <v>210</v>
      </c>
      <c r="D1623" s="39" t="str">
        <f t="shared" si="51"/>
        <v>21011</v>
      </c>
      <c r="E1623" s="39">
        <f>IF(ISNA(VLOOKUP(F1623,'2020功能科目'!A:B,2,FALSE)),"",VLOOKUP(F1623,'2020功能科目'!A:B,2,FALSE))</f>
        <v>2101102</v>
      </c>
      <c r="F1623" s="25" t="s">
        <v>385</v>
      </c>
      <c r="G1623" s="26">
        <v>878770.3</v>
      </c>
      <c r="H1623" s="26">
        <v>840674.64</v>
      </c>
    </row>
    <row r="1624" spans="1:8">
      <c r="A1624" s="24">
        <v>255175</v>
      </c>
      <c r="B1624" s="25" t="s">
        <v>140</v>
      </c>
      <c r="C1624" s="39" t="str">
        <f t="shared" si="50"/>
        <v>210</v>
      </c>
      <c r="D1624" s="39" t="str">
        <f t="shared" si="51"/>
        <v>21011</v>
      </c>
      <c r="E1624" s="39">
        <f>IF(ISNA(VLOOKUP(F1624,'2020功能科目'!A:B,2,FALSE)),"",VLOOKUP(F1624,'2020功能科目'!A:B,2,FALSE))</f>
        <v>2101199</v>
      </c>
      <c r="F1624" s="25" t="s">
        <v>386</v>
      </c>
      <c r="G1624" s="26">
        <v>90000</v>
      </c>
      <c r="H1624" s="26">
        <v>90000</v>
      </c>
    </row>
    <row r="1625" spans="1:8">
      <c r="A1625" s="24">
        <v>255175</v>
      </c>
      <c r="B1625" s="25" t="s">
        <v>140</v>
      </c>
      <c r="C1625" s="39" t="str">
        <f t="shared" si="50"/>
        <v>221</v>
      </c>
      <c r="D1625" s="39" t="str">
        <f t="shared" si="51"/>
        <v>22102</v>
      </c>
      <c r="E1625" s="39">
        <f>IF(ISNA(VLOOKUP(F1625,'2020功能科目'!A:B,2,FALSE)),"",VLOOKUP(F1625,'2020功能科目'!A:B,2,FALSE))</f>
        <v>2210201</v>
      </c>
      <c r="F1625" s="25" t="s">
        <v>387</v>
      </c>
      <c r="G1625" s="26">
        <v>1035252</v>
      </c>
      <c r="H1625" s="26">
        <v>1028007.36</v>
      </c>
    </row>
    <row r="1626" spans="1:8">
      <c r="A1626" s="24">
        <v>255175</v>
      </c>
      <c r="B1626" s="25" t="s">
        <v>140</v>
      </c>
      <c r="C1626" s="39" t="str">
        <f t="shared" si="50"/>
        <v>221</v>
      </c>
      <c r="D1626" s="39" t="str">
        <f t="shared" si="51"/>
        <v>22102</v>
      </c>
      <c r="E1626" s="39">
        <f>IF(ISNA(VLOOKUP(F1626,'2020功能科目'!A:B,2,FALSE)),"",VLOOKUP(F1626,'2020功能科目'!A:B,2,FALSE))</f>
        <v>2210202</v>
      </c>
      <c r="F1626" s="25" t="s">
        <v>388</v>
      </c>
      <c r="G1626" s="26">
        <v>92590</v>
      </c>
      <c r="H1626" s="26">
        <v>96840</v>
      </c>
    </row>
    <row r="1627" spans="1:8">
      <c r="A1627" s="24">
        <v>255175</v>
      </c>
      <c r="B1627" s="25" t="s">
        <v>140</v>
      </c>
      <c r="C1627" s="39" t="str">
        <f t="shared" si="50"/>
        <v>221</v>
      </c>
      <c r="D1627" s="39" t="str">
        <f t="shared" si="51"/>
        <v>22102</v>
      </c>
      <c r="E1627" s="39">
        <f>IF(ISNA(VLOOKUP(F1627,'2020功能科目'!A:B,2,FALSE)),"",VLOOKUP(F1627,'2020功能科目'!A:B,2,FALSE))</f>
        <v>2210203</v>
      </c>
      <c r="F1627" s="25" t="s">
        <v>389</v>
      </c>
      <c r="G1627" s="26">
        <v>1057850</v>
      </c>
      <c r="H1627" s="26">
        <v>1100580</v>
      </c>
    </row>
    <row r="1628" spans="1:8">
      <c r="A1628" s="24">
        <v>255176</v>
      </c>
      <c r="B1628" s="25" t="s">
        <v>141</v>
      </c>
      <c r="C1628" s="39" t="str">
        <f t="shared" si="50"/>
        <v>205</v>
      </c>
      <c r="D1628" s="39" t="str">
        <f t="shared" si="51"/>
        <v>20502</v>
      </c>
      <c r="E1628" s="39">
        <f>IF(ISNA(VLOOKUP(F1628,'2020功能科目'!A:B,2,FALSE)),"",VLOOKUP(F1628,'2020功能科目'!A:B,2,FALSE))</f>
        <v>2050299</v>
      </c>
      <c r="F1628" s="25" t="s">
        <v>377</v>
      </c>
      <c r="G1628" s="26">
        <v>14828838</v>
      </c>
      <c r="H1628" s="26">
        <v>13598540.16</v>
      </c>
    </row>
    <row r="1629" spans="1:8">
      <c r="A1629" s="24">
        <v>255176</v>
      </c>
      <c r="B1629" s="25" t="s">
        <v>141</v>
      </c>
      <c r="C1629" s="39" t="str">
        <f t="shared" si="50"/>
        <v>205</v>
      </c>
      <c r="D1629" s="39" t="str">
        <f t="shared" si="51"/>
        <v>20508</v>
      </c>
      <c r="E1629" s="39">
        <f>IF(ISNA(VLOOKUP(F1629,'2020功能科目'!A:B,2,FALSE)),"",VLOOKUP(F1629,'2020功能科目'!A:B,2,FALSE))</f>
        <v>2050803</v>
      </c>
      <c r="F1629" s="25" t="s">
        <v>378</v>
      </c>
      <c r="G1629" s="26">
        <v>14800</v>
      </c>
      <c r="H1629" s="26">
        <v>29600</v>
      </c>
    </row>
    <row r="1630" spans="1:8">
      <c r="A1630" s="24">
        <v>255176</v>
      </c>
      <c r="B1630" s="25" t="s">
        <v>141</v>
      </c>
      <c r="C1630" s="39" t="str">
        <f t="shared" si="50"/>
        <v>205</v>
      </c>
      <c r="D1630" s="39" t="str">
        <f t="shared" si="51"/>
        <v>20509</v>
      </c>
      <c r="E1630" s="39">
        <f>IF(ISNA(VLOOKUP(F1630,'2020功能科目'!A:B,2,FALSE)),"",VLOOKUP(F1630,'2020功能科目'!A:B,2,FALSE))</f>
        <v>2050999</v>
      </c>
      <c r="F1630" s="25" t="s">
        <v>394</v>
      </c>
      <c r="G1630" s="26">
        <v>2114707</v>
      </c>
      <c r="H1630" s="26">
        <v>2114982</v>
      </c>
    </row>
    <row r="1631" spans="1:8">
      <c r="A1631" s="24">
        <v>255176</v>
      </c>
      <c r="B1631" s="25" t="s">
        <v>141</v>
      </c>
      <c r="C1631" s="39" t="str">
        <f t="shared" si="50"/>
        <v>206</v>
      </c>
      <c r="D1631" s="39" t="str">
        <f t="shared" si="51"/>
        <v>20607</v>
      </c>
      <c r="E1631" s="39">
        <f>IF(ISNA(VLOOKUP(F1631,'2020功能科目'!A:B,2,FALSE)),"",VLOOKUP(F1631,'2020功能科目'!A:B,2,FALSE))</f>
        <v>2060702</v>
      </c>
      <c r="F1631" s="25" t="s">
        <v>398</v>
      </c>
      <c r="G1631" s="26">
        <v>49500</v>
      </c>
      <c r="H1631" s="26">
        <v>0</v>
      </c>
    </row>
    <row r="1632" spans="1:8">
      <c r="A1632" s="24">
        <v>255176</v>
      </c>
      <c r="B1632" s="25" t="s">
        <v>141</v>
      </c>
      <c r="C1632" s="39" t="str">
        <f t="shared" si="50"/>
        <v>208</v>
      </c>
      <c r="D1632" s="39" t="str">
        <f t="shared" si="51"/>
        <v>20805</v>
      </c>
      <c r="E1632" s="39">
        <f>IF(ISNA(VLOOKUP(F1632,'2020功能科目'!A:B,2,FALSE)),"",VLOOKUP(F1632,'2020功能科目'!A:B,2,FALSE))</f>
        <v>2080502</v>
      </c>
      <c r="F1632" s="25" t="s">
        <v>381</v>
      </c>
      <c r="G1632" s="26">
        <v>673162</v>
      </c>
      <c r="H1632" s="26">
        <v>509862</v>
      </c>
    </row>
    <row r="1633" spans="1:8">
      <c r="A1633" s="24">
        <v>255176</v>
      </c>
      <c r="B1633" s="25" t="s">
        <v>141</v>
      </c>
      <c r="C1633" s="39" t="str">
        <f t="shared" si="50"/>
        <v>208</v>
      </c>
      <c r="D1633" s="39" t="str">
        <f t="shared" si="51"/>
        <v>20805</v>
      </c>
      <c r="E1633" s="39">
        <f>IF(ISNA(VLOOKUP(F1633,'2020功能科目'!A:B,2,FALSE)),"",VLOOKUP(F1633,'2020功能科目'!A:B,2,FALSE))</f>
        <v>2080505</v>
      </c>
      <c r="F1633" s="25" t="s">
        <v>382</v>
      </c>
      <c r="G1633" s="26">
        <v>919524.96</v>
      </c>
      <c r="H1633" s="26">
        <v>916726.08</v>
      </c>
    </row>
    <row r="1634" spans="1:8">
      <c r="A1634" s="24">
        <v>255176</v>
      </c>
      <c r="B1634" s="25" t="s">
        <v>141</v>
      </c>
      <c r="C1634" s="39" t="str">
        <f t="shared" si="50"/>
        <v>208</v>
      </c>
      <c r="D1634" s="39" t="str">
        <f t="shared" si="51"/>
        <v>20805</v>
      </c>
      <c r="E1634" s="39">
        <f>IF(ISNA(VLOOKUP(F1634,'2020功能科目'!A:B,2,FALSE)),"",VLOOKUP(F1634,'2020功能科目'!A:B,2,FALSE))</f>
        <v>2080506</v>
      </c>
      <c r="F1634" s="25" t="s">
        <v>383</v>
      </c>
      <c r="G1634" s="26">
        <v>459762.48</v>
      </c>
      <c r="H1634" s="26">
        <v>458363.04</v>
      </c>
    </row>
    <row r="1635" spans="1:8">
      <c r="A1635" s="24">
        <v>255176</v>
      </c>
      <c r="B1635" s="25" t="s">
        <v>141</v>
      </c>
      <c r="C1635" s="39" t="str">
        <f t="shared" si="50"/>
        <v>210</v>
      </c>
      <c r="D1635" s="39" t="str">
        <f t="shared" si="51"/>
        <v>21011</v>
      </c>
      <c r="E1635" s="39">
        <f>IF(ISNA(VLOOKUP(F1635,'2020功能科目'!A:B,2,FALSE)),"",VLOOKUP(F1635,'2020功能科目'!A:B,2,FALSE))</f>
        <v>2101102</v>
      </c>
      <c r="F1635" s="25" t="s">
        <v>385</v>
      </c>
      <c r="G1635" s="26">
        <v>701343.53</v>
      </c>
      <c r="H1635" s="26">
        <v>744839.94</v>
      </c>
    </row>
    <row r="1636" spans="1:8">
      <c r="A1636" s="24">
        <v>255176</v>
      </c>
      <c r="B1636" s="25" t="s">
        <v>141</v>
      </c>
      <c r="C1636" s="39" t="str">
        <f t="shared" si="50"/>
        <v>221</v>
      </c>
      <c r="D1636" s="39" t="str">
        <f t="shared" si="51"/>
        <v>22102</v>
      </c>
      <c r="E1636" s="39">
        <f>IF(ISNA(VLOOKUP(F1636,'2020功能科目'!A:B,2,FALSE)),"",VLOOKUP(F1636,'2020功能科目'!A:B,2,FALSE))</f>
        <v>2210201</v>
      </c>
      <c r="F1636" s="25" t="s">
        <v>387</v>
      </c>
      <c r="G1636" s="26">
        <v>909534</v>
      </c>
      <c r="H1636" s="26">
        <v>909544.56</v>
      </c>
    </row>
    <row r="1637" spans="1:8">
      <c r="A1637" s="24">
        <v>255176</v>
      </c>
      <c r="B1637" s="25" t="s">
        <v>141</v>
      </c>
      <c r="C1637" s="39" t="str">
        <f t="shared" si="50"/>
        <v>221</v>
      </c>
      <c r="D1637" s="39" t="str">
        <f t="shared" si="51"/>
        <v>22102</v>
      </c>
      <c r="E1637" s="39">
        <f>IF(ISNA(VLOOKUP(F1637,'2020功能科目'!A:B,2,FALSE)),"",VLOOKUP(F1637,'2020功能科目'!A:B,2,FALSE))</f>
        <v>2210202</v>
      </c>
      <c r="F1637" s="25" t="s">
        <v>388</v>
      </c>
      <c r="G1637" s="26">
        <v>79210</v>
      </c>
      <c r="H1637" s="26">
        <v>81480</v>
      </c>
    </row>
    <row r="1638" spans="1:8">
      <c r="A1638" s="24">
        <v>255176</v>
      </c>
      <c r="B1638" s="25" t="s">
        <v>141</v>
      </c>
      <c r="C1638" s="39" t="str">
        <f t="shared" si="50"/>
        <v>221</v>
      </c>
      <c r="D1638" s="39" t="str">
        <f t="shared" si="51"/>
        <v>22102</v>
      </c>
      <c r="E1638" s="39">
        <f>IF(ISNA(VLOOKUP(F1638,'2020功能科目'!A:B,2,FALSE)),"",VLOOKUP(F1638,'2020功能科目'!A:B,2,FALSE))</f>
        <v>2210203</v>
      </c>
      <c r="F1638" s="25" t="s">
        <v>389</v>
      </c>
      <c r="G1638" s="26">
        <v>976934</v>
      </c>
      <c r="H1638" s="26">
        <v>977040</v>
      </c>
    </row>
    <row r="1639" spans="1:8">
      <c r="A1639" s="24">
        <v>255177</v>
      </c>
      <c r="B1639" s="25" t="s">
        <v>142</v>
      </c>
      <c r="C1639" s="39" t="str">
        <f t="shared" si="50"/>
        <v>205</v>
      </c>
      <c r="D1639" s="39" t="str">
        <f t="shared" si="51"/>
        <v>20502</v>
      </c>
      <c r="E1639" s="39">
        <f>IF(ISNA(VLOOKUP(F1639,'2020功能科目'!A:B,2,FALSE)),"",VLOOKUP(F1639,'2020功能科目'!A:B,2,FALSE))</f>
        <v>2050299</v>
      </c>
      <c r="F1639" s="25" t="s">
        <v>377</v>
      </c>
      <c r="G1639" s="26">
        <v>9717786.6600000001</v>
      </c>
      <c r="H1639" s="26">
        <v>9434000.6600000001</v>
      </c>
    </row>
    <row r="1640" spans="1:8">
      <c r="A1640" s="24">
        <v>255177</v>
      </c>
      <c r="B1640" s="25" t="s">
        <v>142</v>
      </c>
      <c r="C1640" s="39" t="str">
        <f t="shared" si="50"/>
        <v>205</v>
      </c>
      <c r="D1640" s="39" t="str">
        <f t="shared" si="51"/>
        <v>20508</v>
      </c>
      <c r="E1640" s="39">
        <f>IF(ISNA(VLOOKUP(F1640,'2020功能科目'!A:B,2,FALSE)),"",VLOOKUP(F1640,'2020功能科目'!A:B,2,FALSE))</f>
        <v>2050803</v>
      </c>
      <c r="F1640" s="25" t="s">
        <v>378</v>
      </c>
      <c r="G1640" s="26">
        <v>0</v>
      </c>
      <c r="H1640" s="26">
        <v>23200</v>
      </c>
    </row>
    <row r="1641" spans="1:8">
      <c r="A1641" s="24">
        <v>255177</v>
      </c>
      <c r="B1641" s="25" t="s">
        <v>142</v>
      </c>
      <c r="C1641" s="39" t="str">
        <f t="shared" si="50"/>
        <v>205</v>
      </c>
      <c r="D1641" s="39" t="str">
        <f t="shared" si="51"/>
        <v>20509</v>
      </c>
      <c r="E1641" s="39">
        <f>IF(ISNA(VLOOKUP(F1641,'2020功能科目'!A:B,2,FALSE)),"",VLOOKUP(F1641,'2020功能科目'!A:B,2,FALSE))</f>
        <v>2050999</v>
      </c>
      <c r="F1641" s="25" t="s">
        <v>394</v>
      </c>
      <c r="G1641" s="26">
        <v>63799.5</v>
      </c>
      <c r="H1641" s="26">
        <v>96799.5</v>
      </c>
    </row>
    <row r="1642" spans="1:8">
      <c r="A1642" s="24">
        <v>255177</v>
      </c>
      <c r="B1642" s="25" t="s">
        <v>142</v>
      </c>
      <c r="C1642" s="39" t="str">
        <f t="shared" si="50"/>
        <v>208</v>
      </c>
      <c r="D1642" s="39" t="str">
        <f t="shared" si="51"/>
        <v>20805</v>
      </c>
      <c r="E1642" s="39">
        <f>IF(ISNA(VLOOKUP(F1642,'2020功能科目'!A:B,2,FALSE)),"",VLOOKUP(F1642,'2020功能科目'!A:B,2,FALSE))</f>
        <v>2080502</v>
      </c>
      <c r="F1642" s="25" t="s">
        <v>381</v>
      </c>
      <c r="G1642" s="26">
        <v>310852</v>
      </c>
      <c r="H1642" s="26">
        <v>315892</v>
      </c>
    </row>
    <row r="1643" spans="1:8">
      <c r="A1643" s="24">
        <v>255177</v>
      </c>
      <c r="B1643" s="25" t="s">
        <v>142</v>
      </c>
      <c r="C1643" s="39" t="str">
        <f t="shared" si="50"/>
        <v>208</v>
      </c>
      <c r="D1643" s="39" t="str">
        <f t="shared" si="51"/>
        <v>20805</v>
      </c>
      <c r="E1643" s="39">
        <f>IF(ISNA(VLOOKUP(F1643,'2020功能科目'!A:B,2,FALSE)),"",VLOOKUP(F1643,'2020功能科目'!A:B,2,FALSE))</f>
        <v>2080505</v>
      </c>
      <c r="F1643" s="25" t="s">
        <v>382</v>
      </c>
      <c r="G1643" s="26">
        <v>716502.4</v>
      </c>
      <c r="H1643" s="26">
        <v>720805.12</v>
      </c>
    </row>
    <row r="1644" spans="1:8">
      <c r="A1644" s="24">
        <v>255177</v>
      </c>
      <c r="B1644" s="25" t="s">
        <v>142</v>
      </c>
      <c r="C1644" s="39" t="str">
        <f t="shared" si="50"/>
        <v>208</v>
      </c>
      <c r="D1644" s="39" t="str">
        <f t="shared" si="51"/>
        <v>20805</v>
      </c>
      <c r="E1644" s="39">
        <f>IF(ISNA(VLOOKUP(F1644,'2020功能科目'!A:B,2,FALSE)),"",VLOOKUP(F1644,'2020功能科目'!A:B,2,FALSE))</f>
        <v>2080506</v>
      </c>
      <c r="F1644" s="25" t="s">
        <v>383</v>
      </c>
      <c r="G1644" s="26">
        <v>358251.2</v>
      </c>
      <c r="H1644" s="26">
        <v>360402.56</v>
      </c>
    </row>
    <row r="1645" spans="1:8">
      <c r="A1645" s="24">
        <v>255177</v>
      </c>
      <c r="B1645" s="25" t="s">
        <v>142</v>
      </c>
      <c r="C1645" s="39" t="str">
        <f t="shared" si="50"/>
        <v>210</v>
      </c>
      <c r="D1645" s="39" t="str">
        <f t="shared" si="51"/>
        <v>21011</v>
      </c>
      <c r="E1645" s="39">
        <f>IF(ISNA(VLOOKUP(F1645,'2020功能科目'!A:B,2,FALSE)),"",VLOOKUP(F1645,'2020功能科目'!A:B,2,FALSE))</f>
        <v>2101102</v>
      </c>
      <c r="F1645" s="25" t="s">
        <v>385</v>
      </c>
      <c r="G1645" s="26">
        <v>605332.91</v>
      </c>
      <c r="H1645" s="26">
        <v>585654.16</v>
      </c>
    </row>
    <row r="1646" spans="1:8">
      <c r="A1646" s="24">
        <v>255177</v>
      </c>
      <c r="B1646" s="25" t="s">
        <v>142</v>
      </c>
      <c r="C1646" s="39" t="str">
        <f t="shared" si="50"/>
        <v>221</v>
      </c>
      <c r="D1646" s="39" t="str">
        <f t="shared" si="51"/>
        <v>22102</v>
      </c>
      <c r="E1646" s="39">
        <f>IF(ISNA(VLOOKUP(F1646,'2020功能科目'!A:B,2,FALSE)),"",VLOOKUP(F1646,'2020功能科目'!A:B,2,FALSE))</f>
        <v>2210201</v>
      </c>
      <c r="F1646" s="25" t="s">
        <v>387</v>
      </c>
      <c r="G1646" s="26">
        <v>709962</v>
      </c>
      <c r="H1646" s="26">
        <v>714603.84</v>
      </c>
    </row>
    <row r="1647" spans="1:8">
      <c r="A1647" s="24">
        <v>255177</v>
      </c>
      <c r="B1647" s="25" t="s">
        <v>142</v>
      </c>
      <c r="C1647" s="39" t="str">
        <f t="shared" si="50"/>
        <v>221</v>
      </c>
      <c r="D1647" s="39" t="str">
        <f t="shared" si="51"/>
        <v>22102</v>
      </c>
      <c r="E1647" s="39">
        <f>IF(ISNA(VLOOKUP(F1647,'2020功能科目'!A:B,2,FALSE)),"",VLOOKUP(F1647,'2020功能科目'!A:B,2,FALSE))</f>
        <v>2210202</v>
      </c>
      <c r="F1647" s="25" t="s">
        <v>388</v>
      </c>
      <c r="G1647" s="26">
        <v>54900</v>
      </c>
      <c r="H1647" s="26">
        <v>55200</v>
      </c>
    </row>
    <row r="1648" spans="1:8">
      <c r="A1648" s="24">
        <v>255177</v>
      </c>
      <c r="B1648" s="25" t="s">
        <v>142</v>
      </c>
      <c r="C1648" s="39" t="str">
        <f t="shared" si="50"/>
        <v>221</v>
      </c>
      <c r="D1648" s="39" t="str">
        <f t="shared" si="51"/>
        <v>22102</v>
      </c>
      <c r="E1648" s="39">
        <f>IF(ISNA(VLOOKUP(F1648,'2020功能科目'!A:B,2,FALSE)),"",VLOOKUP(F1648,'2020功能科目'!A:B,2,FALSE))</f>
        <v>2210203</v>
      </c>
      <c r="F1648" s="25" t="s">
        <v>389</v>
      </c>
      <c r="G1648" s="26">
        <v>644592</v>
      </c>
      <c r="H1648" s="26">
        <v>644592</v>
      </c>
    </row>
    <row r="1649" spans="1:8">
      <c r="A1649" s="24">
        <v>255178</v>
      </c>
      <c r="B1649" s="25" t="s">
        <v>143</v>
      </c>
      <c r="C1649" s="39" t="str">
        <f t="shared" si="50"/>
        <v>205</v>
      </c>
      <c r="D1649" s="39" t="str">
        <f t="shared" si="51"/>
        <v>20502</v>
      </c>
      <c r="E1649" s="39">
        <f>IF(ISNA(VLOOKUP(F1649,'2020功能科目'!A:B,2,FALSE)),"",VLOOKUP(F1649,'2020功能科目'!A:B,2,FALSE))</f>
        <v>2050299</v>
      </c>
      <c r="F1649" s="25" t="s">
        <v>377</v>
      </c>
      <c r="G1649" s="26">
        <v>5641091.79</v>
      </c>
      <c r="H1649" s="26">
        <v>5844912.8200000003</v>
      </c>
    </row>
    <row r="1650" spans="1:8">
      <c r="A1650" s="24">
        <v>255178</v>
      </c>
      <c r="B1650" s="25" t="s">
        <v>143</v>
      </c>
      <c r="C1650" s="39" t="str">
        <f t="shared" si="50"/>
        <v>205</v>
      </c>
      <c r="D1650" s="39" t="str">
        <f t="shared" si="51"/>
        <v>20508</v>
      </c>
      <c r="E1650" s="39">
        <f>IF(ISNA(VLOOKUP(F1650,'2020功能科目'!A:B,2,FALSE)),"",VLOOKUP(F1650,'2020功能科目'!A:B,2,FALSE))</f>
        <v>2050803</v>
      </c>
      <c r="F1650" s="25" t="s">
        <v>378</v>
      </c>
      <c r="G1650" s="26">
        <v>6575</v>
      </c>
      <c r="H1650" s="26">
        <v>13600</v>
      </c>
    </row>
    <row r="1651" spans="1:8">
      <c r="A1651" s="24">
        <v>255178</v>
      </c>
      <c r="B1651" s="25" t="s">
        <v>143</v>
      </c>
      <c r="C1651" s="39" t="str">
        <f t="shared" si="50"/>
        <v>208</v>
      </c>
      <c r="D1651" s="39" t="str">
        <f t="shared" si="51"/>
        <v>20805</v>
      </c>
      <c r="E1651" s="39">
        <f>IF(ISNA(VLOOKUP(F1651,'2020功能科目'!A:B,2,FALSE)),"",VLOOKUP(F1651,'2020功能科目'!A:B,2,FALSE))</f>
        <v>2080502</v>
      </c>
      <c r="F1651" s="25" t="s">
        <v>381</v>
      </c>
      <c r="G1651" s="26">
        <v>296073</v>
      </c>
      <c r="H1651" s="26">
        <v>296180</v>
      </c>
    </row>
    <row r="1652" spans="1:8">
      <c r="A1652" s="24">
        <v>255178</v>
      </c>
      <c r="B1652" s="25" t="s">
        <v>143</v>
      </c>
      <c r="C1652" s="39" t="str">
        <f t="shared" si="50"/>
        <v>208</v>
      </c>
      <c r="D1652" s="39" t="str">
        <f t="shared" si="51"/>
        <v>20805</v>
      </c>
      <c r="E1652" s="39">
        <f>IF(ISNA(VLOOKUP(F1652,'2020功能科目'!A:B,2,FALSE)),"",VLOOKUP(F1652,'2020功能科目'!A:B,2,FALSE))</f>
        <v>2080505</v>
      </c>
      <c r="F1652" s="25" t="s">
        <v>382</v>
      </c>
      <c r="G1652" s="26">
        <v>366759.84</v>
      </c>
      <c r="H1652" s="26">
        <v>391197.76</v>
      </c>
    </row>
    <row r="1653" spans="1:8">
      <c r="A1653" s="24">
        <v>255178</v>
      </c>
      <c r="B1653" s="25" t="s">
        <v>143</v>
      </c>
      <c r="C1653" s="39" t="str">
        <f t="shared" si="50"/>
        <v>208</v>
      </c>
      <c r="D1653" s="39" t="str">
        <f t="shared" si="51"/>
        <v>20805</v>
      </c>
      <c r="E1653" s="39">
        <f>IF(ISNA(VLOOKUP(F1653,'2020功能科目'!A:B,2,FALSE)),"",VLOOKUP(F1653,'2020功能科目'!A:B,2,FALSE))</f>
        <v>2080506</v>
      </c>
      <c r="F1653" s="25" t="s">
        <v>383</v>
      </c>
      <c r="G1653" s="26">
        <v>183379.92</v>
      </c>
      <c r="H1653" s="26">
        <v>195598.88</v>
      </c>
    </row>
    <row r="1654" spans="1:8">
      <c r="A1654" s="24">
        <v>255178</v>
      </c>
      <c r="B1654" s="25" t="s">
        <v>143</v>
      </c>
      <c r="C1654" s="39" t="str">
        <f t="shared" si="50"/>
        <v>208</v>
      </c>
      <c r="D1654" s="39" t="str">
        <f t="shared" si="51"/>
        <v>20808</v>
      </c>
      <c r="E1654" s="39">
        <f>IF(ISNA(VLOOKUP(F1654,'2020功能科目'!A:B,2,FALSE)),"",VLOOKUP(F1654,'2020功能科目'!A:B,2,FALSE))</f>
        <v>2080801</v>
      </c>
      <c r="F1654" s="25" t="s">
        <v>384</v>
      </c>
      <c r="G1654" s="26">
        <v>217958</v>
      </c>
      <c r="H1654" s="26">
        <v>0</v>
      </c>
    </row>
    <row r="1655" spans="1:8">
      <c r="A1655" s="24">
        <v>255178</v>
      </c>
      <c r="B1655" s="25" t="s">
        <v>143</v>
      </c>
      <c r="C1655" s="39" t="str">
        <f t="shared" si="50"/>
        <v>210</v>
      </c>
      <c r="D1655" s="39" t="str">
        <f t="shared" si="51"/>
        <v>21011</v>
      </c>
      <c r="E1655" s="39">
        <f>IF(ISNA(VLOOKUP(F1655,'2020功能科目'!A:B,2,FALSE)),"",VLOOKUP(F1655,'2020功能科目'!A:B,2,FALSE))</f>
        <v>2101102</v>
      </c>
      <c r="F1655" s="25" t="s">
        <v>385</v>
      </c>
      <c r="G1655" s="26">
        <v>307740.01</v>
      </c>
      <c r="H1655" s="26">
        <v>317848.18</v>
      </c>
    </row>
    <row r="1656" spans="1:8">
      <c r="A1656" s="24">
        <v>255178</v>
      </c>
      <c r="B1656" s="25" t="s">
        <v>143</v>
      </c>
      <c r="C1656" s="39" t="str">
        <f t="shared" si="50"/>
        <v>221</v>
      </c>
      <c r="D1656" s="39" t="str">
        <f t="shared" si="51"/>
        <v>22102</v>
      </c>
      <c r="E1656" s="39">
        <f>IF(ISNA(VLOOKUP(F1656,'2020功能科目'!A:B,2,FALSE)),"",VLOOKUP(F1656,'2020功能科目'!A:B,2,FALSE))</f>
        <v>2210201</v>
      </c>
      <c r="F1656" s="25" t="s">
        <v>387</v>
      </c>
      <c r="G1656" s="26">
        <v>380521</v>
      </c>
      <c r="H1656" s="26">
        <v>395398.32</v>
      </c>
    </row>
    <row r="1657" spans="1:8">
      <c r="A1657" s="24">
        <v>255178</v>
      </c>
      <c r="B1657" s="25" t="s">
        <v>143</v>
      </c>
      <c r="C1657" s="39" t="str">
        <f t="shared" si="50"/>
        <v>221</v>
      </c>
      <c r="D1657" s="39" t="str">
        <f t="shared" si="51"/>
        <v>22102</v>
      </c>
      <c r="E1657" s="39">
        <f>IF(ISNA(VLOOKUP(F1657,'2020功能科目'!A:B,2,FALSE)),"",VLOOKUP(F1657,'2020功能科目'!A:B,2,FALSE))</f>
        <v>2210202</v>
      </c>
      <c r="F1657" s="25" t="s">
        <v>388</v>
      </c>
      <c r="G1657" s="26">
        <v>41770</v>
      </c>
      <c r="H1657" s="26">
        <v>42360</v>
      </c>
    </row>
    <row r="1658" spans="1:8">
      <c r="A1658" s="24">
        <v>255178</v>
      </c>
      <c r="B1658" s="25" t="s">
        <v>143</v>
      </c>
      <c r="C1658" s="39" t="str">
        <f t="shared" si="50"/>
        <v>221</v>
      </c>
      <c r="D1658" s="39" t="str">
        <f t="shared" si="51"/>
        <v>22102</v>
      </c>
      <c r="E1658" s="39">
        <f>IF(ISNA(VLOOKUP(F1658,'2020功能科目'!A:B,2,FALSE)),"",VLOOKUP(F1658,'2020功能科目'!A:B,2,FALSE))</f>
        <v>2210203</v>
      </c>
      <c r="F1658" s="25" t="s">
        <v>389</v>
      </c>
      <c r="G1658" s="26">
        <v>347561</v>
      </c>
      <c r="H1658" s="26">
        <v>366504</v>
      </c>
    </row>
    <row r="1659" spans="1:8">
      <c r="A1659" s="24">
        <v>255181</v>
      </c>
      <c r="B1659" s="25" t="s">
        <v>144</v>
      </c>
      <c r="C1659" s="39" t="str">
        <f t="shared" si="50"/>
        <v>205</v>
      </c>
      <c r="D1659" s="39" t="str">
        <f t="shared" si="51"/>
        <v>20502</v>
      </c>
      <c r="E1659" s="39">
        <f>IF(ISNA(VLOOKUP(F1659,'2020功能科目'!A:B,2,FALSE)),"",VLOOKUP(F1659,'2020功能科目'!A:B,2,FALSE))</f>
        <v>2050201</v>
      </c>
      <c r="F1659" s="25" t="s">
        <v>374</v>
      </c>
      <c r="G1659" s="26">
        <v>24762681.16</v>
      </c>
      <c r="H1659" s="26">
        <v>14838200</v>
      </c>
    </row>
    <row r="1660" spans="1:8">
      <c r="A1660" s="24">
        <v>255181</v>
      </c>
      <c r="B1660" s="25" t="s">
        <v>144</v>
      </c>
      <c r="C1660" s="39" t="str">
        <f t="shared" si="50"/>
        <v>205</v>
      </c>
      <c r="D1660" s="39" t="str">
        <f t="shared" si="51"/>
        <v>20502</v>
      </c>
      <c r="E1660" s="39">
        <f>IF(ISNA(VLOOKUP(F1660,'2020功能科目'!A:B,2,FALSE)),"",VLOOKUP(F1660,'2020功能科目'!A:B,2,FALSE))</f>
        <v>2050202</v>
      </c>
      <c r="F1660" s="25" t="s">
        <v>375</v>
      </c>
      <c r="G1660" s="26">
        <v>153751058.88999999</v>
      </c>
      <c r="H1660" s="26">
        <v>124730000</v>
      </c>
    </row>
    <row r="1661" spans="1:8">
      <c r="A1661" s="24">
        <v>255181</v>
      </c>
      <c r="B1661" s="25" t="s">
        <v>144</v>
      </c>
      <c r="C1661" s="39" t="str">
        <f t="shared" si="50"/>
        <v>205</v>
      </c>
      <c r="D1661" s="39" t="str">
        <f t="shared" si="51"/>
        <v>20502</v>
      </c>
      <c r="E1661" s="39">
        <f>IF(ISNA(VLOOKUP(F1661,'2020功能科目'!A:B,2,FALSE)),"",VLOOKUP(F1661,'2020功能科目'!A:B,2,FALSE))</f>
        <v>2050203</v>
      </c>
      <c r="F1661" s="25" t="s">
        <v>390</v>
      </c>
      <c r="G1661" s="26">
        <v>105595371.97</v>
      </c>
      <c r="H1661" s="26">
        <v>74550000</v>
      </c>
    </row>
    <row r="1662" spans="1:8">
      <c r="A1662" s="24">
        <v>255181</v>
      </c>
      <c r="B1662" s="25" t="s">
        <v>144</v>
      </c>
      <c r="C1662" s="39" t="str">
        <f t="shared" si="50"/>
        <v>205</v>
      </c>
      <c r="D1662" s="39" t="str">
        <f t="shared" si="51"/>
        <v>20502</v>
      </c>
      <c r="E1662" s="39">
        <f>IF(ISNA(VLOOKUP(F1662,'2020功能科目'!A:B,2,FALSE)),"",VLOOKUP(F1662,'2020功能科目'!A:B,2,FALSE))</f>
        <v>2050204</v>
      </c>
      <c r="F1662" s="25" t="s">
        <v>376</v>
      </c>
      <c r="G1662" s="26">
        <v>110548559.26000001</v>
      </c>
      <c r="H1662" s="26">
        <v>139989400</v>
      </c>
    </row>
    <row r="1663" spans="1:8">
      <c r="A1663" s="24">
        <v>255181</v>
      </c>
      <c r="B1663" s="25" t="s">
        <v>144</v>
      </c>
      <c r="C1663" s="39" t="str">
        <f t="shared" si="50"/>
        <v>205</v>
      </c>
      <c r="D1663" s="39" t="str">
        <f t="shared" si="51"/>
        <v>20502</v>
      </c>
      <c r="E1663" s="39">
        <f>IF(ISNA(VLOOKUP(F1663,'2020功能科目'!A:B,2,FALSE)),"",VLOOKUP(F1663,'2020功能科目'!A:B,2,FALSE))</f>
        <v>2050299</v>
      </c>
      <c r="F1663" s="25" t="s">
        <v>377</v>
      </c>
      <c r="G1663" s="26">
        <v>298290502.44999999</v>
      </c>
      <c r="H1663" s="26">
        <v>229798650.47</v>
      </c>
    </row>
    <row r="1664" spans="1:8">
      <c r="A1664" s="24">
        <v>255181</v>
      </c>
      <c r="B1664" s="25" t="s">
        <v>144</v>
      </c>
      <c r="C1664" s="39" t="str">
        <f t="shared" si="50"/>
        <v>205</v>
      </c>
      <c r="D1664" s="39" t="str">
        <f t="shared" si="51"/>
        <v>20508</v>
      </c>
      <c r="E1664" s="39">
        <f>IF(ISNA(VLOOKUP(F1664,'2020功能科目'!A:B,2,FALSE)),"",VLOOKUP(F1664,'2020功能科目'!A:B,2,FALSE))</f>
        <v>2050803</v>
      </c>
      <c r="F1664" s="25" t="s">
        <v>378</v>
      </c>
      <c r="G1664" s="26">
        <v>0</v>
      </c>
      <c r="H1664" s="26">
        <v>74400</v>
      </c>
    </row>
    <row r="1665" spans="1:8">
      <c r="A1665" s="24">
        <v>255181</v>
      </c>
      <c r="B1665" s="25" t="s">
        <v>144</v>
      </c>
      <c r="C1665" s="39" t="str">
        <f t="shared" si="50"/>
        <v>205</v>
      </c>
      <c r="D1665" s="39" t="str">
        <f t="shared" si="51"/>
        <v>20509</v>
      </c>
      <c r="E1665" s="39">
        <f>IF(ISNA(VLOOKUP(F1665,'2020功能科目'!A:B,2,FALSE)),"",VLOOKUP(F1665,'2020功能科目'!A:B,2,FALSE))</f>
        <v>2050903</v>
      </c>
      <c r="F1665" s="25" t="s">
        <v>379</v>
      </c>
      <c r="G1665" s="26">
        <v>4287576</v>
      </c>
      <c r="H1665" s="26">
        <v>10330810</v>
      </c>
    </row>
    <row r="1666" spans="1:8">
      <c r="A1666" s="24">
        <v>255181</v>
      </c>
      <c r="B1666" s="25" t="s">
        <v>144</v>
      </c>
      <c r="C1666" s="39" t="str">
        <f t="shared" si="50"/>
        <v>205</v>
      </c>
      <c r="D1666" s="39" t="str">
        <f t="shared" si="51"/>
        <v>20509</v>
      </c>
      <c r="E1666" s="39">
        <f>IF(ISNA(VLOOKUP(F1666,'2020功能科目'!A:B,2,FALSE)),"",VLOOKUP(F1666,'2020功能科目'!A:B,2,FALSE))</f>
        <v>2050999</v>
      </c>
      <c r="F1666" s="25" t="s">
        <v>394</v>
      </c>
      <c r="G1666" s="26">
        <v>98830011.719999999</v>
      </c>
      <c r="H1666" s="26">
        <v>183122086</v>
      </c>
    </row>
    <row r="1667" spans="1:8">
      <c r="A1667" s="24">
        <v>255181</v>
      </c>
      <c r="B1667" s="25" t="s">
        <v>144</v>
      </c>
      <c r="C1667" s="39" t="str">
        <f t="shared" ref="C1667:C1730" si="52">LEFT(D1667,3)</f>
        <v>208</v>
      </c>
      <c r="D1667" s="39" t="str">
        <f t="shared" ref="D1667:D1730" si="53">LEFT(E1667,5)</f>
        <v>20805</v>
      </c>
      <c r="E1667" s="39">
        <f>IF(ISNA(VLOOKUP(F1667,'2020功能科目'!A:B,2,FALSE)),"",VLOOKUP(F1667,'2020功能科目'!A:B,2,FALSE))</f>
        <v>2080502</v>
      </c>
      <c r="F1667" s="25" t="s">
        <v>381</v>
      </c>
      <c r="G1667" s="26">
        <v>2673731.5</v>
      </c>
      <c r="H1667" s="26">
        <v>2063337</v>
      </c>
    </row>
    <row r="1668" spans="1:8">
      <c r="A1668" s="24">
        <v>255181</v>
      </c>
      <c r="B1668" s="25" t="s">
        <v>144</v>
      </c>
      <c r="C1668" s="39" t="str">
        <f t="shared" si="52"/>
        <v>208</v>
      </c>
      <c r="D1668" s="39" t="str">
        <f t="shared" si="53"/>
        <v>20805</v>
      </c>
      <c r="E1668" s="39">
        <f>IF(ISNA(VLOOKUP(F1668,'2020功能科目'!A:B,2,FALSE)),"",VLOOKUP(F1668,'2020功能科目'!A:B,2,FALSE))</f>
        <v>2080505</v>
      </c>
      <c r="F1668" s="25" t="s">
        <v>382</v>
      </c>
      <c r="G1668" s="26">
        <v>2086778.72</v>
      </c>
      <c r="H1668" s="26">
        <v>2229639.86</v>
      </c>
    </row>
    <row r="1669" spans="1:8">
      <c r="A1669" s="24">
        <v>255181</v>
      </c>
      <c r="B1669" s="25" t="s">
        <v>144</v>
      </c>
      <c r="C1669" s="39" t="str">
        <f t="shared" si="52"/>
        <v>208</v>
      </c>
      <c r="D1669" s="39" t="str">
        <f t="shared" si="53"/>
        <v>20805</v>
      </c>
      <c r="E1669" s="39">
        <f>IF(ISNA(VLOOKUP(F1669,'2020功能科目'!A:B,2,FALSE)),"",VLOOKUP(F1669,'2020功能科目'!A:B,2,FALSE))</f>
        <v>2080506</v>
      </c>
      <c r="F1669" s="25" t="s">
        <v>383</v>
      </c>
      <c r="G1669" s="26">
        <v>1043389.36</v>
      </c>
      <c r="H1669" s="26">
        <v>1114819.93</v>
      </c>
    </row>
    <row r="1670" spans="1:8">
      <c r="A1670" s="24">
        <v>255181</v>
      </c>
      <c r="B1670" s="25" t="s">
        <v>144</v>
      </c>
      <c r="C1670" s="39" t="str">
        <f t="shared" si="52"/>
        <v>208</v>
      </c>
      <c r="D1670" s="39" t="str">
        <f t="shared" si="53"/>
        <v>20808</v>
      </c>
      <c r="E1670" s="39">
        <f>IF(ISNA(VLOOKUP(F1670,'2020功能科目'!A:B,2,FALSE)),"",VLOOKUP(F1670,'2020功能科目'!A:B,2,FALSE))</f>
        <v>2080801</v>
      </c>
      <c r="F1670" s="25" t="s">
        <v>384</v>
      </c>
      <c r="G1670" s="26">
        <v>240278</v>
      </c>
      <c r="H1670" s="26">
        <v>0</v>
      </c>
    </row>
    <row r="1671" spans="1:8">
      <c r="A1671" s="24">
        <v>255181</v>
      </c>
      <c r="B1671" s="25" t="s">
        <v>144</v>
      </c>
      <c r="C1671" s="39" t="str">
        <f t="shared" si="52"/>
        <v>210</v>
      </c>
      <c r="D1671" s="39" t="str">
        <f t="shared" si="53"/>
        <v>21011</v>
      </c>
      <c r="E1671" s="39">
        <f>IF(ISNA(VLOOKUP(F1671,'2020功能科目'!A:B,2,FALSE)),"",VLOOKUP(F1671,'2020功能科目'!A:B,2,FALSE))</f>
        <v>2101102</v>
      </c>
      <c r="F1671" s="25" t="s">
        <v>385</v>
      </c>
      <c r="G1671" s="26">
        <v>1971182.43</v>
      </c>
      <c r="H1671" s="26">
        <v>1811582.39</v>
      </c>
    </row>
    <row r="1672" spans="1:8">
      <c r="A1672" s="24">
        <v>255181</v>
      </c>
      <c r="B1672" s="25" t="s">
        <v>144</v>
      </c>
      <c r="C1672" s="39" t="str">
        <f t="shared" si="52"/>
        <v>210</v>
      </c>
      <c r="D1672" s="39" t="str">
        <f t="shared" si="53"/>
        <v>21011</v>
      </c>
      <c r="E1672" s="39">
        <f>IF(ISNA(VLOOKUP(F1672,'2020功能科目'!A:B,2,FALSE)),"",VLOOKUP(F1672,'2020功能科目'!A:B,2,FALSE))</f>
        <v>2101199</v>
      </c>
      <c r="F1672" s="25" t="s">
        <v>386</v>
      </c>
      <c r="G1672" s="26">
        <v>90000</v>
      </c>
      <c r="H1672" s="26">
        <v>90000</v>
      </c>
    </row>
    <row r="1673" spans="1:8">
      <c r="A1673" s="24">
        <v>255181</v>
      </c>
      <c r="B1673" s="25" t="s">
        <v>144</v>
      </c>
      <c r="C1673" s="39" t="str">
        <f t="shared" si="52"/>
        <v>212</v>
      </c>
      <c r="D1673" s="39" t="str">
        <f t="shared" si="53"/>
        <v>21203</v>
      </c>
      <c r="E1673" s="39">
        <f>IF(ISNA(VLOOKUP(F1673,'2020功能科目'!A:B,2,FALSE)),"",VLOOKUP(F1673,'2020功能科目'!A:B,2,FALSE))</f>
        <v>2120399</v>
      </c>
      <c r="F1673" s="25" t="s">
        <v>403</v>
      </c>
      <c r="G1673" s="26">
        <v>18777526.809999999</v>
      </c>
      <c r="H1673" s="26">
        <v>0</v>
      </c>
    </row>
    <row r="1674" spans="1:8">
      <c r="A1674" s="24">
        <v>255181</v>
      </c>
      <c r="B1674" s="25" t="s">
        <v>144</v>
      </c>
      <c r="C1674" s="39" t="str">
        <f t="shared" si="52"/>
        <v>221</v>
      </c>
      <c r="D1674" s="39" t="str">
        <f t="shared" si="53"/>
        <v>22102</v>
      </c>
      <c r="E1674" s="39">
        <f>IF(ISNA(VLOOKUP(F1674,'2020功能科目'!A:B,2,FALSE)),"",VLOOKUP(F1674,'2020功能科目'!A:B,2,FALSE))</f>
        <v>2210201</v>
      </c>
      <c r="F1674" s="25" t="s">
        <v>387</v>
      </c>
      <c r="G1674" s="26">
        <v>2233599</v>
      </c>
      <c r="H1674" s="26">
        <v>2230229.89</v>
      </c>
    </row>
    <row r="1675" spans="1:8">
      <c r="A1675" s="24">
        <v>255181</v>
      </c>
      <c r="B1675" s="25" t="s">
        <v>144</v>
      </c>
      <c r="C1675" s="39" t="str">
        <f t="shared" si="52"/>
        <v>221</v>
      </c>
      <c r="D1675" s="39" t="str">
        <f t="shared" si="53"/>
        <v>22102</v>
      </c>
      <c r="E1675" s="39">
        <f>IF(ISNA(VLOOKUP(F1675,'2020功能科目'!A:B,2,FALSE)),"",VLOOKUP(F1675,'2020功能科目'!A:B,2,FALSE))</f>
        <v>2210202</v>
      </c>
      <c r="F1675" s="25" t="s">
        <v>388</v>
      </c>
      <c r="G1675" s="26">
        <v>222470</v>
      </c>
      <c r="H1675" s="26">
        <v>223200</v>
      </c>
    </row>
    <row r="1676" spans="1:8">
      <c r="A1676" s="24">
        <v>255181</v>
      </c>
      <c r="B1676" s="25" t="s">
        <v>144</v>
      </c>
      <c r="C1676" s="39" t="str">
        <f t="shared" si="52"/>
        <v>221</v>
      </c>
      <c r="D1676" s="39" t="str">
        <f t="shared" si="53"/>
        <v>22102</v>
      </c>
      <c r="E1676" s="39">
        <f>IF(ISNA(VLOOKUP(F1676,'2020功能科目'!A:B,2,FALSE)),"",VLOOKUP(F1676,'2020功能科目'!A:B,2,FALSE))</f>
        <v>2210203</v>
      </c>
      <c r="F1676" s="25" t="s">
        <v>389</v>
      </c>
      <c r="G1676" s="26">
        <v>1488842</v>
      </c>
      <c r="H1676" s="26">
        <v>1434852</v>
      </c>
    </row>
    <row r="1677" spans="1:8">
      <c r="A1677" s="24">
        <v>255184</v>
      </c>
      <c r="B1677" s="25" t="s">
        <v>145</v>
      </c>
      <c r="C1677" s="39" t="str">
        <f t="shared" si="52"/>
        <v>205</v>
      </c>
      <c r="D1677" s="39" t="str">
        <f t="shared" si="53"/>
        <v>20502</v>
      </c>
      <c r="E1677" s="39">
        <f>IF(ISNA(VLOOKUP(F1677,'2020功能科目'!A:B,2,FALSE)),"",VLOOKUP(F1677,'2020功能科目'!A:B,2,FALSE))</f>
        <v>2050299</v>
      </c>
      <c r="F1677" s="25" t="s">
        <v>377</v>
      </c>
      <c r="G1677" s="26">
        <v>57939</v>
      </c>
      <c r="H1677" s="26">
        <v>0</v>
      </c>
    </row>
    <row r="1678" spans="1:8">
      <c r="A1678" s="24">
        <v>255184</v>
      </c>
      <c r="B1678" s="25" t="s">
        <v>145</v>
      </c>
      <c r="C1678" s="39" t="str">
        <f t="shared" si="52"/>
        <v>205</v>
      </c>
      <c r="D1678" s="39" t="str">
        <f t="shared" si="53"/>
        <v>20503</v>
      </c>
      <c r="E1678" s="39">
        <f>IF(ISNA(VLOOKUP(F1678,'2020功能科目'!A:B,2,FALSE)),"",VLOOKUP(F1678,'2020功能科目'!A:B,2,FALSE))</f>
        <v>2050302</v>
      </c>
      <c r="F1678" s="25" t="s">
        <v>391</v>
      </c>
      <c r="G1678" s="26">
        <v>39656648.950000003</v>
      </c>
      <c r="H1678" s="26">
        <v>36284919.670000002</v>
      </c>
    </row>
    <row r="1679" spans="1:8">
      <c r="A1679" s="24">
        <v>255184</v>
      </c>
      <c r="B1679" s="25" t="s">
        <v>145</v>
      </c>
      <c r="C1679" s="39" t="str">
        <f t="shared" si="52"/>
        <v>205</v>
      </c>
      <c r="D1679" s="39" t="str">
        <f t="shared" si="53"/>
        <v>20503</v>
      </c>
      <c r="E1679" s="39">
        <f>IF(ISNA(VLOOKUP(F1679,'2020功能科目'!A:B,2,FALSE)),"",VLOOKUP(F1679,'2020功能科目'!A:B,2,FALSE))</f>
        <v>2050399</v>
      </c>
      <c r="F1679" s="25" t="s">
        <v>392</v>
      </c>
      <c r="G1679" s="26">
        <v>0</v>
      </c>
      <c r="H1679" s="26">
        <v>96009.66</v>
      </c>
    </row>
    <row r="1680" spans="1:8">
      <c r="A1680" s="24">
        <v>255184</v>
      </c>
      <c r="B1680" s="25" t="s">
        <v>145</v>
      </c>
      <c r="C1680" s="39" t="str">
        <f t="shared" si="52"/>
        <v>205</v>
      </c>
      <c r="D1680" s="39" t="str">
        <f t="shared" si="53"/>
        <v>20508</v>
      </c>
      <c r="E1680" s="39">
        <f>IF(ISNA(VLOOKUP(F1680,'2020功能科目'!A:B,2,FALSE)),"",VLOOKUP(F1680,'2020功能科目'!A:B,2,FALSE))</f>
        <v>2050803</v>
      </c>
      <c r="F1680" s="25" t="s">
        <v>378</v>
      </c>
      <c r="G1680" s="26">
        <v>52390</v>
      </c>
      <c r="H1680" s="26">
        <v>122400</v>
      </c>
    </row>
    <row r="1681" spans="1:8">
      <c r="A1681" s="24">
        <v>255184</v>
      </c>
      <c r="B1681" s="25" t="s">
        <v>145</v>
      </c>
      <c r="C1681" s="39" t="str">
        <f t="shared" si="52"/>
        <v>205</v>
      </c>
      <c r="D1681" s="39" t="str">
        <f t="shared" si="53"/>
        <v>20509</v>
      </c>
      <c r="E1681" s="39">
        <f>IF(ISNA(VLOOKUP(F1681,'2020功能科目'!A:B,2,FALSE)),"",VLOOKUP(F1681,'2020功能科目'!A:B,2,FALSE))</f>
        <v>2050905</v>
      </c>
      <c r="F1681" s="25" t="s">
        <v>393</v>
      </c>
      <c r="G1681" s="26">
        <v>922210</v>
      </c>
      <c r="H1681" s="26">
        <v>924210</v>
      </c>
    </row>
    <row r="1682" spans="1:8">
      <c r="A1682" s="24">
        <v>255184</v>
      </c>
      <c r="B1682" s="25" t="s">
        <v>145</v>
      </c>
      <c r="C1682" s="39" t="str">
        <f t="shared" si="52"/>
        <v>208</v>
      </c>
      <c r="D1682" s="39" t="str">
        <f t="shared" si="53"/>
        <v>20805</v>
      </c>
      <c r="E1682" s="39">
        <f>IF(ISNA(VLOOKUP(F1682,'2020功能科目'!A:B,2,FALSE)),"",VLOOKUP(F1682,'2020功能科目'!A:B,2,FALSE))</f>
        <v>2080502</v>
      </c>
      <c r="F1682" s="25" t="s">
        <v>381</v>
      </c>
      <c r="G1682" s="26">
        <v>10505767.57</v>
      </c>
      <c r="H1682" s="26">
        <v>8015723</v>
      </c>
    </row>
    <row r="1683" spans="1:8">
      <c r="A1683" s="24">
        <v>255184</v>
      </c>
      <c r="B1683" s="25" t="s">
        <v>145</v>
      </c>
      <c r="C1683" s="39" t="str">
        <f t="shared" si="52"/>
        <v>208</v>
      </c>
      <c r="D1683" s="39" t="str">
        <f t="shared" si="53"/>
        <v>20805</v>
      </c>
      <c r="E1683" s="39">
        <f>IF(ISNA(VLOOKUP(F1683,'2020功能科目'!A:B,2,FALSE)),"",VLOOKUP(F1683,'2020功能科目'!A:B,2,FALSE))</f>
        <v>2080505</v>
      </c>
      <c r="F1683" s="25" t="s">
        <v>382</v>
      </c>
      <c r="G1683" s="26">
        <v>3417096</v>
      </c>
      <c r="H1683" s="26">
        <v>3881629.44</v>
      </c>
    </row>
    <row r="1684" spans="1:8">
      <c r="A1684" s="24">
        <v>255184</v>
      </c>
      <c r="B1684" s="25" t="s">
        <v>145</v>
      </c>
      <c r="C1684" s="39" t="str">
        <f t="shared" si="52"/>
        <v>208</v>
      </c>
      <c r="D1684" s="39" t="str">
        <f t="shared" si="53"/>
        <v>20805</v>
      </c>
      <c r="E1684" s="39">
        <f>IF(ISNA(VLOOKUP(F1684,'2020功能科目'!A:B,2,FALSE)),"",VLOOKUP(F1684,'2020功能科目'!A:B,2,FALSE))</f>
        <v>2080506</v>
      </c>
      <c r="F1684" s="25" t="s">
        <v>383</v>
      </c>
      <c r="G1684" s="26">
        <v>1708548</v>
      </c>
      <c r="H1684" s="26">
        <v>1940814.72</v>
      </c>
    </row>
    <row r="1685" spans="1:8">
      <c r="A1685" s="24">
        <v>255184</v>
      </c>
      <c r="B1685" s="25" t="s">
        <v>145</v>
      </c>
      <c r="C1685" s="39" t="str">
        <f t="shared" si="52"/>
        <v>210</v>
      </c>
      <c r="D1685" s="39" t="str">
        <f t="shared" si="53"/>
        <v>21011</v>
      </c>
      <c r="E1685" s="39">
        <f>IF(ISNA(VLOOKUP(F1685,'2020功能科目'!A:B,2,FALSE)),"",VLOOKUP(F1685,'2020功能科目'!A:B,2,FALSE))</f>
        <v>2101102</v>
      </c>
      <c r="F1685" s="25" t="s">
        <v>385</v>
      </c>
      <c r="G1685" s="26">
        <v>2870701.7</v>
      </c>
      <c r="H1685" s="26">
        <v>3153823.92</v>
      </c>
    </row>
    <row r="1686" spans="1:8">
      <c r="A1686" s="24">
        <v>255184</v>
      </c>
      <c r="B1686" s="25" t="s">
        <v>145</v>
      </c>
      <c r="C1686" s="39" t="str">
        <f t="shared" si="52"/>
        <v>210</v>
      </c>
      <c r="D1686" s="39" t="str">
        <f t="shared" si="53"/>
        <v>21011</v>
      </c>
      <c r="E1686" s="39">
        <f>IF(ISNA(VLOOKUP(F1686,'2020功能科目'!A:B,2,FALSE)),"",VLOOKUP(F1686,'2020功能科目'!A:B,2,FALSE))</f>
        <v>2101199</v>
      </c>
      <c r="F1686" s="25" t="s">
        <v>386</v>
      </c>
      <c r="G1686" s="26">
        <v>892500</v>
      </c>
      <c r="H1686" s="26">
        <v>990000</v>
      </c>
    </row>
    <row r="1687" spans="1:8">
      <c r="A1687" s="24">
        <v>255184</v>
      </c>
      <c r="B1687" s="25" t="s">
        <v>145</v>
      </c>
      <c r="C1687" s="39" t="str">
        <f t="shared" si="52"/>
        <v>221</v>
      </c>
      <c r="D1687" s="39" t="str">
        <f t="shared" si="53"/>
        <v>22102</v>
      </c>
      <c r="E1687" s="39">
        <f>IF(ISNA(VLOOKUP(F1687,'2020功能科目'!A:B,2,FALSE)),"",VLOOKUP(F1687,'2020功能科目'!A:B,2,FALSE))</f>
        <v>2210201</v>
      </c>
      <c r="F1687" s="25" t="s">
        <v>387</v>
      </c>
      <c r="G1687" s="26">
        <v>3734346</v>
      </c>
      <c r="H1687" s="26">
        <v>3829222.08</v>
      </c>
    </row>
    <row r="1688" spans="1:8">
      <c r="A1688" s="24">
        <v>255184</v>
      </c>
      <c r="B1688" s="25" t="s">
        <v>145</v>
      </c>
      <c r="C1688" s="39" t="str">
        <f t="shared" si="52"/>
        <v>221</v>
      </c>
      <c r="D1688" s="39" t="str">
        <f t="shared" si="53"/>
        <v>22102</v>
      </c>
      <c r="E1688" s="39">
        <f>IF(ISNA(VLOOKUP(F1688,'2020功能科目'!A:B,2,FALSE)),"",VLOOKUP(F1688,'2020功能科目'!A:B,2,FALSE))</f>
        <v>2210202</v>
      </c>
      <c r="F1688" s="25" t="s">
        <v>388</v>
      </c>
      <c r="G1688" s="26">
        <v>642870</v>
      </c>
      <c r="H1688" s="26">
        <v>681840</v>
      </c>
    </row>
    <row r="1689" spans="1:8">
      <c r="A1689" s="24">
        <v>255184</v>
      </c>
      <c r="B1689" s="25" t="s">
        <v>145</v>
      </c>
      <c r="C1689" s="39" t="str">
        <f t="shared" si="52"/>
        <v>221</v>
      </c>
      <c r="D1689" s="39" t="str">
        <f t="shared" si="53"/>
        <v>22102</v>
      </c>
      <c r="E1689" s="39">
        <f>IF(ISNA(VLOOKUP(F1689,'2020功能科目'!A:B,2,FALSE)),"",VLOOKUP(F1689,'2020功能科目'!A:B,2,FALSE))</f>
        <v>2210203</v>
      </c>
      <c r="F1689" s="25" t="s">
        <v>389</v>
      </c>
      <c r="G1689" s="26">
        <v>3480283</v>
      </c>
      <c r="H1689" s="26">
        <v>3853188</v>
      </c>
    </row>
    <row r="1690" spans="1:8">
      <c r="A1690" s="24">
        <v>255185</v>
      </c>
      <c r="B1690" s="25" t="s">
        <v>146</v>
      </c>
      <c r="C1690" s="39" t="str">
        <f t="shared" si="52"/>
        <v>205</v>
      </c>
      <c r="D1690" s="39" t="str">
        <f t="shared" si="53"/>
        <v>20502</v>
      </c>
      <c r="E1690" s="39">
        <f>IF(ISNA(VLOOKUP(F1690,'2020功能科目'!A:B,2,FALSE)),"",VLOOKUP(F1690,'2020功能科目'!A:B,2,FALSE))</f>
        <v>2050204</v>
      </c>
      <c r="F1690" s="25" t="s">
        <v>376</v>
      </c>
      <c r="G1690" s="26">
        <v>31768842.48</v>
      </c>
      <c r="H1690" s="26">
        <v>25790509.629999999</v>
      </c>
    </row>
    <row r="1691" spans="1:8">
      <c r="A1691" s="24">
        <v>255185</v>
      </c>
      <c r="B1691" s="25" t="s">
        <v>146</v>
      </c>
      <c r="C1691" s="39" t="str">
        <f t="shared" si="52"/>
        <v>205</v>
      </c>
      <c r="D1691" s="39" t="str">
        <f t="shared" si="53"/>
        <v>20502</v>
      </c>
      <c r="E1691" s="39">
        <f>IF(ISNA(VLOOKUP(F1691,'2020功能科目'!A:B,2,FALSE)),"",VLOOKUP(F1691,'2020功能科目'!A:B,2,FALSE))</f>
        <v>2050299</v>
      </c>
      <c r="F1691" s="25" t="s">
        <v>377</v>
      </c>
      <c r="G1691" s="26">
        <v>43070.83</v>
      </c>
      <c r="H1691" s="26">
        <v>0</v>
      </c>
    </row>
    <row r="1692" spans="1:8">
      <c r="A1692" s="24">
        <v>255185</v>
      </c>
      <c r="B1692" s="25" t="s">
        <v>146</v>
      </c>
      <c r="C1692" s="39" t="str">
        <f t="shared" si="52"/>
        <v>205</v>
      </c>
      <c r="D1692" s="39" t="str">
        <f t="shared" si="53"/>
        <v>20508</v>
      </c>
      <c r="E1692" s="39">
        <f>IF(ISNA(VLOOKUP(F1692,'2020功能科目'!A:B,2,FALSE)),"",VLOOKUP(F1692,'2020功能科目'!A:B,2,FALSE))</f>
        <v>2050803</v>
      </c>
      <c r="F1692" s="25" t="s">
        <v>378</v>
      </c>
      <c r="G1692" s="26">
        <v>38800</v>
      </c>
      <c r="H1692" s="26">
        <v>77600</v>
      </c>
    </row>
    <row r="1693" spans="1:8">
      <c r="A1693" s="24">
        <v>255185</v>
      </c>
      <c r="B1693" s="25" t="s">
        <v>146</v>
      </c>
      <c r="C1693" s="39" t="str">
        <f t="shared" si="52"/>
        <v>205</v>
      </c>
      <c r="D1693" s="39" t="str">
        <f t="shared" si="53"/>
        <v>20509</v>
      </c>
      <c r="E1693" s="39">
        <f>IF(ISNA(VLOOKUP(F1693,'2020功能科目'!A:B,2,FALSE)),"",VLOOKUP(F1693,'2020功能科目'!A:B,2,FALSE))</f>
        <v>2050903</v>
      </c>
      <c r="F1693" s="25" t="s">
        <v>379</v>
      </c>
      <c r="G1693" s="26">
        <v>607905.46</v>
      </c>
      <c r="H1693" s="26">
        <v>1519000</v>
      </c>
    </row>
    <row r="1694" spans="1:8">
      <c r="A1694" s="24">
        <v>255185</v>
      </c>
      <c r="B1694" s="25" t="s">
        <v>146</v>
      </c>
      <c r="C1694" s="39" t="str">
        <f t="shared" si="52"/>
        <v>205</v>
      </c>
      <c r="D1694" s="39" t="str">
        <f t="shared" si="53"/>
        <v>20509</v>
      </c>
      <c r="E1694" s="39">
        <f>IF(ISNA(VLOOKUP(F1694,'2020功能科目'!A:B,2,FALSE)),"",VLOOKUP(F1694,'2020功能科目'!A:B,2,FALSE))</f>
        <v>2050904</v>
      </c>
      <c r="F1694" s="25" t="s">
        <v>380</v>
      </c>
      <c r="G1694" s="26">
        <v>1302854.19</v>
      </c>
      <c r="H1694" s="26">
        <v>1306246</v>
      </c>
    </row>
    <row r="1695" spans="1:8">
      <c r="A1695" s="24">
        <v>255185</v>
      </c>
      <c r="B1695" s="25" t="s">
        <v>146</v>
      </c>
      <c r="C1695" s="39" t="str">
        <f t="shared" si="52"/>
        <v>208</v>
      </c>
      <c r="D1695" s="39" t="str">
        <f t="shared" si="53"/>
        <v>20805</v>
      </c>
      <c r="E1695" s="39">
        <f>IF(ISNA(VLOOKUP(F1695,'2020功能科目'!A:B,2,FALSE)),"",VLOOKUP(F1695,'2020功能科目'!A:B,2,FALSE))</f>
        <v>2080502</v>
      </c>
      <c r="F1695" s="25" t="s">
        <v>381</v>
      </c>
      <c r="G1695" s="26">
        <v>1564174</v>
      </c>
      <c r="H1695" s="26">
        <v>1292170</v>
      </c>
    </row>
    <row r="1696" spans="1:8">
      <c r="A1696" s="24">
        <v>255185</v>
      </c>
      <c r="B1696" s="25" t="s">
        <v>146</v>
      </c>
      <c r="C1696" s="39" t="str">
        <f t="shared" si="52"/>
        <v>208</v>
      </c>
      <c r="D1696" s="39" t="str">
        <f t="shared" si="53"/>
        <v>20805</v>
      </c>
      <c r="E1696" s="39">
        <f>IF(ISNA(VLOOKUP(F1696,'2020功能科目'!A:B,2,FALSE)),"",VLOOKUP(F1696,'2020功能科目'!A:B,2,FALSE))</f>
        <v>2080505</v>
      </c>
      <c r="F1696" s="25" t="s">
        <v>382</v>
      </c>
      <c r="G1696" s="26">
        <v>2548112.16</v>
      </c>
      <c r="H1696" s="26">
        <v>2264802.88</v>
      </c>
    </row>
    <row r="1697" spans="1:8">
      <c r="A1697" s="24">
        <v>255185</v>
      </c>
      <c r="B1697" s="25" t="s">
        <v>146</v>
      </c>
      <c r="C1697" s="39" t="str">
        <f t="shared" si="52"/>
        <v>208</v>
      </c>
      <c r="D1697" s="39" t="str">
        <f t="shared" si="53"/>
        <v>20805</v>
      </c>
      <c r="E1697" s="39">
        <f>IF(ISNA(VLOOKUP(F1697,'2020功能科目'!A:B,2,FALSE)),"",VLOOKUP(F1697,'2020功能科目'!A:B,2,FALSE))</f>
        <v>2080506</v>
      </c>
      <c r="F1697" s="25" t="s">
        <v>383</v>
      </c>
      <c r="G1697" s="26">
        <v>1274056.08</v>
      </c>
      <c r="H1697" s="26">
        <v>1132401.44</v>
      </c>
    </row>
    <row r="1698" spans="1:8">
      <c r="A1698" s="24">
        <v>255185</v>
      </c>
      <c r="B1698" s="25" t="s">
        <v>146</v>
      </c>
      <c r="C1698" s="39" t="str">
        <f t="shared" si="52"/>
        <v>210</v>
      </c>
      <c r="D1698" s="39" t="str">
        <f t="shared" si="53"/>
        <v>21011</v>
      </c>
      <c r="E1698" s="39">
        <f>IF(ISNA(VLOOKUP(F1698,'2020功能科目'!A:B,2,FALSE)),"",VLOOKUP(F1698,'2020功能科目'!A:B,2,FALSE))</f>
        <v>2101102</v>
      </c>
      <c r="F1698" s="25" t="s">
        <v>385</v>
      </c>
      <c r="G1698" s="26">
        <v>2336310.64</v>
      </c>
      <c r="H1698" s="26">
        <v>1840152.34</v>
      </c>
    </row>
    <row r="1699" spans="1:8">
      <c r="A1699" s="24">
        <v>255185</v>
      </c>
      <c r="B1699" s="25" t="s">
        <v>146</v>
      </c>
      <c r="C1699" s="39" t="str">
        <f t="shared" si="52"/>
        <v>210</v>
      </c>
      <c r="D1699" s="39" t="str">
        <f t="shared" si="53"/>
        <v>21011</v>
      </c>
      <c r="E1699" s="39">
        <f>IF(ISNA(VLOOKUP(F1699,'2020功能科目'!A:B,2,FALSE)),"",VLOOKUP(F1699,'2020功能科目'!A:B,2,FALSE))</f>
        <v>2101199</v>
      </c>
      <c r="F1699" s="25" t="s">
        <v>386</v>
      </c>
      <c r="G1699" s="26">
        <v>90000</v>
      </c>
      <c r="H1699" s="26">
        <v>90000</v>
      </c>
    </row>
    <row r="1700" spans="1:8">
      <c r="A1700" s="24">
        <v>255185</v>
      </c>
      <c r="B1700" s="25" t="s">
        <v>146</v>
      </c>
      <c r="C1700" s="39" t="str">
        <f t="shared" si="52"/>
        <v>221</v>
      </c>
      <c r="D1700" s="39" t="str">
        <f t="shared" si="53"/>
        <v>22102</v>
      </c>
      <c r="E1700" s="39">
        <f>IF(ISNA(VLOOKUP(F1700,'2020功能科目'!A:B,2,FALSE)),"",VLOOKUP(F1700,'2020功能科目'!A:B,2,FALSE))</f>
        <v>2210201</v>
      </c>
      <c r="F1700" s="25" t="s">
        <v>387</v>
      </c>
      <c r="G1700" s="26">
        <v>2280602.16</v>
      </c>
      <c r="H1700" s="26">
        <v>2280602.16</v>
      </c>
    </row>
    <row r="1701" spans="1:8">
      <c r="A1701" s="24">
        <v>255185</v>
      </c>
      <c r="B1701" s="25" t="s">
        <v>146</v>
      </c>
      <c r="C1701" s="39" t="str">
        <f t="shared" si="52"/>
        <v>221</v>
      </c>
      <c r="D1701" s="39" t="str">
        <f t="shared" si="53"/>
        <v>22102</v>
      </c>
      <c r="E1701" s="39">
        <f>IF(ISNA(VLOOKUP(F1701,'2020功能科目'!A:B,2,FALSE)),"",VLOOKUP(F1701,'2020功能科目'!A:B,2,FALSE))</f>
        <v>2210202</v>
      </c>
      <c r="F1701" s="25" t="s">
        <v>388</v>
      </c>
      <c r="G1701" s="26">
        <v>103440</v>
      </c>
      <c r="H1701" s="26">
        <v>105360</v>
      </c>
    </row>
    <row r="1702" spans="1:8">
      <c r="A1702" s="24">
        <v>255185</v>
      </c>
      <c r="B1702" s="25" t="s">
        <v>146</v>
      </c>
      <c r="C1702" s="39" t="str">
        <f t="shared" si="52"/>
        <v>221</v>
      </c>
      <c r="D1702" s="39" t="str">
        <f t="shared" si="53"/>
        <v>22102</v>
      </c>
      <c r="E1702" s="39">
        <f>IF(ISNA(VLOOKUP(F1702,'2020功能科目'!A:B,2,FALSE)),"",VLOOKUP(F1702,'2020功能科目'!A:B,2,FALSE))</f>
        <v>2210203</v>
      </c>
      <c r="F1702" s="25" t="s">
        <v>389</v>
      </c>
      <c r="G1702" s="26">
        <v>2398468</v>
      </c>
      <c r="H1702" s="26">
        <v>2396532</v>
      </c>
    </row>
    <row r="1703" spans="1:8">
      <c r="A1703" s="24">
        <v>255186</v>
      </c>
      <c r="B1703" s="25" t="s">
        <v>147</v>
      </c>
      <c r="C1703" s="39" t="str">
        <f t="shared" si="52"/>
        <v>205</v>
      </c>
      <c r="D1703" s="39" t="str">
        <f t="shared" si="53"/>
        <v>20502</v>
      </c>
      <c r="E1703" s="39">
        <f>IF(ISNA(VLOOKUP(F1703,'2020功能科目'!A:B,2,FALSE)),"",VLOOKUP(F1703,'2020功能科目'!A:B,2,FALSE))</f>
        <v>2050204</v>
      </c>
      <c r="F1703" s="25" t="s">
        <v>376</v>
      </c>
      <c r="G1703" s="26">
        <v>31113256.16</v>
      </c>
      <c r="H1703" s="26">
        <v>25857743.530000001</v>
      </c>
    </row>
    <row r="1704" spans="1:8">
      <c r="A1704" s="24">
        <v>255186</v>
      </c>
      <c r="B1704" s="25" t="s">
        <v>147</v>
      </c>
      <c r="C1704" s="39" t="str">
        <f t="shared" si="52"/>
        <v>205</v>
      </c>
      <c r="D1704" s="39" t="str">
        <f t="shared" si="53"/>
        <v>20502</v>
      </c>
      <c r="E1704" s="39">
        <f>IF(ISNA(VLOOKUP(F1704,'2020功能科目'!A:B,2,FALSE)),"",VLOOKUP(F1704,'2020功能科目'!A:B,2,FALSE))</f>
        <v>2050299</v>
      </c>
      <c r="F1704" s="25" t="s">
        <v>377</v>
      </c>
      <c r="G1704" s="26">
        <v>37809.42</v>
      </c>
      <c r="H1704" s="26">
        <v>0</v>
      </c>
    </row>
    <row r="1705" spans="1:8">
      <c r="A1705" s="24">
        <v>255186</v>
      </c>
      <c r="B1705" s="25" t="s">
        <v>147</v>
      </c>
      <c r="C1705" s="39" t="str">
        <f t="shared" si="52"/>
        <v>205</v>
      </c>
      <c r="D1705" s="39" t="str">
        <f t="shared" si="53"/>
        <v>20508</v>
      </c>
      <c r="E1705" s="39">
        <f>IF(ISNA(VLOOKUP(F1705,'2020功能科目'!A:B,2,FALSE)),"",VLOOKUP(F1705,'2020功能科目'!A:B,2,FALSE))</f>
        <v>2050803</v>
      </c>
      <c r="F1705" s="25" t="s">
        <v>378</v>
      </c>
      <c r="G1705" s="26">
        <v>0</v>
      </c>
      <c r="H1705" s="26">
        <v>84800</v>
      </c>
    </row>
    <row r="1706" spans="1:8">
      <c r="A1706" s="24">
        <v>255186</v>
      </c>
      <c r="B1706" s="25" t="s">
        <v>147</v>
      </c>
      <c r="C1706" s="39" t="str">
        <f t="shared" si="52"/>
        <v>205</v>
      </c>
      <c r="D1706" s="39" t="str">
        <f t="shared" si="53"/>
        <v>20509</v>
      </c>
      <c r="E1706" s="39">
        <f>IF(ISNA(VLOOKUP(F1706,'2020功能科目'!A:B,2,FALSE)),"",VLOOKUP(F1706,'2020功能科目'!A:B,2,FALSE))</f>
        <v>2050903</v>
      </c>
      <c r="F1706" s="25" t="s">
        <v>379</v>
      </c>
      <c r="G1706" s="26">
        <v>291395.65000000002</v>
      </c>
      <c r="H1706" s="26">
        <v>294000</v>
      </c>
    </row>
    <row r="1707" spans="1:8">
      <c r="A1707" s="24">
        <v>255186</v>
      </c>
      <c r="B1707" s="25" t="s">
        <v>147</v>
      </c>
      <c r="C1707" s="39" t="str">
        <f t="shared" si="52"/>
        <v>205</v>
      </c>
      <c r="D1707" s="39" t="str">
        <f t="shared" si="53"/>
        <v>20509</v>
      </c>
      <c r="E1707" s="39">
        <f>IF(ISNA(VLOOKUP(F1707,'2020功能科目'!A:B,2,FALSE)),"",VLOOKUP(F1707,'2020功能科目'!A:B,2,FALSE))</f>
        <v>2050904</v>
      </c>
      <c r="F1707" s="25" t="s">
        <v>380</v>
      </c>
      <c r="G1707" s="26">
        <v>592800</v>
      </c>
      <c r="H1707" s="26">
        <v>592800</v>
      </c>
    </row>
    <row r="1708" spans="1:8">
      <c r="A1708" s="24">
        <v>255186</v>
      </c>
      <c r="B1708" s="25" t="s">
        <v>147</v>
      </c>
      <c r="C1708" s="39" t="str">
        <f t="shared" si="52"/>
        <v>208</v>
      </c>
      <c r="D1708" s="39" t="str">
        <f t="shared" si="53"/>
        <v>20805</v>
      </c>
      <c r="E1708" s="39">
        <f>IF(ISNA(VLOOKUP(F1708,'2020功能科目'!A:B,2,FALSE)),"",VLOOKUP(F1708,'2020功能科目'!A:B,2,FALSE))</f>
        <v>2080502</v>
      </c>
      <c r="F1708" s="25" t="s">
        <v>381</v>
      </c>
      <c r="G1708" s="26">
        <v>1465692</v>
      </c>
      <c r="H1708" s="26">
        <v>1002436</v>
      </c>
    </row>
    <row r="1709" spans="1:8">
      <c r="A1709" s="24">
        <v>255186</v>
      </c>
      <c r="B1709" s="25" t="s">
        <v>147</v>
      </c>
      <c r="C1709" s="39" t="str">
        <f t="shared" si="52"/>
        <v>208</v>
      </c>
      <c r="D1709" s="39" t="str">
        <f t="shared" si="53"/>
        <v>20805</v>
      </c>
      <c r="E1709" s="39">
        <f>IF(ISNA(VLOOKUP(F1709,'2020功能科目'!A:B,2,FALSE)),"",VLOOKUP(F1709,'2020功能科目'!A:B,2,FALSE))</f>
        <v>2080505</v>
      </c>
      <c r="F1709" s="25" t="s">
        <v>382</v>
      </c>
      <c r="G1709" s="26">
        <v>2198576.48</v>
      </c>
      <c r="H1709" s="26">
        <v>2518225.6</v>
      </c>
    </row>
    <row r="1710" spans="1:8">
      <c r="A1710" s="24">
        <v>255186</v>
      </c>
      <c r="B1710" s="25" t="s">
        <v>147</v>
      </c>
      <c r="C1710" s="39" t="str">
        <f t="shared" si="52"/>
        <v>208</v>
      </c>
      <c r="D1710" s="39" t="str">
        <f t="shared" si="53"/>
        <v>20805</v>
      </c>
      <c r="E1710" s="39">
        <f>IF(ISNA(VLOOKUP(F1710,'2020功能科目'!A:B,2,FALSE)),"",VLOOKUP(F1710,'2020功能科目'!A:B,2,FALSE))</f>
        <v>2080506</v>
      </c>
      <c r="F1710" s="25" t="s">
        <v>383</v>
      </c>
      <c r="G1710" s="26">
        <v>1099288.24</v>
      </c>
      <c r="H1710" s="26">
        <v>1259112.8</v>
      </c>
    </row>
    <row r="1711" spans="1:8">
      <c r="A1711" s="24">
        <v>255186</v>
      </c>
      <c r="B1711" s="25" t="s">
        <v>147</v>
      </c>
      <c r="C1711" s="39" t="str">
        <f t="shared" si="52"/>
        <v>210</v>
      </c>
      <c r="D1711" s="39" t="str">
        <f t="shared" si="53"/>
        <v>21011</v>
      </c>
      <c r="E1711" s="39">
        <f>IF(ISNA(VLOOKUP(F1711,'2020功能科目'!A:B,2,FALSE)),"",VLOOKUP(F1711,'2020功能科目'!A:B,2,FALSE))</f>
        <v>2101102</v>
      </c>
      <c r="F1711" s="25" t="s">
        <v>385</v>
      </c>
      <c r="G1711" s="26">
        <v>2076491.96</v>
      </c>
      <c r="H1711" s="26">
        <v>2046058.3</v>
      </c>
    </row>
    <row r="1712" spans="1:8">
      <c r="A1712" s="24">
        <v>255186</v>
      </c>
      <c r="B1712" s="25" t="s">
        <v>147</v>
      </c>
      <c r="C1712" s="39" t="str">
        <f t="shared" si="52"/>
        <v>221</v>
      </c>
      <c r="D1712" s="39" t="str">
        <f t="shared" si="53"/>
        <v>22102</v>
      </c>
      <c r="E1712" s="39">
        <f>IF(ISNA(VLOOKUP(F1712,'2020功能科目'!A:B,2,FALSE)),"",VLOOKUP(F1712,'2020功能科目'!A:B,2,FALSE))</f>
        <v>2210201</v>
      </c>
      <c r="F1712" s="25" t="s">
        <v>387</v>
      </c>
      <c r="G1712" s="26">
        <v>3000076</v>
      </c>
      <c r="H1712" s="26">
        <v>2524669.2000000002</v>
      </c>
    </row>
    <row r="1713" spans="1:8">
      <c r="A1713" s="24">
        <v>255186</v>
      </c>
      <c r="B1713" s="25" t="s">
        <v>147</v>
      </c>
      <c r="C1713" s="39" t="str">
        <f t="shared" si="52"/>
        <v>221</v>
      </c>
      <c r="D1713" s="39" t="str">
        <f t="shared" si="53"/>
        <v>22102</v>
      </c>
      <c r="E1713" s="39">
        <f>IF(ISNA(VLOOKUP(F1713,'2020功能科目'!A:B,2,FALSE)),"",VLOOKUP(F1713,'2020功能科目'!A:B,2,FALSE))</f>
        <v>2210202</v>
      </c>
      <c r="F1713" s="25" t="s">
        <v>388</v>
      </c>
      <c r="G1713" s="26">
        <v>192240</v>
      </c>
      <c r="H1713" s="26">
        <v>192240</v>
      </c>
    </row>
    <row r="1714" spans="1:8">
      <c r="A1714" s="24">
        <v>255186</v>
      </c>
      <c r="B1714" s="25" t="s">
        <v>147</v>
      </c>
      <c r="C1714" s="39" t="str">
        <f t="shared" si="52"/>
        <v>221</v>
      </c>
      <c r="D1714" s="39" t="str">
        <f t="shared" si="53"/>
        <v>22102</v>
      </c>
      <c r="E1714" s="39">
        <f>IF(ISNA(VLOOKUP(F1714,'2020功能科目'!A:B,2,FALSE)),"",VLOOKUP(F1714,'2020功能科目'!A:B,2,FALSE))</f>
        <v>2210203</v>
      </c>
      <c r="F1714" s="25" t="s">
        <v>389</v>
      </c>
      <c r="G1714" s="26">
        <v>3069764</v>
      </c>
      <c r="H1714" s="26">
        <v>3128580</v>
      </c>
    </row>
    <row r="1715" spans="1:8">
      <c r="A1715" s="24">
        <v>255188</v>
      </c>
      <c r="B1715" s="25" t="s">
        <v>148</v>
      </c>
      <c r="C1715" s="39" t="str">
        <f t="shared" si="52"/>
        <v>205</v>
      </c>
      <c r="D1715" s="39" t="str">
        <f t="shared" si="53"/>
        <v>20502</v>
      </c>
      <c r="E1715" s="39">
        <f>IF(ISNA(VLOOKUP(F1715,'2020功能科目'!A:B,2,FALSE)),"",VLOOKUP(F1715,'2020功能科目'!A:B,2,FALSE))</f>
        <v>2050299</v>
      </c>
      <c r="F1715" s="25" t="s">
        <v>377</v>
      </c>
      <c r="G1715" s="26">
        <v>45567926.539999999</v>
      </c>
      <c r="H1715" s="26">
        <v>33953584.229999997</v>
      </c>
    </row>
    <row r="1716" spans="1:8">
      <c r="A1716" s="24">
        <v>255188</v>
      </c>
      <c r="B1716" s="25" t="s">
        <v>148</v>
      </c>
      <c r="C1716" s="39" t="str">
        <f t="shared" si="52"/>
        <v>205</v>
      </c>
      <c r="D1716" s="39" t="str">
        <f t="shared" si="53"/>
        <v>20508</v>
      </c>
      <c r="E1716" s="39">
        <f>IF(ISNA(VLOOKUP(F1716,'2020功能科目'!A:B,2,FALSE)),"",VLOOKUP(F1716,'2020功能科目'!A:B,2,FALSE))</f>
        <v>2050803</v>
      </c>
      <c r="F1716" s="25" t="s">
        <v>378</v>
      </c>
      <c r="G1716" s="26">
        <v>13772.05</v>
      </c>
      <c r="H1716" s="26">
        <v>28000</v>
      </c>
    </row>
    <row r="1717" spans="1:8">
      <c r="A1717" s="24">
        <v>255188</v>
      </c>
      <c r="B1717" s="25" t="s">
        <v>148</v>
      </c>
      <c r="C1717" s="39" t="str">
        <f t="shared" si="52"/>
        <v>205</v>
      </c>
      <c r="D1717" s="39" t="str">
        <f t="shared" si="53"/>
        <v>20509</v>
      </c>
      <c r="E1717" s="39">
        <f>IF(ISNA(VLOOKUP(F1717,'2020功能科目'!A:B,2,FALSE)),"",VLOOKUP(F1717,'2020功能科目'!A:B,2,FALSE))</f>
        <v>2050999</v>
      </c>
      <c r="F1717" s="25" t="s">
        <v>394</v>
      </c>
      <c r="G1717" s="26">
        <v>9335211.8000000007</v>
      </c>
      <c r="H1717" s="26">
        <v>9583021</v>
      </c>
    </row>
    <row r="1718" spans="1:8">
      <c r="A1718" s="24">
        <v>255188</v>
      </c>
      <c r="B1718" s="25" t="s">
        <v>148</v>
      </c>
      <c r="C1718" s="39" t="str">
        <f t="shared" si="52"/>
        <v>208</v>
      </c>
      <c r="D1718" s="39" t="str">
        <f t="shared" si="53"/>
        <v>20805</v>
      </c>
      <c r="E1718" s="39">
        <f>IF(ISNA(VLOOKUP(F1718,'2020功能科目'!A:B,2,FALSE)),"",VLOOKUP(F1718,'2020功能科目'!A:B,2,FALSE))</f>
        <v>2080502</v>
      </c>
      <c r="F1718" s="25" t="s">
        <v>381</v>
      </c>
      <c r="G1718" s="26">
        <v>397072</v>
      </c>
      <c r="H1718" s="26">
        <v>408264</v>
      </c>
    </row>
    <row r="1719" spans="1:8">
      <c r="A1719" s="24">
        <v>255188</v>
      </c>
      <c r="B1719" s="25" t="s">
        <v>148</v>
      </c>
      <c r="C1719" s="39" t="str">
        <f t="shared" si="52"/>
        <v>208</v>
      </c>
      <c r="D1719" s="39" t="str">
        <f t="shared" si="53"/>
        <v>20805</v>
      </c>
      <c r="E1719" s="39">
        <f>IF(ISNA(VLOOKUP(F1719,'2020功能科目'!A:B,2,FALSE)),"",VLOOKUP(F1719,'2020功能科目'!A:B,2,FALSE))</f>
        <v>2080505</v>
      </c>
      <c r="F1719" s="25" t="s">
        <v>382</v>
      </c>
      <c r="G1719" s="26">
        <v>700841.6</v>
      </c>
      <c r="H1719" s="26">
        <v>812543.2</v>
      </c>
    </row>
    <row r="1720" spans="1:8">
      <c r="A1720" s="24">
        <v>255188</v>
      </c>
      <c r="B1720" s="25" t="s">
        <v>148</v>
      </c>
      <c r="C1720" s="39" t="str">
        <f t="shared" si="52"/>
        <v>208</v>
      </c>
      <c r="D1720" s="39" t="str">
        <f t="shared" si="53"/>
        <v>20805</v>
      </c>
      <c r="E1720" s="39">
        <f>IF(ISNA(VLOOKUP(F1720,'2020功能科目'!A:B,2,FALSE)),"",VLOOKUP(F1720,'2020功能科目'!A:B,2,FALSE))</f>
        <v>2080506</v>
      </c>
      <c r="F1720" s="25" t="s">
        <v>383</v>
      </c>
      <c r="G1720" s="26">
        <v>350420.8</v>
      </c>
      <c r="H1720" s="26">
        <v>406271.6</v>
      </c>
    </row>
    <row r="1721" spans="1:8">
      <c r="A1721" s="24">
        <v>255188</v>
      </c>
      <c r="B1721" s="25" t="s">
        <v>148</v>
      </c>
      <c r="C1721" s="39" t="str">
        <f t="shared" si="52"/>
        <v>210</v>
      </c>
      <c r="D1721" s="39" t="str">
        <f t="shared" si="53"/>
        <v>21011</v>
      </c>
      <c r="E1721" s="39">
        <f>IF(ISNA(VLOOKUP(F1721,'2020功能科目'!A:B,2,FALSE)),"",VLOOKUP(F1721,'2020功能科目'!A:B,2,FALSE))</f>
        <v>2101102</v>
      </c>
      <c r="F1721" s="25" t="s">
        <v>385</v>
      </c>
      <c r="G1721" s="26">
        <v>744161.67</v>
      </c>
      <c r="H1721" s="26">
        <v>660191.35</v>
      </c>
    </row>
    <row r="1722" spans="1:8">
      <c r="A1722" s="24">
        <v>255188</v>
      </c>
      <c r="B1722" s="25" t="s">
        <v>148</v>
      </c>
      <c r="C1722" s="39" t="str">
        <f t="shared" si="52"/>
        <v>221</v>
      </c>
      <c r="D1722" s="39" t="str">
        <f t="shared" si="53"/>
        <v>22102</v>
      </c>
      <c r="E1722" s="39">
        <f>IF(ISNA(VLOOKUP(F1722,'2020功能科目'!A:B,2,FALSE)),"",VLOOKUP(F1722,'2020功能科目'!A:B,2,FALSE))</f>
        <v>2210201</v>
      </c>
      <c r="F1722" s="25" t="s">
        <v>387</v>
      </c>
      <c r="G1722" s="26">
        <v>969255</v>
      </c>
      <c r="H1722" s="26">
        <v>819407.4</v>
      </c>
    </row>
    <row r="1723" spans="1:8">
      <c r="A1723" s="24">
        <v>255188</v>
      </c>
      <c r="B1723" s="25" t="s">
        <v>148</v>
      </c>
      <c r="C1723" s="39" t="str">
        <f t="shared" si="52"/>
        <v>221</v>
      </c>
      <c r="D1723" s="39" t="str">
        <f t="shared" si="53"/>
        <v>22102</v>
      </c>
      <c r="E1723" s="39">
        <f>IF(ISNA(VLOOKUP(F1723,'2020功能科目'!A:B,2,FALSE)),"",VLOOKUP(F1723,'2020功能科目'!A:B,2,FALSE))</f>
        <v>2210202</v>
      </c>
      <c r="F1723" s="25" t="s">
        <v>388</v>
      </c>
      <c r="G1723" s="26">
        <v>70200</v>
      </c>
      <c r="H1723" s="26">
        <v>70200</v>
      </c>
    </row>
    <row r="1724" spans="1:8">
      <c r="A1724" s="24">
        <v>255188</v>
      </c>
      <c r="B1724" s="25" t="s">
        <v>148</v>
      </c>
      <c r="C1724" s="39" t="str">
        <f t="shared" si="52"/>
        <v>221</v>
      </c>
      <c r="D1724" s="39" t="str">
        <f t="shared" si="53"/>
        <v>22102</v>
      </c>
      <c r="E1724" s="39">
        <f>IF(ISNA(VLOOKUP(F1724,'2020功能科目'!A:B,2,FALSE)),"",VLOOKUP(F1724,'2020功能科目'!A:B,2,FALSE))</f>
        <v>2210203</v>
      </c>
      <c r="F1724" s="25" t="s">
        <v>389</v>
      </c>
      <c r="G1724" s="26">
        <v>858156</v>
      </c>
      <c r="H1724" s="26">
        <v>858156</v>
      </c>
    </row>
    <row r="1725" spans="1:8">
      <c r="A1725" s="24">
        <v>255190</v>
      </c>
      <c r="B1725" s="25" t="s">
        <v>149</v>
      </c>
      <c r="C1725" s="39" t="str">
        <f t="shared" si="52"/>
        <v>205</v>
      </c>
      <c r="D1725" s="39" t="str">
        <f t="shared" si="53"/>
        <v>20502</v>
      </c>
      <c r="E1725" s="39">
        <f>IF(ISNA(VLOOKUP(F1725,'2020功能科目'!A:B,2,FALSE)),"",VLOOKUP(F1725,'2020功能科目'!A:B,2,FALSE))</f>
        <v>2050201</v>
      </c>
      <c r="F1725" s="25" t="s">
        <v>374</v>
      </c>
      <c r="G1725" s="26">
        <v>13741894.279999999</v>
      </c>
      <c r="H1725" s="26">
        <v>12136569.65</v>
      </c>
    </row>
    <row r="1726" spans="1:8">
      <c r="A1726" s="24">
        <v>255190</v>
      </c>
      <c r="B1726" s="25" t="s">
        <v>149</v>
      </c>
      <c r="C1726" s="39" t="str">
        <f t="shared" si="52"/>
        <v>205</v>
      </c>
      <c r="D1726" s="39" t="str">
        <f t="shared" si="53"/>
        <v>20508</v>
      </c>
      <c r="E1726" s="39">
        <f>IF(ISNA(VLOOKUP(F1726,'2020功能科目'!A:B,2,FALSE)),"",VLOOKUP(F1726,'2020功能科目'!A:B,2,FALSE))</f>
        <v>2050803</v>
      </c>
      <c r="F1726" s="25" t="s">
        <v>378</v>
      </c>
      <c r="G1726" s="26">
        <v>19580</v>
      </c>
      <c r="H1726" s="26">
        <v>40000</v>
      </c>
    </row>
    <row r="1727" spans="1:8">
      <c r="A1727" s="24">
        <v>255190</v>
      </c>
      <c r="B1727" s="25" t="s">
        <v>149</v>
      </c>
      <c r="C1727" s="39" t="str">
        <f t="shared" si="52"/>
        <v>205</v>
      </c>
      <c r="D1727" s="39" t="str">
        <f t="shared" si="53"/>
        <v>20509</v>
      </c>
      <c r="E1727" s="39">
        <f>IF(ISNA(VLOOKUP(F1727,'2020功能科目'!A:B,2,FALSE)),"",VLOOKUP(F1727,'2020功能科目'!A:B,2,FALSE))</f>
        <v>2050999</v>
      </c>
      <c r="F1727" s="25" t="s">
        <v>394</v>
      </c>
      <c r="G1727" s="26">
        <v>75000</v>
      </c>
      <c r="H1727" s="26">
        <v>75000</v>
      </c>
    </row>
    <row r="1728" spans="1:8">
      <c r="A1728" s="24">
        <v>255190</v>
      </c>
      <c r="B1728" s="25" t="s">
        <v>149</v>
      </c>
      <c r="C1728" s="39" t="str">
        <f t="shared" si="52"/>
        <v>208</v>
      </c>
      <c r="D1728" s="39" t="str">
        <f t="shared" si="53"/>
        <v>20805</v>
      </c>
      <c r="E1728" s="39">
        <f>IF(ISNA(VLOOKUP(F1728,'2020功能科目'!A:B,2,FALSE)),"",VLOOKUP(F1728,'2020功能科目'!A:B,2,FALSE))</f>
        <v>2080505</v>
      </c>
      <c r="F1728" s="25" t="s">
        <v>382</v>
      </c>
      <c r="G1728" s="26">
        <v>1100183.68</v>
      </c>
      <c r="H1728" s="26">
        <v>1100183.68</v>
      </c>
    </row>
    <row r="1729" spans="1:8">
      <c r="A1729" s="24">
        <v>255190</v>
      </c>
      <c r="B1729" s="25" t="s">
        <v>149</v>
      </c>
      <c r="C1729" s="39" t="str">
        <f t="shared" si="52"/>
        <v>208</v>
      </c>
      <c r="D1729" s="39" t="str">
        <f t="shared" si="53"/>
        <v>20805</v>
      </c>
      <c r="E1729" s="39">
        <f>IF(ISNA(VLOOKUP(F1729,'2020功能科目'!A:B,2,FALSE)),"",VLOOKUP(F1729,'2020功能科目'!A:B,2,FALSE))</f>
        <v>2080506</v>
      </c>
      <c r="F1729" s="25" t="s">
        <v>383</v>
      </c>
      <c r="G1729" s="26">
        <v>476233.99</v>
      </c>
      <c r="H1729" s="26">
        <v>550091.84</v>
      </c>
    </row>
    <row r="1730" spans="1:8">
      <c r="A1730" s="24">
        <v>255190</v>
      </c>
      <c r="B1730" s="25" t="s">
        <v>149</v>
      </c>
      <c r="C1730" s="39" t="str">
        <f t="shared" si="52"/>
        <v>210</v>
      </c>
      <c r="D1730" s="39" t="str">
        <f t="shared" si="53"/>
        <v>21011</v>
      </c>
      <c r="E1730" s="39">
        <f>IF(ISNA(VLOOKUP(F1730,'2020功能科目'!A:B,2,FALSE)),"",VLOOKUP(F1730,'2020功能科目'!A:B,2,FALSE))</f>
        <v>2101102</v>
      </c>
      <c r="F1730" s="25" t="s">
        <v>385</v>
      </c>
      <c r="G1730" s="26">
        <v>877147.18</v>
      </c>
      <c r="H1730" s="26">
        <v>893899.24</v>
      </c>
    </row>
    <row r="1731" spans="1:8">
      <c r="A1731" s="24">
        <v>255190</v>
      </c>
      <c r="B1731" s="25" t="s">
        <v>149</v>
      </c>
      <c r="C1731" s="39" t="str">
        <f t="shared" ref="C1731:C1794" si="54">LEFT(D1731,3)</f>
        <v>221</v>
      </c>
      <c r="D1731" s="39" t="str">
        <f t="shared" ref="D1731:D1794" si="55">LEFT(E1731,5)</f>
        <v>22102</v>
      </c>
      <c r="E1731" s="39">
        <f>IF(ISNA(VLOOKUP(F1731,'2020功能科目'!A:B,2,FALSE)),"",VLOOKUP(F1731,'2020功能科目'!A:B,2,FALSE))</f>
        <v>2210201</v>
      </c>
      <c r="F1731" s="25" t="s">
        <v>387</v>
      </c>
      <c r="G1731" s="26">
        <v>972798</v>
      </c>
      <c r="H1731" s="26">
        <v>1125137.76</v>
      </c>
    </row>
    <row r="1732" spans="1:8">
      <c r="A1732" s="24">
        <v>255190</v>
      </c>
      <c r="B1732" s="25" t="s">
        <v>149</v>
      </c>
      <c r="C1732" s="39" t="str">
        <f t="shared" si="54"/>
        <v>221</v>
      </c>
      <c r="D1732" s="39" t="str">
        <f t="shared" si="55"/>
        <v>22102</v>
      </c>
      <c r="E1732" s="39">
        <f>IF(ISNA(VLOOKUP(F1732,'2020功能科目'!A:B,2,FALSE)),"",VLOOKUP(F1732,'2020功能科目'!A:B,2,FALSE))</f>
        <v>2210202</v>
      </c>
      <c r="F1732" s="25" t="s">
        <v>388</v>
      </c>
      <c r="G1732" s="26">
        <v>42400</v>
      </c>
      <c r="H1732" s="26">
        <v>43800</v>
      </c>
    </row>
    <row r="1733" spans="1:8">
      <c r="A1733" s="24">
        <v>255190</v>
      </c>
      <c r="B1733" s="25" t="s">
        <v>149</v>
      </c>
      <c r="C1733" s="39" t="str">
        <f t="shared" si="54"/>
        <v>221</v>
      </c>
      <c r="D1733" s="39" t="str">
        <f t="shared" si="55"/>
        <v>22102</v>
      </c>
      <c r="E1733" s="39">
        <f>IF(ISNA(VLOOKUP(F1733,'2020功能科目'!A:B,2,FALSE)),"",VLOOKUP(F1733,'2020功能科目'!A:B,2,FALSE))</f>
        <v>2210203</v>
      </c>
      <c r="F1733" s="25" t="s">
        <v>389</v>
      </c>
      <c r="G1733" s="26">
        <v>1049368</v>
      </c>
      <c r="H1733" s="26">
        <v>957060</v>
      </c>
    </row>
    <row r="1734" spans="1:8">
      <c r="A1734" s="24">
        <v>255191</v>
      </c>
      <c r="B1734" s="25" t="s">
        <v>150</v>
      </c>
      <c r="C1734" s="39" t="str">
        <f t="shared" si="54"/>
        <v>205</v>
      </c>
      <c r="D1734" s="39" t="str">
        <f t="shared" si="55"/>
        <v>20502</v>
      </c>
      <c r="E1734" s="39">
        <f>IF(ISNA(VLOOKUP(F1734,'2020功能科目'!A:B,2,FALSE)),"",VLOOKUP(F1734,'2020功能科目'!A:B,2,FALSE))</f>
        <v>2050201</v>
      </c>
      <c r="F1734" s="25" t="s">
        <v>374</v>
      </c>
      <c r="G1734" s="26">
        <v>9433894.9299999997</v>
      </c>
      <c r="H1734" s="26">
        <v>8287635.54</v>
      </c>
    </row>
    <row r="1735" spans="1:8">
      <c r="A1735" s="24">
        <v>255191</v>
      </c>
      <c r="B1735" s="25" t="s">
        <v>150</v>
      </c>
      <c r="C1735" s="39" t="str">
        <f t="shared" si="54"/>
        <v>205</v>
      </c>
      <c r="D1735" s="39" t="str">
        <f t="shared" si="55"/>
        <v>20508</v>
      </c>
      <c r="E1735" s="39">
        <f>IF(ISNA(VLOOKUP(F1735,'2020功能科目'!A:B,2,FALSE)),"",VLOOKUP(F1735,'2020功能科目'!A:B,2,FALSE))</f>
        <v>2050803</v>
      </c>
      <c r="F1735" s="25" t="s">
        <v>378</v>
      </c>
      <c r="G1735" s="26">
        <v>13600</v>
      </c>
      <c r="H1735" s="26">
        <v>27200</v>
      </c>
    </row>
    <row r="1736" spans="1:8">
      <c r="A1736" s="24">
        <v>255191</v>
      </c>
      <c r="B1736" s="25" t="s">
        <v>150</v>
      </c>
      <c r="C1736" s="39" t="str">
        <f t="shared" si="54"/>
        <v>205</v>
      </c>
      <c r="D1736" s="39" t="str">
        <f t="shared" si="55"/>
        <v>20509</v>
      </c>
      <c r="E1736" s="39">
        <f>IF(ISNA(VLOOKUP(F1736,'2020功能科目'!A:B,2,FALSE)),"",VLOOKUP(F1736,'2020功能科目'!A:B,2,FALSE))</f>
        <v>2050999</v>
      </c>
      <c r="F1736" s="25" t="s">
        <v>394</v>
      </c>
      <c r="G1736" s="26">
        <v>148312.10999999999</v>
      </c>
      <c r="H1736" s="26">
        <v>151000</v>
      </c>
    </row>
    <row r="1737" spans="1:8">
      <c r="A1737" s="24">
        <v>255191</v>
      </c>
      <c r="B1737" s="25" t="s">
        <v>150</v>
      </c>
      <c r="C1737" s="39" t="str">
        <f t="shared" si="54"/>
        <v>208</v>
      </c>
      <c r="D1737" s="39" t="str">
        <f t="shared" si="55"/>
        <v>20805</v>
      </c>
      <c r="E1737" s="39">
        <f>IF(ISNA(VLOOKUP(F1737,'2020功能科目'!A:B,2,FALSE)),"",VLOOKUP(F1737,'2020功能科目'!A:B,2,FALSE))</f>
        <v>2080505</v>
      </c>
      <c r="F1737" s="25" t="s">
        <v>382</v>
      </c>
      <c r="G1737" s="26">
        <v>733494.24</v>
      </c>
      <c r="H1737" s="26">
        <v>754861.92</v>
      </c>
    </row>
    <row r="1738" spans="1:8">
      <c r="A1738" s="24">
        <v>255191</v>
      </c>
      <c r="B1738" s="25" t="s">
        <v>150</v>
      </c>
      <c r="C1738" s="39" t="str">
        <f t="shared" si="54"/>
        <v>208</v>
      </c>
      <c r="D1738" s="39" t="str">
        <f t="shared" si="55"/>
        <v>20805</v>
      </c>
      <c r="E1738" s="39">
        <f>IF(ISNA(VLOOKUP(F1738,'2020功能科目'!A:B,2,FALSE)),"",VLOOKUP(F1738,'2020功能科目'!A:B,2,FALSE))</f>
        <v>2080506</v>
      </c>
      <c r="F1738" s="25" t="s">
        <v>383</v>
      </c>
      <c r="G1738" s="26">
        <v>379217.28</v>
      </c>
      <c r="H1738" s="26">
        <v>377430.96</v>
      </c>
    </row>
    <row r="1739" spans="1:8">
      <c r="A1739" s="24">
        <v>255191</v>
      </c>
      <c r="B1739" s="25" t="s">
        <v>150</v>
      </c>
      <c r="C1739" s="39" t="str">
        <f t="shared" si="54"/>
        <v>210</v>
      </c>
      <c r="D1739" s="39" t="str">
        <f t="shared" si="55"/>
        <v>21011</v>
      </c>
      <c r="E1739" s="39">
        <f>IF(ISNA(VLOOKUP(F1739,'2020功能科目'!A:B,2,FALSE)),"",VLOOKUP(F1739,'2020功能科目'!A:B,2,FALSE))</f>
        <v>2101102</v>
      </c>
      <c r="F1739" s="25" t="s">
        <v>385</v>
      </c>
      <c r="G1739" s="26">
        <v>720764.37</v>
      </c>
      <c r="H1739" s="26">
        <v>613325.31000000006</v>
      </c>
    </row>
    <row r="1740" spans="1:8">
      <c r="A1740" s="24">
        <v>255191</v>
      </c>
      <c r="B1740" s="25" t="s">
        <v>150</v>
      </c>
      <c r="C1740" s="39" t="str">
        <f t="shared" si="54"/>
        <v>221</v>
      </c>
      <c r="D1740" s="39" t="str">
        <f t="shared" si="55"/>
        <v>22102</v>
      </c>
      <c r="E1740" s="39">
        <f>IF(ISNA(VLOOKUP(F1740,'2020功能科目'!A:B,2,FALSE)),"",VLOOKUP(F1740,'2020功能科目'!A:B,2,FALSE))</f>
        <v>2210201</v>
      </c>
      <c r="F1740" s="25" t="s">
        <v>387</v>
      </c>
      <c r="G1740" s="26">
        <v>858797.4</v>
      </c>
      <c r="H1740" s="26">
        <v>770146.44</v>
      </c>
    </row>
    <row r="1741" spans="1:8">
      <c r="A1741" s="24">
        <v>255191</v>
      </c>
      <c r="B1741" s="25" t="s">
        <v>150</v>
      </c>
      <c r="C1741" s="39" t="str">
        <f t="shared" si="54"/>
        <v>221</v>
      </c>
      <c r="D1741" s="39" t="str">
        <f t="shared" si="55"/>
        <v>22102</v>
      </c>
      <c r="E1741" s="39">
        <f>IF(ISNA(VLOOKUP(F1741,'2020功能科目'!A:B,2,FALSE)),"",VLOOKUP(F1741,'2020功能科目'!A:B,2,FALSE))</f>
        <v>2210202</v>
      </c>
      <c r="F1741" s="25" t="s">
        <v>388</v>
      </c>
      <c r="G1741" s="26">
        <v>26840</v>
      </c>
      <c r="H1741" s="26">
        <v>30720</v>
      </c>
    </row>
    <row r="1742" spans="1:8">
      <c r="A1742" s="24">
        <v>255191</v>
      </c>
      <c r="B1742" s="25" t="s">
        <v>150</v>
      </c>
      <c r="C1742" s="39" t="str">
        <f t="shared" si="54"/>
        <v>221</v>
      </c>
      <c r="D1742" s="39" t="str">
        <f t="shared" si="55"/>
        <v>22102</v>
      </c>
      <c r="E1742" s="39">
        <f>IF(ISNA(VLOOKUP(F1742,'2020功能科目'!A:B,2,FALSE)),"",VLOOKUP(F1742,'2020功能科目'!A:B,2,FALSE))</f>
        <v>2210203</v>
      </c>
      <c r="F1742" s="25" t="s">
        <v>389</v>
      </c>
      <c r="G1742" s="26">
        <v>714944</v>
      </c>
      <c r="H1742" s="26">
        <v>742128</v>
      </c>
    </row>
    <row r="1743" spans="1:8">
      <c r="A1743" s="24">
        <v>255192</v>
      </c>
      <c r="B1743" s="25" t="s">
        <v>151</v>
      </c>
      <c r="C1743" s="39" t="str">
        <f t="shared" si="54"/>
        <v>205</v>
      </c>
      <c r="D1743" s="39" t="str">
        <f t="shared" si="55"/>
        <v>20502</v>
      </c>
      <c r="E1743" s="39">
        <f>IF(ISNA(VLOOKUP(F1743,'2020功能科目'!A:B,2,FALSE)),"",VLOOKUP(F1743,'2020功能科目'!A:B,2,FALSE))</f>
        <v>2050202</v>
      </c>
      <c r="F1743" s="25" t="s">
        <v>375</v>
      </c>
      <c r="G1743" s="26">
        <v>21574361.120000001</v>
      </c>
      <c r="H1743" s="26">
        <v>15953200.630000001</v>
      </c>
    </row>
    <row r="1744" spans="1:8">
      <c r="A1744" s="24">
        <v>255192</v>
      </c>
      <c r="B1744" s="25" t="s">
        <v>151</v>
      </c>
      <c r="C1744" s="39" t="str">
        <f t="shared" si="54"/>
        <v>205</v>
      </c>
      <c r="D1744" s="39" t="str">
        <f t="shared" si="55"/>
        <v>20502</v>
      </c>
      <c r="E1744" s="39">
        <f>IF(ISNA(VLOOKUP(F1744,'2020功能科目'!A:B,2,FALSE)),"",VLOOKUP(F1744,'2020功能科目'!A:B,2,FALSE))</f>
        <v>2050299</v>
      </c>
      <c r="F1744" s="25" t="s">
        <v>377</v>
      </c>
      <c r="G1744" s="26">
        <v>33600</v>
      </c>
      <c r="H1744" s="26">
        <v>0</v>
      </c>
    </row>
    <row r="1745" spans="1:8">
      <c r="A1745" s="24">
        <v>255192</v>
      </c>
      <c r="B1745" s="25" t="s">
        <v>151</v>
      </c>
      <c r="C1745" s="39" t="str">
        <f t="shared" si="54"/>
        <v>205</v>
      </c>
      <c r="D1745" s="39" t="str">
        <f t="shared" si="55"/>
        <v>20508</v>
      </c>
      <c r="E1745" s="39">
        <f>IF(ISNA(VLOOKUP(F1745,'2020功能科目'!A:B,2,FALSE)),"",VLOOKUP(F1745,'2020功能科目'!A:B,2,FALSE))</f>
        <v>2050803</v>
      </c>
      <c r="F1745" s="25" t="s">
        <v>378</v>
      </c>
      <c r="G1745" s="26">
        <v>0</v>
      </c>
      <c r="H1745" s="26">
        <v>48800</v>
      </c>
    </row>
    <row r="1746" spans="1:8">
      <c r="A1746" s="24">
        <v>255192</v>
      </c>
      <c r="B1746" s="25" t="s">
        <v>151</v>
      </c>
      <c r="C1746" s="39" t="str">
        <f t="shared" si="54"/>
        <v>205</v>
      </c>
      <c r="D1746" s="39" t="str">
        <f t="shared" si="55"/>
        <v>20509</v>
      </c>
      <c r="E1746" s="39">
        <f>IF(ISNA(VLOOKUP(F1746,'2020功能科目'!A:B,2,FALSE)),"",VLOOKUP(F1746,'2020功能科目'!A:B,2,FALSE))</f>
        <v>2050903</v>
      </c>
      <c r="F1746" s="25" t="s">
        <v>379</v>
      </c>
      <c r="G1746" s="26">
        <v>391969.53</v>
      </c>
      <c r="H1746" s="26">
        <v>392000</v>
      </c>
    </row>
    <row r="1747" spans="1:8">
      <c r="A1747" s="24">
        <v>255192</v>
      </c>
      <c r="B1747" s="25" t="s">
        <v>151</v>
      </c>
      <c r="C1747" s="39" t="str">
        <f t="shared" si="54"/>
        <v>205</v>
      </c>
      <c r="D1747" s="39" t="str">
        <f t="shared" si="55"/>
        <v>20509</v>
      </c>
      <c r="E1747" s="39">
        <f>IF(ISNA(VLOOKUP(F1747,'2020功能科目'!A:B,2,FALSE)),"",VLOOKUP(F1747,'2020功能科目'!A:B,2,FALSE))</f>
        <v>2050904</v>
      </c>
      <c r="F1747" s="25" t="s">
        <v>380</v>
      </c>
      <c r="G1747" s="26">
        <v>80300</v>
      </c>
      <c r="H1747" s="26">
        <v>83300</v>
      </c>
    </row>
    <row r="1748" spans="1:8">
      <c r="A1748" s="24">
        <v>255192</v>
      </c>
      <c r="B1748" s="25" t="s">
        <v>151</v>
      </c>
      <c r="C1748" s="39" t="str">
        <f t="shared" si="54"/>
        <v>208</v>
      </c>
      <c r="D1748" s="39" t="str">
        <f t="shared" si="55"/>
        <v>20805</v>
      </c>
      <c r="E1748" s="39">
        <f>IF(ISNA(VLOOKUP(F1748,'2020功能科目'!A:B,2,FALSE)),"",VLOOKUP(F1748,'2020功能科目'!A:B,2,FALSE))</f>
        <v>2080505</v>
      </c>
      <c r="F1748" s="25" t="s">
        <v>382</v>
      </c>
      <c r="G1748" s="26">
        <v>1416567.51</v>
      </c>
      <c r="H1748" s="26">
        <v>1304602.28</v>
      </c>
    </row>
    <row r="1749" spans="1:8">
      <c r="A1749" s="24">
        <v>255192</v>
      </c>
      <c r="B1749" s="25" t="s">
        <v>151</v>
      </c>
      <c r="C1749" s="39" t="str">
        <f t="shared" si="54"/>
        <v>208</v>
      </c>
      <c r="D1749" s="39" t="str">
        <f t="shared" si="55"/>
        <v>20805</v>
      </c>
      <c r="E1749" s="39">
        <f>IF(ISNA(VLOOKUP(F1749,'2020功能科目'!A:B,2,FALSE)),"",VLOOKUP(F1749,'2020功能科目'!A:B,2,FALSE))</f>
        <v>2080506</v>
      </c>
      <c r="F1749" s="25" t="s">
        <v>383</v>
      </c>
      <c r="G1749" s="26">
        <v>707686.07</v>
      </c>
      <c r="H1749" s="26">
        <v>652301.14</v>
      </c>
    </row>
    <row r="1750" spans="1:8">
      <c r="A1750" s="24">
        <v>255192</v>
      </c>
      <c r="B1750" s="25" t="s">
        <v>151</v>
      </c>
      <c r="C1750" s="39" t="str">
        <f t="shared" si="54"/>
        <v>210</v>
      </c>
      <c r="D1750" s="39" t="str">
        <f t="shared" si="55"/>
        <v>21011</v>
      </c>
      <c r="E1750" s="39">
        <f>IF(ISNA(VLOOKUP(F1750,'2020功能科目'!A:B,2,FALSE)),"",VLOOKUP(F1750,'2020功能科目'!A:B,2,FALSE))</f>
        <v>2101102</v>
      </c>
      <c r="F1750" s="25" t="s">
        <v>385</v>
      </c>
      <c r="G1750" s="26">
        <v>1178987.96</v>
      </c>
      <c r="H1750" s="26">
        <v>1059989.3500000001</v>
      </c>
    </row>
    <row r="1751" spans="1:8">
      <c r="A1751" s="24">
        <v>255192</v>
      </c>
      <c r="B1751" s="25" t="s">
        <v>151</v>
      </c>
      <c r="C1751" s="39" t="str">
        <f t="shared" si="54"/>
        <v>221</v>
      </c>
      <c r="D1751" s="39" t="str">
        <f t="shared" si="55"/>
        <v>22102</v>
      </c>
      <c r="E1751" s="39">
        <f>IF(ISNA(VLOOKUP(F1751,'2020功能科目'!A:B,2,FALSE)),"",VLOOKUP(F1751,'2020功能科目'!A:B,2,FALSE))</f>
        <v>2210201</v>
      </c>
      <c r="F1751" s="25" t="s">
        <v>387</v>
      </c>
      <c r="G1751" s="26">
        <v>1405334</v>
      </c>
      <c r="H1751" s="26">
        <v>1344451.71</v>
      </c>
    </row>
    <row r="1752" spans="1:8">
      <c r="A1752" s="24">
        <v>255192</v>
      </c>
      <c r="B1752" s="25" t="s">
        <v>151</v>
      </c>
      <c r="C1752" s="39" t="str">
        <f t="shared" si="54"/>
        <v>221</v>
      </c>
      <c r="D1752" s="39" t="str">
        <f t="shared" si="55"/>
        <v>22102</v>
      </c>
      <c r="E1752" s="39">
        <f>IF(ISNA(VLOOKUP(F1752,'2020功能科目'!A:B,2,FALSE)),"",VLOOKUP(F1752,'2020功能科目'!A:B,2,FALSE))</f>
        <v>2210202</v>
      </c>
      <c r="F1752" s="25" t="s">
        <v>388</v>
      </c>
      <c r="G1752" s="26">
        <v>55560</v>
      </c>
      <c r="H1752" s="26">
        <v>55560</v>
      </c>
    </row>
    <row r="1753" spans="1:8">
      <c r="A1753" s="24">
        <v>255192</v>
      </c>
      <c r="B1753" s="25" t="s">
        <v>151</v>
      </c>
      <c r="C1753" s="39" t="str">
        <f t="shared" si="54"/>
        <v>221</v>
      </c>
      <c r="D1753" s="39" t="str">
        <f t="shared" si="55"/>
        <v>22102</v>
      </c>
      <c r="E1753" s="39">
        <f>IF(ISNA(VLOOKUP(F1753,'2020功能科目'!A:B,2,FALSE)),"",VLOOKUP(F1753,'2020功能科目'!A:B,2,FALSE))</f>
        <v>2210203</v>
      </c>
      <c r="F1753" s="25" t="s">
        <v>389</v>
      </c>
      <c r="G1753" s="26">
        <v>1377138</v>
      </c>
      <c r="H1753" s="26">
        <v>1542744</v>
      </c>
    </row>
    <row r="1754" spans="1:8">
      <c r="A1754" s="24">
        <v>255193</v>
      </c>
      <c r="B1754" s="25" t="s">
        <v>152</v>
      </c>
      <c r="C1754" s="39" t="str">
        <f t="shared" si="54"/>
        <v>205</v>
      </c>
      <c r="D1754" s="39" t="str">
        <f t="shared" si="55"/>
        <v>20502</v>
      </c>
      <c r="E1754" s="39">
        <f>IF(ISNA(VLOOKUP(F1754,'2020功能科目'!A:B,2,FALSE)),"",VLOOKUP(F1754,'2020功能科目'!A:B,2,FALSE))</f>
        <v>2050201</v>
      </c>
      <c r="F1754" s="25" t="s">
        <v>374</v>
      </c>
      <c r="G1754" s="26">
        <v>16859962.489999998</v>
      </c>
      <c r="H1754" s="26">
        <v>14696356.85</v>
      </c>
    </row>
    <row r="1755" spans="1:8">
      <c r="A1755" s="24">
        <v>255193</v>
      </c>
      <c r="B1755" s="25" t="s">
        <v>152</v>
      </c>
      <c r="C1755" s="39" t="str">
        <f t="shared" si="54"/>
        <v>205</v>
      </c>
      <c r="D1755" s="39" t="str">
        <f t="shared" si="55"/>
        <v>20508</v>
      </c>
      <c r="E1755" s="39">
        <f>IF(ISNA(VLOOKUP(F1755,'2020功能科目'!A:B,2,FALSE)),"",VLOOKUP(F1755,'2020功能科目'!A:B,2,FALSE))</f>
        <v>2050803</v>
      </c>
      <c r="F1755" s="25" t="s">
        <v>378</v>
      </c>
      <c r="G1755" s="26">
        <v>26000</v>
      </c>
      <c r="H1755" s="26">
        <v>52000</v>
      </c>
    </row>
    <row r="1756" spans="1:8">
      <c r="A1756" s="24">
        <v>255193</v>
      </c>
      <c r="B1756" s="25" t="s">
        <v>152</v>
      </c>
      <c r="C1756" s="39" t="str">
        <f t="shared" si="54"/>
        <v>205</v>
      </c>
      <c r="D1756" s="39" t="str">
        <f t="shared" si="55"/>
        <v>20509</v>
      </c>
      <c r="E1756" s="39">
        <f>IF(ISNA(VLOOKUP(F1756,'2020功能科目'!A:B,2,FALSE)),"",VLOOKUP(F1756,'2020功能科目'!A:B,2,FALSE))</f>
        <v>2050999</v>
      </c>
      <c r="F1756" s="25" t="s">
        <v>394</v>
      </c>
      <c r="G1756" s="26">
        <v>102240</v>
      </c>
      <c r="H1756" s="26">
        <v>102240</v>
      </c>
    </row>
    <row r="1757" spans="1:8">
      <c r="A1757" s="24">
        <v>255193</v>
      </c>
      <c r="B1757" s="25" t="s">
        <v>152</v>
      </c>
      <c r="C1757" s="39" t="str">
        <f t="shared" si="54"/>
        <v>208</v>
      </c>
      <c r="D1757" s="39" t="str">
        <f t="shared" si="55"/>
        <v>20805</v>
      </c>
      <c r="E1757" s="39">
        <f>IF(ISNA(VLOOKUP(F1757,'2020功能科目'!A:B,2,FALSE)),"",VLOOKUP(F1757,'2020功能科目'!A:B,2,FALSE))</f>
        <v>2080502</v>
      </c>
      <c r="F1757" s="25" t="s">
        <v>381</v>
      </c>
      <c r="G1757" s="26">
        <v>16500</v>
      </c>
      <c r="H1757" s="26">
        <v>14700</v>
      </c>
    </row>
    <row r="1758" spans="1:8">
      <c r="A1758" s="24">
        <v>255193</v>
      </c>
      <c r="B1758" s="25" t="s">
        <v>152</v>
      </c>
      <c r="C1758" s="39" t="str">
        <f t="shared" si="54"/>
        <v>208</v>
      </c>
      <c r="D1758" s="39" t="str">
        <f t="shared" si="55"/>
        <v>20805</v>
      </c>
      <c r="E1758" s="39">
        <f>IF(ISNA(VLOOKUP(F1758,'2020功能科目'!A:B,2,FALSE)),"",VLOOKUP(F1758,'2020功能科目'!A:B,2,FALSE))</f>
        <v>2080505</v>
      </c>
      <c r="F1758" s="25" t="s">
        <v>382</v>
      </c>
      <c r="G1758" s="26">
        <v>1143701.92</v>
      </c>
      <c r="H1758" s="26">
        <v>1208850.07</v>
      </c>
    </row>
    <row r="1759" spans="1:8">
      <c r="A1759" s="24">
        <v>255193</v>
      </c>
      <c r="B1759" s="25" t="s">
        <v>152</v>
      </c>
      <c r="C1759" s="39" t="str">
        <f t="shared" si="54"/>
        <v>208</v>
      </c>
      <c r="D1759" s="39" t="str">
        <f t="shared" si="55"/>
        <v>20805</v>
      </c>
      <c r="E1759" s="39">
        <f>IF(ISNA(VLOOKUP(F1759,'2020功能科目'!A:B,2,FALSE)),"",VLOOKUP(F1759,'2020功能科目'!A:B,2,FALSE))</f>
        <v>2080506</v>
      </c>
      <c r="F1759" s="25" t="s">
        <v>383</v>
      </c>
      <c r="G1759" s="26">
        <v>573163.84</v>
      </c>
      <c r="H1759" s="26">
        <v>604425.04</v>
      </c>
    </row>
    <row r="1760" spans="1:8">
      <c r="A1760" s="24">
        <v>255193</v>
      </c>
      <c r="B1760" s="25" t="s">
        <v>152</v>
      </c>
      <c r="C1760" s="39" t="str">
        <f t="shared" si="54"/>
        <v>210</v>
      </c>
      <c r="D1760" s="39" t="str">
        <f t="shared" si="55"/>
        <v>21011</v>
      </c>
      <c r="E1760" s="39">
        <f>IF(ISNA(VLOOKUP(F1760,'2020功能科目'!A:B,2,FALSE)),"",VLOOKUP(F1760,'2020功能科目'!A:B,2,FALSE))</f>
        <v>2101102</v>
      </c>
      <c r="F1760" s="25" t="s">
        <v>385</v>
      </c>
      <c r="G1760" s="26">
        <v>998636.84</v>
      </c>
      <c r="H1760" s="26">
        <v>982190.68</v>
      </c>
    </row>
    <row r="1761" spans="1:8">
      <c r="A1761" s="24">
        <v>255193</v>
      </c>
      <c r="B1761" s="25" t="s">
        <v>152</v>
      </c>
      <c r="C1761" s="39" t="str">
        <f t="shared" si="54"/>
        <v>221</v>
      </c>
      <c r="D1761" s="39" t="str">
        <f t="shared" si="55"/>
        <v>22102</v>
      </c>
      <c r="E1761" s="39">
        <f>IF(ISNA(VLOOKUP(F1761,'2020功能科目'!A:B,2,FALSE)),"",VLOOKUP(F1761,'2020功能科目'!A:B,2,FALSE))</f>
        <v>2210201</v>
      </c>
      <c r="F1761" s="25" t="s">
        <v>387</v>
      </c>
      <c r="G1761" s="26">
        <v>1199616</v>
      </c>
      <c r="H1761" s="26">
        <v>1296637.56</v>
      </c>
    </row>
    <row r="1762" spans="1:8">
      <c r="A1762" s="24">
        <v>255193</v>
      </c>
      <c r="B1762" s="25" t="s">
        <v>152</v>
      </c>
      <c r="C1762" s="39" t="str">
        <f t="shared" si="54"/>
        <v>221</v>
      </c>
      <c r="D1762" s="39" t="str">
        <f t="shared" si="55"/>
        <v>22102</v>
      </c>
      <c r="E1762" s="39">
        <f>IF(ISNA(VLOOKUP(F1762,'2020功能科目'!A:B,2,FALSE)),"",VLOOKUP(F1762,'2020功能科目'!A:B,2,FALSE))</f>
        <v>2210202</v>
      </c>
      <c r="F1762" s="25" t="s">
        <v>388</v>
      </c>
      <c r="G1762" s="26">
        <v>56760</v>
      </c>
      <c r="H1762" s="26">
        <v>56760</v>
      </c>
    </row>
    <row r="1763" spans="1:8">
      <c r="A1763" s="24">
        <v>255193</v>
      </c>
      <c r="B1763" s="25" t="s">
        <v>152</v>
      </c>
      <c r="C1763" s="39" t="str">
        <f t="shared" si="54"/>
        <v>221</v>
      </c>
      <c r="D1763" s="39" t="str">
        <f t="shared" si="55"/>
        <v>22102</v>
      </c>
      <c r="E1763" s="39">
        <f>IF(ISNA(VLOOKUP(F1763,'2020功能科目'!A:B,2,FALSE)),"",VLOOKUP(F1763,'2020功能科目'!A:B,2,FALSE))</f>
        <v>2210203</v>
      </c>
      <c r="F1763" s="25" t="s">
        <v>389</v>
      </c>
      <c r="G1763" s="26">
        <v>1394343</v>
      </c>
      <c r="H1763" s="26">
        <v>1381356</v>
      </c>
    </row>
    <row r="1764" spans="1:8">
      <c r="A1764" s="24">
        <v>255194</v>
      </c>
      <c r="B1764" s="25" t="s">
        <v>153</v>
      </c>
      <c r="C1764" s="39" t="str">
        <f t="shared" si="54"/>
        <v>205</v>
      </c>
      <c r="D1764" s="39" t="str">
        <f t="shared" si="55"/>
        <v>20502</v>
      </c>
      <c r="E1764" s="39">
        <f>IF(ISNA(VLOOKUP(F1764,'2020功能科目'!A:B,2,FALSE)),"",VLOOKUP(F1764,'2020功能科目'!A:B,2,FALSE))</f>
        <v>2050201</v>
      </c>
      <c r="F1764" s="25" t="s">
        <v>374</v>
      </c>
      <c r="G1764" s="26">
        <v>8915686.7100000009</v>
      </c>
      <c r="H1764" s="26">
        <v>6384405.8799999999</v>
      </c>
    </row>
    <row r="1765" spans="1:8">
      <c r="A1765" s="24">
        <v>255194</v>
      </c>
      <c r="B1765" s="25" t="s">
        <v>153</v>
      </c>
      <c r="C1765" s="39" t="str">
        <f t="shared" si="54"/>
        <v>205</v>
      </c>
      <c r="D1765" s="39" t="str">
        <f t="shared" si="55"/>
        <v>20508</v>
      </c>
      <c r="E1765" s="39">
        <f>IF(ISNA(VLOOKUP(F1765,'2020功能科目'!A:B,2,FALSE)),"",VLOOKUP(F1765,'2020功能科目'!A:B,2,FALSE))</f>
        <v>2050803</v>
      </c>
      <c r="F1765" s="25" t="s">
        <v>378</v>
      </c>
      <c r="G1765" s="26">
        <v>12800</v>
      </c>
      <c r="H1765" s="26">
        <v>25600</v>
      </c>
    </row>
    <row r="1766" spans="1:8">
      <c r="A1766" s="24">
        <v>255194</v>
      </c>
      <c r="B1766" s="25" t="s">
        <v>153</v>
      </c>
      <c r="C1766" s="39" t="str">
        <f t="shared" si="54"/>
        <v>205</v>
      </c>
      <c r="D1766" s="39" t="str">
        <f t="shared" si="55"/>
        <v>20509</v>
      </c>
      <c r="E1766" s="39">
        <f>IF(ISNA(VLOOKUP(F1766,'2020功能科目'!A:B,2,FALSE)),"",VLOOKUP(F1766,'2020功能科目'!A:B,2,FALSE))</f>
        <v>2050999</v>
      </c>
      <c r="F1766" s="25" t="s">
        <v>394</v>
      </c>
      <c r="G1766" s="26">
        <v>176450</v>
      </c>
      <c r="H1766" s="26">
        <v>214050</v>
      </c>
    </row>
    <row r="1767" spans="1:8">
      <c r="A1767" s="24">
        <v>255194</v>
      </c>
      <c r="B1767" s="25" t="s">
        <v>153</v>
      </c>
      <c r="C1767" s="39" t="str">
        <f t="shared" si="54"/>
        <v>208</v>
      </c>
      <c r="D1767" s="39" t="str">
        <f t="shared" si="55"/>
        <v>20805</v>
      </c>
      <c r="E1767" s="39">
        <f>IF(ISNA(VLOOKUP(F1767,'2020功能科目'!A:B,2,FALSE)),"",VLOOKUP(F1767,'2020功能科目'!A:B,2,FALSE))</f>
        <v>2080505</v>
      </c>
      <c r="F1767" s="25" t="s">
        <v>382</v>
      </c>
      <c r="G1767" s="26">
        <v>603508.80000000005</v>
      </c>
      <c r="H1767" s="26">
        <v>432775.67999999999</v>
      </c>
    </row>
    <row r="1768" spans="1:8">
      <c r="A1768" s="24">
        <v>255194</v>
      </c>
      <c r="B1768" s="25" t="s">
        <v>153</v>
      </c>
      <c r="C1768" s="39" t="str">
        <f t="shared" si="54"/>
        <v>208</v>
      </c>
      <c r="D1768" s="39" t="str">
        <f t="shared" si="55"/>
        <v>20805</v>
      </c>
      <c r="E1768" s="39">
        <f>IF(ISNA(VLOOKUP(F1768,'2020功能科目'!A:B,2,FALSE)),"",VLOOKUP(F1768,'2020功能科目'!A:B,2,FALSE))</f>
        <v>2080506</v>
      </c>
      <c r="F1768" s="25" t="s">
        <v>383</v>
      </c>
      <c r="G1768" s="26">
        <v>301754.40000000002</v>
      </c>
      <c r="H1768" s="26">
        <v>216387.84</v>
      </c>
    </row>
    <row r="1769" spans="1:8">
      <c r="A1769" s="24">
        <v>255194</v>
      </c>
      <c r="B1769" s="25" t="s">
        <v>153</v>
      </c>
      <c r="C1769" s="39" t="str">
        <f t="shared" si="54"/>
        <v>210</v>
      </c>
      <c r="D1769" s="39" t="str">
        <f t="shared" si="55"/>
        <v>21011</v>
      </c>
      <c r="E1769" s="39">
        <f>IF(ISNA(VLOOKUP(F1769,'2020功能科目'!A:B,2,FALSE)),"",VLOOKUP(F1769,'2020功能科目'!A:B,2,FALSE))</f>
        <v>2101102</v>
      </c>
      <c r="F1769" s="25" t="s">
        <v>385</v>
      </c>
      <c r="G1769" s="26">
        <v>513539.14</v>
      </c>
      <c r="H1769" s="26">
        <v>351630.24</v>
      </c>
    </row>
    <row r="1770" spans="1:8">
      <c r="A1770" s="24">
        <v>255194</v>
      </c>
      <c r="B1770" s="25" t="s">
        <v>153</v>
      </c>
      <c r="C1770" s="39" t="str">
        <f t="shared" si="54"/>
        <v>221</v>
      </c>
      <c r="D1770" s="39" t="str">
        <f t="shared" si="55"/>
        <v>22102</v>
      </c>
      <c r="E1770" s="39">
        <f>IF(ISNA(VLOOKUP(F1770,'2020功能科目'!A:B,2,FALSE)),"",VLOOKUP(F1770,'2020功能科目'!A:B,2,FALSE))</f>
        <v>2210201</v>
      </c>
      <c r="F1770" s="25" t="s">
        <v>387</v>
      </c>
      <c r="G1770" s="26">
        <v>714883</v>
      </c>
      <c r="H1770" s="26">
        <v>516581.76</v>
      </c>
    </row>
    <row r="1771" spans="1:8">
      <c r="A1771" s="24">
        <v>255194</v>
      </c>
      <c r="B1771" s="25" t="s">
        <v>153</v>
      </c>
      <c r="C1771" s="39" t="str">
        <f t="shared" si="54"/>
        <v>221</v>
      </c>
      <c r="D1771" s="39" t="str">
        <f t="shared" si="55"/>
        <v>22102</v>
      </c>
      <c r="E1771" s="39">
        <f>IF(ISNA(VLOOKUP(F1771,'2020功能科目'!A:B,2,FALSE)),"",VLOOKUP(F1771,'2020功能科目'!A:B,2,FALSE))</f>
        <v>2210202</v>
      </c>
      <c r="F1771" s="25" t="s">
        <v>388</v>
      </c>
      <c r="G1771" s="26">
        <v>27960</v>
      </c>
      <c r="H1771" s="26">
        <v>27960</v>
      </c>
    </row>
    <row r="1772" spans="1:8">
      <c r="A1772" s="24">
        <v>255194</v>
      </c>
      <c r="B1772" s="25" t="s">
        <v>153</v>
      </c>
      <c r="C1772" s="39" t="str">
        <f t="shared" si="54"/>
        <v>221</v>
      </c>
      <c r="D1772" s="39" t="str">
        <f t="shared" si="55"/>
        <v>22102</v>
      </c>
      <c r="E1772" s="39">
        <f>IF(ISNA(VLOOKUP(F1772,'2020功能科目'!A:B,2,FALSE)),"",VLOOKUP(F1772,'2020功能科目'!A:B,2,FALSE))</f>
        <v>2210203</v>
      </c>
      <c r="F1772" s="25" t="s">
        <v>389</v>
      </c>
      <c r="G1772" s="26">
        <v>914595</v>
      </c>
      <c r="H1772" s="26">
        <v>508320</v>
      </c>
    </row>
    <row r="1773" spans="1:8">
      <c r="A1773" s="24">
        <v>255195</v>
      </c>
      <c r="B1773" s="25" t="s">
        <v>154</v>
      </c>
      <c r="C1773" s="39" t="str">
        <f t="shared" si="54"/>
        <v>205</v>
      </c>
      <c r="D1773" s="39" t="str">
        <f t="shared" si="55"/>
        <v>20502</v>
      </c>
      <c r="E1773" s="39">
        <f>IF(ISNA(VLOOKUP(F1773,'2020功能科目'!A:B,2,FALSE)),"",VLOOKUP(F1773,'2020功能科目'!A:B,2,FALSE))</f>
        <v>2050201</v>
      </c>
      <c r="F1773" s="25" t="s">
        <v>374</v>
      </c>
      <c r="G1773" s="26">
        <v>7823497.4100000001</v>
      </c>
      <c r="H1773" s="26">
        <v>5721714.5599999996</v>
      </c>
    </row>
    <row r="1774" spans="1:8">
      <c r="A1774" s="24">
        <v>255195</v>
      </c>
      <c r="B1774" s="25" t="s">
        <v>154</v>
      </c>
      <c r="C1774" s="39" t="str">
        <f t="shared" si="54"/>
        <v>205</v>
      </c>
      <c r="D1774" s="39" t="str">
        <f t="shared" si="55"/>
        <v>20508</v>
      </c>
      <c r="E1774" s="39">
        <f>IF(ISNA(VLOOKUP(F1774,'2020功能科目'!A:B,2,FALSE)),"",VLOOKUP(F1774,'2020功能科目'!A:B,2,FALSE))</f>
        <v>2050803</v>
      </c>
      <c r="F1774" s="25" t="s">
        <v>378</v>
      </c>
      <c r="G1774" s="26">
        <v>0</v>
      </c>
      <c r="H1774" s="26">
        <v>21600</v>
      </c>
    </row>
    <row r="1775" spans="1:8">
      <c r="A1775" s="24">
        <v>255195</v>
      </c>
      <c r="B1775" s="25" t="s">
        <v>154</v>
      </c>
      <c r="C1775" s="39" t="str">
        <f t="shared" si="54"/>
        <v>205</v>
      </c>
      <c r="D1775" s="39" t="str">
        <f t="shared" si="55"/>
        <v>20509</v>
      </c>
      <c r="E1775" s="39">
        <f>IF(ISNA(VLOOKUP(F1775,'2020功能科目'!A:B,2,FALSE)),"",VLOOKUP(F1775,'2020功能科目'!A:B,2,FALSE))</f>
        <v>2050999</v>
      </c>
      <c r="F1775" s="25" t="s">
        <v>394</v>
      </c>
      <c r="G1775" s="26">
        <v>194896</v>
      </c>
      <c r="H1775" s="26">
        <v>317000</v>
      </c>
    </row>
    <row r="1776" spans="1:8">
      <c r="A1776" s="24">
        <v>255195</v>
      </c>
      <c r="B1776" s="25" t="s">
        <v>154</v>
      </c>
      <c r="C1776" s="39" t="str">
        <f t="shared" si="54"/>
        <v>208</v>
      </c>
      <c r="D1776" s="39" t="str">
        <f t="shared" si="55"/>
        <v>20805</v>
      </c>
      <c r="E1776" s="39">
        <f>IF(ISNA(VLOOKUP(F1776,'2020功能科目'!A:B,2,FALSE)),"",VLOOKUP(F1776,'2020功能科目'!A:B,2,FALSE))</f>
        <v>2080505</v>
      </c>
      <c r="F1776" s="25" t="s">
        <v>382</v>
      </c>
      <c r="G1776" s="26">
        <v>529991.09</v>
      </c>
      <c r="H1776" s="26">
        <v>258924.4</v>
      </c>
    </row>
    <row r="1777" spans="1:8">
      <c r="A1777" s="24">
        <v>255195</v>
      </c>
      <c r="B1777" s="25" t="s">
        <v>154</v>
      </c>
      <c r="C1777" s="39" t="str">
        <f t="shared" si="54"/>
        <v>208</v>
      </c>
      <c r="D1777" s="39" t="str">
        <f t="shared" si="55"/>
        <v>20805</v>
      </c>
      <c r="E1777" s="39">
        <f>IF(ISNA(VLOOKUP(F1777,'2020功能科目'!A:B,2,FALSE)),"",VLOOKUP(F1777,'2020功能科目'!A:B,2,FALSE))</f>
        <v>2080506</v>
      </c>
      <c r="F1777" s="25" t="s">
        <v>383</v>
      </c>
      <c r="G1777" s="26">
        <v>264995.62</v>
      </c>
      <c r="H1777" s="26">
        <v>103569.76</v>
      </c>
    </row>
    <row r="1778" spans="1:8">
      <c r="A1778" s="24">
        <v>255195</v>
      </c>
      <c r="B1778" s="25" t="s">
        <v>154</v>
      </c>
      <c r="C1778" s="39" t="str">
        <f t="shared" si="54"/>
        <v>210</v>
      </c>
      <c r="D1778" s="39" t="str">
        <f t="shared" si="55"/>
        <v>21011</v>
      </c>
      <c r="E1778" s="39">
        <f>IF(ISNA(VLOOKUP(F1778,'2020功能科目'!A:B,2,FALSE)),"",VLOOKUP(F1778,'2020功能科目'!A:B,2,FALSE))</f>
        <v>2101102</v>
      </c>
      <c r="F1778" s="25" t="s">
        <v>385</v>
      </c>
      <c r="G1778" s="26">
        <v>483193.17</v>
      </c>
      <c r="H1778" s="26">
        <v>168300.86</v>
      </c>
    </row>
    <row r="1779" spans="1:8">
      <c r="A1779" s="24">
        <v>255195</v>
      </c>
      <c r="B1779" s="25" t="s">
        <v>154</v>
      </c>
      <c r="C1779" s="39" t="str">
        <f t="shared" si="54"/>
        <v>221</v>
      </c>
      <c r="D1779" s="39" t="str">
        <f t="shared" si="55"/>
        <v>22102</v>
      </c>
      <c r="E1779" s="39">
        <f>IF(ISNA(VLOOKUP(F1779,'2020功能科目'!A:B,2,FALSE)),"",VLOOKUP(F1779,'2020功能科目'!A:B,2,FALSE))</f>
        <v>2210201</v>
      </c>
      <c r="F1779" s="25" t="s">
        <v>387</v>
      </c>
      <c r="G1779" s="26">
        <v>605246</v>
      </c>
      <c r="H1779" s="26">
        <v>317354.64</v>
      </c>
    </row>
    <row r="1780" spans="1:8">
      <c r="A1780" s="24">
        <v>255195</v>
      </c>
      <c r="B1780" s="25" t="s">
        <v>154</v>
      </c>
      <c r="C1780" s="39" t="str">
        <f t="shared" si="54"/>
        <v>221</v>
      </c>
      <c r="D1780" s="39" t="str">
        <f t="shared" si="55"/>
        <v>22102</v>
      </c>
      <c r="E1780" s="39">
        <f>IF(ISNA(VLOOKUP(F1780,'2020功能科目'!A:B,2,FALSE)),"",VLOOKUP(F1780,'2020功能科目'!A:B,2,FALSE))</f>
        <v>2210202</v>
      </c>
      <c r="F1780" s="25" t="s">
        <v>388</v>
      </c>
      <c r="G1780" s="26">
        <v>23400</v>
      </c>
      <c r="H1780" s="26">
        <v>23400</v>
      </c>
    </row>
    <row r="1781" spans="1:8">
      <c r="A1781" s="24">
        <v>255195</v>
      </c>
      <c r="B1781" s="25" t="s">
        <v>154</v>
      </c>
      <c r="C1781" s="39" t="str">
        <f t="shared" si="54"/>
        <v>221</v>
      </c>
      <c r="D1781" s="39" t="str">
        <f t="shared" si="55"/>
        <v>22102</v>
      </c>
      <c r="E1781" s="39">
        <f>IF(ISNA(VLOOKUP(F1781,'2020功能科目'!A:B,2,FALSE)),"",VLOOKUP(F1781,'2020功能科目'!A:B,2,FALSE))</f>
        <v>2210203</v>
      </c>
      <c r="F1781" s="25" t="s">
        <v>389</v>
      </c>
      <c r="G1781" s="26">
        <v>768624</v>
      </c>
      <c r="H1781" s="26">
        <v>614628</v>
      </c>
    </row>
    <row r="1782" spans="1:8">
      <c r="A1782" s="24">
        <v>255196</v>
      </c>
      <c r="B1782" s="25" t="s">
        <v>155</v>
      </c>
      <c r="C1782" s="39" t="str">
        <f t="shared" si="54"/>
        <v>205</v>
      </c>
      <c r="D1782" s="39" t="str">
        <f t="shared" si="55"/>
        <v>20502</v>
      </c>
      <c r="E1782" s="39">
        <f>IF(ISNA(VLOOKUP(F1782,'2020功能科目'!A:B,2,FALSE)),"",VLOOKUP(F1782,'2020功能科目'!A:B,2,FALSE))</f>
        <v>2050201</v>
      </c>
      <c r="F1782" s="25" t="s">
        <v>374</v>
      </c>
      <c r="G1782" s="26">
        <v>6277120.1200000001</v>
      </c>
      <c r="H1782" s="26">
        <v>4457869.13</v>
      </c>
    </row>
    <row r="1783" spans="1:8">
      <c r="A1783" s="24">
        <v>255196</v>
      </c>
      <c r="B1783" s="25" t="s">
        <v>155</v>
      </c>
      <c r="C1783" s="39" t="str">
        <f t="shared" si="54"/>
        <v>205</v>
      </c>
      <c r="D1783" s="39" t="str">
        <f t="shared" si="55"/>
        <v>20508</v>
      </c>
      <c r="E1783" s="39">
        <f>IF(ISNA(VLOOKUP(F1783,'2020功能科目'!A:B,2,FALSE)),"",VLOOKUP(F1783,'2020功能科目'!A:B,2,FALSE))</f>
        <v>2050803</v>
      </c>
      <c r="F1783" s="25" t="s">
        <v>378</v>
      </c>
      <c r="G1783" s="26">
        <v>2475</v>
      </c>
      <c r="H1783" s="26">
        <v>9600</v>
      </c>
    </row>
    <row r="1784" spans="1:8">
      <c r="A1784" s="24">
        <v>255196</v>
      </c>
      <c r="B1784" s="25" t="s">
        <v>155</v>
      </c>
      <c r="C1784" s="39" t="str">
        <f t="shared" si="54"/>
        <v>205</v>
      </c>
      <c r="D1784" s="39" t="str">
        <f t="shared" si="55"/>
        <v>20509</v>
      </c>
      <c r="E1784" s="39">
        <f>IF(ISNA(VLOOKUP(F1784,'2020功能科目'!A:B,2,FALSE)),"",VLOOKUP(F1784,'2020功能科目'!A:B,2,FALSE))</f>
        <v>2050999</v>
      </c>
      <c r="F1784" s="25" t="s">
        <v>394</v>
      </c>
      <c r="G1784" s="26">
        <v>36050</v>
      </c>
      <c r="H1784" s="26">
        <v>123600</v>
      </c>
    </row>
    <row r="1785" spans="1:8">
      <c r="A1785" s="24">
        <v>255196</v>
      </c>
      <c r="B1785" s="25" t="s">
        <v>155</v>
      </c>
      <c r="C1785" s="39" t="str">
        <f t="shared" si="54"/>
        <v>208</v>
      </c>
      <c r="D1785" s="39" t="str">
        <f t="shared" si="55"/>
        <v>20805</v>
      </c>
      <c r="E1785" s="39">
        <f>IF(ISNA(VLOOKUP(F1785,'2020功能科目'!A:B,2,FALSE)),"",VLOOKUP(F1785,'2020功能科目'!A:B,2,FALSE))</f>
        <v>2080505</v>
      </c>
      <c r="F1785" s="25" t="s">
        <v>382</v>
      </c>
      <c r="G1785" s="26">
        <v>270673.91999999998</v>
      </c>
      <c r="H1785" s="26">
        <v>141577.13</v>
      </c>
    </row>
    <row r="1786" spans="1:8">
      <c r="A1786" s="24">
        <v>255196</v>
      </c>
      <c r="B1786" s="25" t="s">
        <v>155</v>
      </c>
      <c r="C1786" s="39" t="str">
        <f t="shared" si="54"/>
        <v>208</v>
      </c>
      <c r="D1786" s="39" t="str">
        <f t="shared" si="55"/>
        <v>20805</v>
      </c>
      <c r="E1786" s="39">
        <f>IF(ISNA(VLOOKUP(F1786,'2020功能科目'!A:B,2,FALSE)),"",VLOOKUP(F1786,'2020功能科目'!A:B,2,FALSE))</f>
        <v>2080506</v>
      </c>
      <c r="F1786" s="25" t="s">
        <v>383</v>
      </c>
      <c r="G1786" s="26">
        <v>135336.95999999999</v>
      </c>
      <c r="H1786" s="26">
        <v>70788.570000000007</v>
      </c>
    </row>
    <row r="1787" spans="1:8">
      <c r="A1787" s="24">
        <v>255196</v>
      </c>
      <c r="B1787" s="25" t="s">
        <v>155</v>
      </c>
      <c r="C1787" s="39" t="str">
        <f t="shared" si="54"/>
        <v>210</v>
      </c>
      <c r="D1787" s="39" t="str">
        <f t="shared" si="55"/>
        <v>21011</v>
      </c>
      <c r="E1787" s="39">
        <f>IF(ISNA(VLOOKUP(F1787,'2020功能科目'!A:B,2,FALSE)),"",VLOOKUP(F1787,'2020功能科目'!A:B,2,FALSE))</f>
        <v>2101102</v>
      </c>
      <c r="F1787" s="25" t="s">
        <v>385</v>
      </c>
      <c r="G1787" s="26">
        <v>226842.63</v>
      </c>
      <c r="H1787" s="26">
        <v>115031.42</v>
      </c>
    </row>
    <row r="1788" spans="1:8">
      <c r="A1788" s="24">
        <v>255196</v>
      </c>
      <c r="B1788" s="25" t="s">
        <v>155</v>
      </c>
      <c r="C1788" s="39" t="str">
        <f t="shared" si="54"/>
        <v>221</v>
      </c>
      <c r="D1788" s="39" t="str">
        <f t="shared" si="55"/>
        <v>22102</v>
      </c>
      <c r="E1788" s="39">
        <f>IF(ISNA(VLOOKUP(F1788,'2020功能科目'!A:B,2,FALSE)),"",VLOOKUP(F1788,'2020功能科目'!A:B,2,FALSE))</f>
        <v>2210201</v>
      </c>
      <c r="F1788" s="25" t="s">
        <v>387</v>
      </c>
      <c r="G1788" s="26">
        <v>305432</v>
      </c>
      <c r="H1788" s="26">
        <v>178182.85</v>
      </c>
    </row>
    <row r="1789" spans="1:8">
      <c r="A1789" s="24">
        <v>255196</v>
      </c>
      <c r="B1789" s="25" t="s">
        <v>155</v>
      </c>
      <c r="C1789" s="39" t="str">
        <f t="shared" si="54"/>
        <v>221</v>
      </c>
      <c r="D1789" s="39" t="str">
        <f t="shared" si="55"/>
        <v>22102</v>
      </c>
      <c r="E1789" s="39">
        <f>IF(ISNA(VLOOKUP(F1789,'2020功能科目'!A:B,2,FALSE)),"",VLOOKUP(F1789,'2020功能科目'!A:B,2,FALSE))</f>
        <v>2210202</v>
      </c>
      <c r="F1789" s="25" t="s">
        <v>388</v>
      </c>
      <c r="G1789" s="26">
        <v>10560</v>
      </c>
      <c r="H1789" s="26">
        <v>10560</v>
      </c>
    </row>
    <row r="1790" spans="1:8">
      <c r="A1790" s="24">
        <v>255196</v>
      </c>
      <c r="B1790" s="25" t="s">
        <v>155</v>
      </c>
      <c r="C1790" s="39" t="str">
        <f t="shared" si="54"/>
        <v>221</v>
      </c>
      <c r="D1790" s="39" t="str">
        <f t="shared" si="55"/>
        <v>22102</v>
      </c>
      <c r="E1790" s="39">
        <f>IF(ISNA(VLOOKUP(F1790,'2020功能科目'!A:B,2,FALSE)),"",VLOOKUP(F1790,'2020功能科目'!A:B,2,FALSE))</f>
        <v>2210203</v>
      </c>
      <c r="F1790" s="25" t="s">
        <v>389</v>
      </c>
      <c r="G1790" s="26">
        <v>235636</v>
      </c>
      <c r="H1790" s="26">
        <v>201180</v>
      </c>
    </row>
    <row r="1791" spans="1:8">
      <c r="A1791" s="24">
        <v>255197</v>
      </c>
      <c r="B1791" s="25" t="s">
        <v>156</v>
      </c>
      <c r="C1791" s="39" t="str">
        <f t="shared" si="54"/>
        <v>205</v>
      </c>
      <c r="D1791" s="39" t="str">
        <f t="shared" si="55"/>
        <v>20502</v>
      </c>
      <c r="E1791" s="39">
        <f>IF(ISNA(VLOOKUP(F1791,'2020功能科目'!A:B,2,FALSE)),"",VLOOKUP(F1791,'2020功能科目'!A:B,2,FALSE))</f>
        <v>2050201</v>
      </c>
      <c r="F1791" s="25" t="s">
        <v>374</v>
      </c>
      <c r="G1791" s="26">
        <v>8014948.0099999998</v>
      </c>
      <c r="H1791" s="26">
        <v>6745691.9699999997</v>
      </c>
    </row>
    <row r="1792" spans="1:8">
      <c r="A1792" s="24">
        <v>255197</v>
      </c>
      <c r="B1792" s="25" t="s">
        <v>156</v>
      </c>
      <c r="C1792" s="39" t="str">
        <f t="shared" si="54"/>
        <v>205</v>
      </c>
      <c r="D1792" s="39" t="str">
        <f t="shared" si="55"/>
        <v>20508</v>
      </c>
      <c r="E1792" s="39">
        <f>IF(ISNA(VLOOKUP(F1792,'2020功能科目'!A:B,2,FALSE)),"",VLOOKUP(F1792,'2020功能科目'!A:B,2,FALSE))</f>
        <v>2050803</v>
      </c>
      <c r="F1792" s="25" t="s">
        <v>378</v>
      </c>
      <c r="G1792" s="26">
        <v>8800</v>
      </c>
      <c r="H1792" s="26">
        <v>17600</v>
      </c>
    </row>
    <row r="1793" spans="1:8">
      <c r="A1793" s="24">
        <v>255197</v>
      </c>
      <c r="B1793" s="25" t="s">
        <v>156</v>
      </c>
      <c r="C1793" s="39" t="str">
        <f t="shared" si="54"/>
        <v>205</v>
      </c>
      <c r="D1793" s="39" t="str">
        <f t="shared" si="55"/>
        <v>20509</v>
      </c>
      <c r="E1793" s="39">
        <f>IF(ISNA(VLOOKUP(F1793,'2020功能科目'!A:B,2,FALSE)),"",VLOOKUP(F1793,'2020功能科目'!A:B,2,FALSE))</f>
        <v>2050999</v>
      </c>
      <c r="F1793" s="25" t="s">
        <v>394</v>
      </c>
      <c r="G1793" s="26">
        <v>33880</v>
      </c>
      <c r="H1793" s="26">
        <v>33880</v>
      </c>
    </row>
    <row r="1794" spans="1:8">
      <c r="A1794" s="24">
        <v>255197</v>
      </c>
      <c r="B1794" s="25" t="s">
        <v>156</v>
      </c>
      <c r="C1794" s="39" t="str">
        <f t="shared" si="54"/>
        <v>208</v>
      </c>
      <c r="D1794" s="39" t="str">
        <f t="shared" si="55"/>
        <v>20805</v>
      </c>
      <c r="E1794" s="39">
        <f>IF(ISNA(VLOOKUP(F1794,'2020功能科目'!A:B,2,FALSE)),"",VLOOKUP(F1794,'2020功能科目'!A:B,2,FALSE))</f>
        <v>2080505</v>
      </c>
      <c r="F1794" s="25" t="s">
        <v>382</v>
      </c>
      <c r="G1794" s="26">
        <v>392752</v>
      </c>
      <c r="H1794" s="26">
        <v>396096.96</v>
      </c>
    </row>
    <row r="1795" spans="1:8">
      <c r="A1795" s="24">
        <v>255197</v>
      </c>
      <c r="B1795" s="25" t="s">
        <v>156</v>
      </c>
      <c r="C1795" s="39" t="str">
        <f t="shared" ref="C1795:C1858" si="56">LEFT(D1795,3)</f>
        <v>208</v>
      </c>
      <c r="D1795" s="39" t="str">
        <f t="shared" ref="D1795:D1858" si="57">LEFT(E1795,5)</f>
        <v>20805</v>
      </c>
      <c r="E1795" s="39">
        <f>IF(ISNA(VLOOKUP(F1795,'2020功能科目'!A:B,2,FALSE)),"",VLOOKUP(F1795,'2020功能科目'!A:B,2,FALSE))</f>
        <v>2080506</v>
      </c>
      <c r="F1795" s="25" t="s">
        <v>383</v>
      </c>
      <c r="G1795" s="26">
        <v>196376</v>
      </c>
      <c r="H1795" s="26">
        <v>198048.48</v>
      </c>
    </row>
    <row r="1796" spans="1:8">
      <c r="A1796" s="24">
        <v>255197</v>
      </c>
      <c r="B1796" s="25" t="s">
        <v>156</v>
      </c>
      <c r="C1796" s="39" t="str">
        <f t="shared" si="56"/>
        <v>210</v>
      </c>
      <c r="D1796" s="39" t="str">
        <f t="shared" si="57"/>
        <v>21011</v>
      </c>
      <c r="E1796" s="39">
        <f>IF(ISNA(VLOOKUP(F1796,'2020功能科目'!A:B,2,FALSE)),"",VLOOKUP(F1796,'2020功能科目'!A:B,2,FALSE))</f>
        <v>2101102</v>
      </c>
      <c r="F1796" s="25" t="s">
        <v>385</v>
      </c>
      <c r="G1796" s="26">
        <v>344701.45</v>
      </c>
      <c r="H1796" s="26">
        <v>321828.78000000003</v>
      </c>
    </row>
    <row r="1797" spans="1:8">
      <c r="A1797" s="24">
        <v>255197</v>
      </c>
      <c r="B1797" s="25" t="s">
        <v>156</v>
      </c>
      <c r="C1797" s="39" t="str">
        <f t="shared" si="56"/>
        <v>221</v>
      </c>
      <c r="D1797" s="39" t="str">
        <f t="shared" si="57"/>
        <v>22102</v>
      </c>
      <c r="E1797" s="39">
        <f>IF(ISNA(VLOOKUP(F1797,'2020功能科目'!A:B,2,FALSE)),"",VLOOKUP(F1797,'2020功能科目'!A:B,2,FALSE))</f>
        <v>2210201</v>
      </c>
      <c r="F1797" s="25" t="s">
        <v>387</v>
      </c>
      <c r="G1797" s="26">
        <v>491032</v>
      </c>
      <c r="H1797" s="26">
        <v>429072.72</v>
      </c>
    </row>
    <row r="1798" spans="1:8">
      <c r="A1798" s="24">
        <v>255197</v>
      </c>
      <c r="B1798" s="25" t="s">
        <v>156</v>
      </c>
      <c r="C1798" s="39" t="str">
        <f t="shared" si="56"/>
        <v>221</v>
      </c>
      <c r="D1798" s="39" t="str">
        <f t="shared" si="57"/>
        <v>22102</v>
      </c>
      <c r="E1798" s="39">
        <f>IF(ISNA(VLOOKUP(F1798,'2020功能科目'!A:B,2,FALSE)),"",VLOOKUP(F1798,'2020功能科目'!A:B,2,FALSE))</f>
        <v>2210202</v>
      </c>
      <c r="F1798" s="25" t="s">
        <v>388</v>
      </c>
      <c r="G1798" s="26">
        <v>10320</v>
      </c>
      <c r="H1798" s="26">
        <v>10320</v>
      </c>
    </row>
    <row r="1799" spans="1:8">
      <c r="A1799" s="24">
        <v>255197</v>
      </c>
      <c r="B1799" s="25" t="s">
        <v>156</v>
      </c>
      <c r="C1799" s="39" t="str">
        <f t="shared" si="56"/>
        <v>221</v>
      </c>
      <c r="D1799" s="39" t="str">
        <f t="shared" si="57"/>
        <v>22102</v>
      </c>
      <c r="E1799" s="39">
        <f>IF(ISNA(VLOOKUP(F1799,'2020功能科目'!A:B,2,FALSE)),"",VLOOKUP(F1799,'2020功能科目'!A:B,2,FALSE))</f>
        <v>2210203</v>
      </c>
      <c r="F1799" s="25" t="s">
        <v>389</v>
      </c>
      <c r="G1799" s="26">
        <v>479162</v>
      </c>
      <c r="H1799" s="26">
        <v>335676</v>
      </c>
    </row>
    <row r="1800" spans="1:8">
      <c r="A1800" s="24">
        <v>255198</v>
      </c>
      <c r="B1800" s="25" t="s">
        <v>157</v>
      </c>
      <c r="C1800" s="39" t="str">
        <f t="shared" si="56"/>
        <v>205</v>
      </c>
      <c r="D1800" s="39" t="str">
        <f t="shared" si="57"/>
        <v>20502</v>
      </c>
      <c r="E1800" s="39">
        <f>IF(ISNA(VLOOKUP(F1800,'2020功能科目'!A:B,2,FALSE)),"",VLOOKUP(F1800,'2020功能科目'!A:B,2,FALSE))</f>
        <v>2050299</v>
      </c>
      <c r="F1800" s="25" t="s">
        <v>377</v>
      </c>
      <c r="G1800" s="26">
        <v>1969871.84</v>
      </c>
      <c r="H1800" s="26">
        <v>2038672.66</v>
      </c>
    </row>
    <row r="1801" spans="1:8">
      <c r="A1801" s="24">
        <v>255198</v>
      </c>
      <c r="B1801" s="25" t="s">
        <v>157</v>
      </c>
      <c r="C1801" s="39" t="str">
        <f t="shared" si="56"/>
        <v>205</v>
      </c>
      <c r="D1801" s="39" t="str">
        <f t="shared" si="57"/>
        <v>20508</v>
      </c>
      <c r="E1801" s="39">
        <f>IF(ISNA(VLOOKUP(F1801,'2020功能科目'!A:B,2,FALSE)),"",VLOOKUP(F1801,'2020功能科目'!A:B,2,FALSE))</f>
        <v>2050803</v>
      </c>
      <c r="F1801" s="25" t="s">
        <v>378</v>
      </c>
      <c r="G1801" s="26">
        <v>2800</v>
      </c>
      <c r="H1801" s="26">
        <v>5600</v>
      </c>
    </row>
    <row r="1802" spans="1:8">
      <c r="A1802" s="24">
        <v>255198</v>
      </c>
      <c r="B1802" s="25" t="s">
        <v>157</v>
      </c>
      <c r="C1802" s="39" t="str">
        <f t="shared" si="56"/>
        <v>208</v>
      </c>
      <c r="D1802" s="39" t="str">
        <f t="shared" si="57"/>
        <v>20805</v>
      </c>
      <c r="E1802" s="39">
        <f>IF(ISNA(VLOOKUP(F1802,'2020功能科目'!A:B,2,FALSE)),"",VLOOKUP(F1802,'2020功能科目'!A:B,2,FALSE))</f>
        <v>2080505</v>
      </c>
      <c r="F1802" s="25" t="s">
        <v>382</v>
      </c>
      <c r="G1802" s="26">
        <v>180920.16</v>
      </c>
      <c r="H1802" s="26">
        <v>180792</v>
      </c>
    </row>
    <row r="1803" spans="1:8">
      <c r="A1803" s="24">
        <v>255198</v>
      </c>
      <c r="B1803" s="25" t="s">
        <v>157</v>
      </c>
      <c r="C1803" s="39" t="str">
        <f t="shared" si="56"/>
        <v>208</v>
      </c>
      <c r="D1803" s="39" t="str">
        <f t="shared" si="57"/>
        <v>20805</v>
      </c>
      <c r="E1803" s="39">
        <f>IF(ISNA(VLOOKUP(F1803,'2020功能科目'!A:B,2,FALSE)),"",VLOOKUP(F1803,'2020功能科目'!A:B,2,FALSE))</f>
        <v>2080506</v>
      </c>
      <c r="F1803" s="25" t="s">
        <v>383</v>
      </c>
      <c r="G1803" s="26">
        <v>90460.08</v>
      </c>
      <c r="H1803" s="26">
        <v>90396</v>
      </c>
    </row>
    <row r="1804" spans="1:8">
      <c r="A1804" s="24">
        <v>255198</v>
      </c>
      <c r="B1804" s="25" t="s">
        <v>157</v>
      </c>
      <c r="C1804" s="39" t="str">
        <f t="shared" si="56"/>
        <v>210</v>
      </c>
      <c r="D1804" s="39" t="str">
        <f t="shared" si="57"/>
        <v>21011</v>
      </c>
      <c r="E1804" s="39">
        <f>IF(ISNA(VLOOKUP(F1804,'2020功能科目'!A:B,2,FALSE)),"",VLOOKUP(F1804,'2020功能科目'!A:B,2,FALSE))</f>
        <v>2101102</v>
      </c>
      <c r="F1804" s="25" t="s">
        <v>385</v>
      </c>
      <c r="G1804" s="26">
        <v>149316.25</v>
      </c>
      <c r="H1804" s="26">
        <v>146893.5</v>
      </c>
    </row>
    <row r="1805" spans="1:8">
      <c r="A1805" s="24">
        <v>255198</v>
      </c>
      <c r="B1805" s="25" t="s">
        <v>157</v>
      </c>
      <c r="C1805" s="39" t="str">
        <f t="shared" si="56"/>
        <v>221</v>
      </c>
      <c r="D1805" s="39" t="str">
        <f t="shared" si="57"/>
        <v>22102</v>
      </c>
      <c r="E1805" s="39">
        <f>IF(ISNA(VLOOKUP(F1805,'2020功能科目'!A:B,2,FALSE)),"",VLOOKUP(F1805,'2020功能科目'!A:B,2,FALSE))</f>
        <v>2210201</v>
      </c>
      <c r="F1805" s="25" t="s">
        <v>387</v>
      </c>
      <c r="G1805" s="26">
        <v>223435</v>
      </c>
      <c r="H1805" s="26">
        <v>177594</v>
      </c>
    </row>
    <row r="1806" spans="1:8">
      <c r="A1806" s="24">
        <v>255198</v>
      </c>
      <c r="B1806" s="25" t="s">
        <v>157</v>
      </c>
      <c r="C1806" s="39" t="str">
        <f t="shared" si="56"/>
        <v>221</v>
      </c>
      <c r="D1806" s="39" t="str">
        <f t="shared" si="57"/>
        <v>22102</v>
      </c>
      <c r="E1806" s="39">
        <f>IF(ISNA(VLOOKUP(F1806,'2020功能科目'!A:B,2,FALSE)),"",VLOOKUP(F1806,'2020功能科目'!A:B,2,FALSE))</f>
        <v>2210202</v>
      </c>
      <c r="F1806" s="25" t="s">
        <v>388</v>
      </c>
      <c r="G1806" s="26">
        <v>7700</v>
      </c>
      <c r="H1806" s="26">
        <v>7800</v>
      </c>
    </row>
    <row r="1807" spans="1:8">
      <c r="A1807" s="24">
        <v>255198</v>
      </c>
      <c r="B1807" s="25" t="s">
        <v>157</v>
      </c>
      <c r="C1807" s="39" t="str">
        <f t="shared" si="56"/>
        <v>221</v>
      </c>
      <c r="D1807" s="39" t="str">
        <f t="shared" si="57"/>
        <v>22102</v>
      </c>
      <c r="E1807" s="39">
        <f>IF(ISNA(VLOOKUP(F1807,'2020功能科目'!A:B,2,FALSE)),"",VLOOKUP(F1807,'2020功能科目'!A:B,2,FALSE))</f>
        <v>2210203</v>
      </c>
      <c r="F1807" s="25" t="s">
        <v>389</v>
      </c>
      <c r="G1807" s="26">
        <v>210672</v>
      </c>
      <c r="H1807" s="26">
        <v>210672</v>
      </c>
    </row>
    <row r="1808" spans="1:8">
      <c r="A1808" s="24">
        <v>255200</v>
      </c>
      <c r="B1808" s="25" t="s">
        <v>159</v>
      </c>
      <c r="C1808" s="39" t="str">
        <f t="shared" si="56"/>
        <v>205</v>
      </c>
      <c r="D1808" s="39" t="str">
        <f t="shared" si="57"/>
        <v>20502</v>
      </c>
      <c r="E1808" s="39">
        <f>IF(ISNA(VLOOKUP(F1808,'2020功能科目'!A:B,2,FALSE)),"",VLOOKUP(F1808,'2020功能科目'!A:B,2,FALSE))</f>
        <v>2050299</v>
      </c>
      <c r="F1808" s="25" t="s">
        <v>377</v>
      </c>
      <c r="G1808" s="26">
        <v>122491.4</v>
      </c>
      <c r="H1808" s="26">
        <v>0</v>
      </c>
    </row>
    <row r="1809" spans="1:8">
      <c r="A1809" s="24">
        <v>255200</v>
      </c>
      <c r="B1809" s="25" t="s">
        <v>159</v>
      </c>
      <c r="C1809" s="39" t="str">
        <f t="shared" si="56"/>
        <v>208</v>
      </c>
      <c r="D1809" s="39" t="str">
        <f t="shared" si="57"/>
        <v>20805</v>
      </c>
      <c r="E1809" s="39">
        <f>IF(ISNA(VLOOKUP(F1809,'2020功能科目'!A:B,2,FALSE)),"",VLOOKUP(F1809,'2020功能科目'!A:B,2,FALSE))</f>
        <v>2080505</v>
      </c>
      <c r="F1809" s="25" t="s">
        <v>382</v>
      </c>
      <c r="G1809" s="26">
        <v>5145.6000000000004</v>
      </c>
      <c r="H1809" s="26">
        <v>0</v>
      </c>
    </row>
    <row r="1810" spans="1:8">
      <c r="A1810" s="24">
        <v>255200</v>
      </c>
      <c r="B1810" s="25" t="s">
        <v>159</v>
      </c>
      <c r="C1810" s="39" t="str">
        <f t="shared" si="56"/>
        <v>208</v>
      </c>
      <c r="D1810" s="39" t="str">
        <f t="shared" si="57"/>
        <v>20805</v>
      </c>
      <c r="E1810" s="39">
        <f>IF(ISNA(VLOOKUP(F1810,'2020功能科目'!A:B,2,FALSE)),"",VLOOKUP(F1810,'2020功能科目'!A:B,2,FALSE))</f>
        <v>2080506</v>
      </c>
      <c r="F1810" s="25" t="s">
        <v>383</v>
      </c>
      <c r="G1810" s="26">
        <v>2572.8000000000002</v>
      </c>
      <c r="H1810" s="26">
        <v>0</v>
      </c>
    </row>
    <row r="1811" spans="1:8">
      <c r="A1811" s="24">
        <v>255200</v>
      </c>
      <c r="B1811" s="25" t="s">
        <v>159</v>
      </c>
      <c r="C1811" s="39" t="str">
        <f t="shared" si="56"/>
        <v>210</v>
      </c>
      <c r="D1811" s="39" t="str">
        <f t="shared" si="57"/>
        <v>21011</v>
      </c>
      <c r="E1811" s="39">
        <f>IF(ISNA(VLOOKUP(F1811,'2020功能科目'!A:B,2,FALSE)),"",VLOOKUP(F1811,'2020功能科目'!A:B,2,FALSE))</f>
        <v>2101102</v>
      </c>
      <c r="F1811" s="25" t="s">
        <v>385</v>
      </c>
      <c r="G1811" s="26">
        <v>4921.08</v>
      </c>
      <c r="H1811" s="26">
        <v>0</v>
      </c>
    </row>
    <row r="1812" spans="1:8">
      <c r="A1812" s="24">
        <v>255200</v>
      </c>
      <c r="B1812" s="25" t="s">
        <v>159</v>
      </c>
      <c r="C1812" s="39" t="str">
        <f t="shared" si="56"/>
        <v>221</v>
      </c>
      <c r="D1812" s="39" t="str">
        <f t="shared" si="57"/>
        <v>22102</v>
      </c>
      <c r="E1812" s="39">
        <f>IF(ISNA(VLOOKUP(F1812,'2020功能科目'!A:B,2,FALSE)),"",VLOOKUP(F1812,'2020功能科目'!A:B,2,FALSE))</f>
        <v>2210201</v>
      </c>
      <c r="F1812" s="25" t="s">
        <v>387</v>
      </c>
      <c r="G1812" s="26">
        <v>11436</v>
      </c>
      <c r="H1812" s="26">
        <v>0</v>
      </c>
    </row>
    <row r="1813" spans="1:8">
      <c r="A1813" s="24">
        <v>255201</v>
      </c>
      <c r="B1813" s="25" t="s">
        <v>158</v>
      </c>
      <c r="C1813" s="39" t="str">
        <f t="shared" si="56"/>
        <v>205</v>
      </c>
      <c r="D1813" s="39" t="str">
        <f t="shared" si="57"/>
        <v>20502</v>
      </c>
      <c r="E1813" s="39">
        <f>IF(ISNA(VLOOKUP(F1813,'2020功能科目'!A:B,2,FALSE)),"",VLOOKUP(F1813,'2020功能科目'!A:B,2,FALSE))</f>
        <v>2050299</v>
      </c>
      <c r="F1813" s="25" t="s">
        <v>377</v>
      </c>
      <c r="G1813" s="26">
        <v>3186919.48</v>
      </c>
      <c r="H1813" s="26">
        <v>2757333.91</v>
      </c>
    </row>
    <row r="1814" spans="1:8">
      <c r="A1814" s="24">
        <v>255201</v>
      </c>
      <c r="B1814" s="25" t="s">
        <v>158</v>
      </c>
      <c r="C1814" s="39" t="str">
        <f t="shared" si="56"/>
        <v>205</v>
      </c>
      <c r="D1814" s="39" t="str">
        <f t="shared" si="57"/>
        <v>20508</v>
      </c>
      <c r="E1814" s="39">
        <f>IF(ISNA(VLOOKUP(F1814,'2020功能科目'!A:B,2,FALSE)),"",VLOOKUP(F1814,'2020功能科目'!A:B,2,FALSE))</f>
        <v>2050803</v>
      </c>
      <c r="F1814" s="25" t="s">
        <v>378</v>
      </c>
      <c r="G1814" s="26">
        <v>0</v>
      </c>
      <c r="H1814" s="26">
        <v>4800</v>
      </c>
    </row>
    <row r="1815" spans="1:8">
      <c r="A1815" s="24">
        <v>255201</v>
      </c>
      <c r="B1815" s="25" t="s">
        <v>158</v>
      </c>
      <c r="C1815" s="39" t="str">
        <f t="shared" si="56"/>
        <v>205</v>
      </c>
      <c r="D1815" s="39" t="str">
        <f t="shared" si="57"/>
        <v>20509</v>
      </c>
      <c r="E1815" s="39">
        <f>IF(ISNA(VLOOKUP(F1815,'2020功能科目'!A:B,2,FALSE)),"",VLOOKUP(F1815,'2020功能科目'!A:B,2,FALSE))</f>
        <v>2050999</v>
      </c>
      <c r="F1815" s="25" t="s">
        <v>394</v>
      </c>
      <c r="G1815" s="26">
        <v>64752</v>
      </c>
      <c r="H1815" s="26">
        <v>66480</v>
      </c>
    </row>
    <row r="1816" spans="1:8">
      <c r="A1816" s="24">
        <v>255201</v>
      </c>
      <c r="B1816" s="25" t="s">
        <v>158</v>
      </c>
      <c r="C1816" s="39" t="str">
        <f t="shared" si="56"/>
        <v>208</v>
      </c>
      <c r="D1816" s="39" t="str">
        <f t="shared" si="57"/>
        <v>20805</v>
      </c>
      <c r="E1816" s="39">
        <f>IF(ISNA(VLOOKUP(F1816,'2020功能科目'!A:B,2,FALSE)),"",VLOOKUP(F1816,'2020功能科目'!A:B,2,FALSE))</f>
        <v>2080505</v>
      </c>
      <c r="F1816" s="25" t="s">
        <v>382</v>
      </c>
      <c r="G1816" s="26">
        <v>139925.44</v>
      </c>
      <c r="H1816" s="26">
        <v>139925.44</v>
      </c>
    </row>
    <row r="1817" spans="1:8">
      <c r="A1817" s="24">
        <v>255201</v>
      </c>
      <c r="B1817" s="25" t="s">
        <v>158</v>
      </c>
      <c r="C1817" s="39" t="str">
        <f t="shared" si="56"/>
        <v>208</v>
      </c>
      <c r="D1817" s="39" t="str">
        <f t="shared" si="57"/>
        <v>20805</v>
      </c>
      <c r="E1817" s="39">
        <f>IF(ISNA(VLOOKUP(F1817,'2020功能科目'!A:B,2,FALSE)),"",VLOOKUP(F1817,'2020功能科目'!A:B,2,FALSE))</f>
        <v>2080506</v>
      </c>
      <c r="F1817" s="25" t="s">
        <v>383</v>
      </c>
      <c r="G1817" s="26">
        <v>92181.33</v>
      </c>
      <c r="H1817" s="26">
        <v>69962.720000000001</v>
      </c>
    </row>
    <row r="1818" spans="1:8">
      <c r="A1818" s="24">
        <v>255201</v>
      </c>
      <c r="B1818" s="25" t="s">
        <v>158</v>
      </c>
      <c r="C1818" s="39" t="str">
        <f t="shared" si="56"/>
        <v>210</v>
      </c>
      <c r="D1818" s="39" t="str">
        <f t="shared" si="57"/>
        <v>21011</v>
      </c>
      <c r="E1818" s="39">
        <f>IF(ISNA(VLOOKUP(F1818,'2020功能科目'!A:B,2,FALSE)),"",VLOOKUP(F1818,'2020功能科目'!A:B,2,FALSE))</f>
        <v>2101102</v>
      </c>
      <c r="F1818" s="25" t="s">
        <v>385</v>
      </c>
      <c r="G1818" s="26">
        <v>177685.28</v>
      </c>
      <c r="H1818" s="26">
        <v>113689.42</v>
      </c>
    </row>
    <row r="1819" spans="1:8">
      <c r="A1819" s="24">
        <v>255201</v>
      </c>
      <c r="B1819" s="25" t="s">
        <v>158</v>
      </c>
      <c r="C1819" s="39" t="str">
        <f t="shared" si="56"/>
        <v>221</v>
      </c>
      <c r="D1819" s="39" t="str">
        <f t="shared" si="57"/>
        <v>22102</v>
      </c>
      <c r="E1819" s="39">
        <f>IF(ISNA(VLOOKUP(F1819,'2020功能科目'!A:B,2,FALSE)),"",VLOOKUP(F1819,'2020功能科目'!A:B,2,FALSE))</f>
        <v>2210201</v>
      </c>
      <c r="F1819" s="25" t="s">
        <v>387</v>
      </c>
      <c r="G1819" s="26">
        <v>169678</v>
      </c>
      <c r="H1819" s="26">
        <v>140944.07999999999</v>
      </c>
    </row>
    <row r="1820" spans="1:8">
      <c r="A1820" s="24">
        <v>255201</v>
      </c>
      <c r="B1820" s="25" t="s">
        <v>158</v>
      </c>
      <c r="C1820" s="39" t="str">
        <f t="shared" si="56"/>
        <v>221</v>
      </c>
      <c r="D1820" s="39" t="str">
        <f t="shared" si="57"/>
        <v>22102</v>
      </c>
      <c r="E1820" s="39">
        <f>IF(ISNA(VLOOKUP(F1820,'2020功能科目'!A:B,2,FALSE)),"",VLOOKUP(F1820,'2020功能科目'!A:B,2,FALSE))</f>
        <v>2210202</v>
      </c>
      <c r="F1820" s="25" t="s">
        <v>388</v>
      </c>
      <c r="G1820" s="26">
        <v>5880</v>
      </c>
      <c r="H1820" s="26">
        <v>5880</v>
      </c>
    </row>
    <row r="1821" spans="1:8">
      <c r="A1821" s="24">
        <v>255201</v>
      </c>
      <c r="B1821" s="25" t="s">
        <v>158</v>
      </c>
      <c r="C1821" s="39" t="str">
        <f t="shared" si="56"/>
        <v>221</v>
      </c>
      <c r="D1821" s="39" t="str">
        <f t="shared" si="57"/>
        <v>22102</v>
      </c>
      <c r="E1821" s="39">
        <f>IF(ISNA(VLOOKUP(F1821,'2020功能科目'!A:B,2,FALSE)),"",VLOOKUP(F1821,'2020功能科目'!A:B,2,FALSE))</f>
        <v>2210203</v>
      </c>
      <c r="F1821" s="25" t="s">
        <v>389</v>
      </c>
      <c r="G1821" s="26">
        <v>197146</v>
      </c>
      <c r="H1821" s="26">
        <v>107232</v>
      </c>
    </row>
    <row r="1822" spans="1:8">
      <c r="A1822" s="24">
        <v>255203</v>
      </c>
      <c r="B1822" s="25" t="s">
        <v>160</v>
      </c>
      <c r="C1822" s="39" t="str">
        <f t="shared" si="56"/>
        <v>205</v>
      </c>
      <c r="D1822" s="39" t="str">
        <f t="shared" si="57"/>
        <v>20502</v>
      </c>
      <c r="E1822" s="39">
        <f>IF(ISNA(VLOOKUP(F1822,'2020功能科目'!A:B,2,FALSE)),"",VLOOKUP(F1822,'2020功能科目'!A:B,2,FALSE))</f>
        <v>2050202</v>
      </c>
      <c r="F1822" s="25" t="s">
        <v>375</v>
      </c>
      <c r="G1822" s="26">
        <v>3797629.41</v>
      </c>
      <c r="H1822" s="26">
        <v>2531390.0299999998</v>
      </c>
    </row>
    <row r="1823" spans="1:8">
      <c r="A1823" s="24">
        <v>255203</v>
      </c>
      <c r="B1823" s="25" t="s">
        <v>160</v>
      </c>
      <c r="C1823" s="39" t="str">
        <f t="shared" si="56"/>
        <v>205</v>
      </c>
      <c r="D1823" s="39" t="str">
        <f t="shared" si="57"/>
        <v>20508</v>
      </c>
      <c r="E1823" s="39">
        <f>IF(ISNA(VLOOKUP(F1823,'2020功能科目'!A:B,2,FALSE)),"",VLOOKUP(F1823,'2020功能科目'!A:B,2,FALSE))</f>
        <v>2050803</v>
      </c>
      <c r="F1823" s="25" t="s">
        <v>378</v>
      </c>
      <c r="G1823" s="26">
        <v>0</v>
      </c>
      <c r="H1823" s="26">
        <v>2400</v>
      </c>
    </row>
    <row r="1824" spans="1:8">
      <c r="A1824" s="24">
        <v>255203</v>
      </c>
      <c r="B1824" s="25" t="s">
        <v>160</v>
      </c>
      <c r="C1824" s="39" t="str">
        <f t="shared" si="56"/>
        <v>205</v>
      </c>
      <c r="D1824" s="39" t="str">
        <f t="shared" si="57"/>
        <v>20509</v>
      </c>
      <c r="E1824" s="39">
        <f>IF(ISNA(VLOOKUP(F1824,'2020功能科目'!A:B,2,FALSE)),"",VLOOKUP(F1824,'2020功能科目'!A:B,2,FALSE))</f>
        <v>2050904</v>
      </c>
      <c r="F1824" s="25" t="s">
        <v>380</v>
      </c>
      <c r="G1824" s="26">
        <v>575211.65</v>
      </c>
      <c r="H1824" s="26">
        <v>740100</v>
      </c>
    </row>
    <row r="1825" spans="1:8">
      <c r="A1825" s="24">
        <v>255203</v>
      </c>
      <c r="B1825" s="25" t="s">
        <v>160</v>
      </c>
      <c r="C1825" s="39" t="str">
        <f t="shared" si="56"/>
        <v>208</v>
      </c>
      <c r="D1825" s="39" t="str">
        <f t="shared" si="57"/>
        <v>20805</v>
      </c>
      <c r="E1825" s="39">
        <f>IF(ISNA(VLOOKUP(F1825,'2020功能科目'!A:B,2,FALSE)),"",VLOOKUP(F1825,'2020功能科目'!A:B,2,FALSE))</f>
        <v>2080505</v>
      </c>
      <c r="F1825" s="25" t="s">
        <v>382</v>
      </c>
      <c r="G1825" s="26">
        <v>79738.240000000005</v>
      </c>
      <c r="H1825" s="26">
        <v>88978.559999999998</v>
      </c>
    </row>
    <row r="1826" spans="1:8">
      <c r="A1826" s="24">
        <v>255203</v>
      </c>
      <c r="B1826" s="25" t="s">
        <v>160</v>
      </c>
      <c r="C1826" s="39" t="str">
        <f t="shared" si="56"/>
        <v>208</v>
      </c>
      <c r="D1826" s="39" t="str">
        <f t="shared" si="57"/>
        <v>20805</v>
      </c>
      <c r="E1826" s="39">
        <f>IF(ISNA(VLOOKUP(F1826,'2020功能科目'!A:B,2,FALSE)),"",VLOOKUP(F1826,'2020功能科目'!A:B,2,FALSE))</f>
        <v>2080506</v>
      </c>
      <c r="F1826" s="25" t="s">
        <v>383</v>
      </c>
      <c r="G1826" s="26">
        <v>39869.120000000003</v>
      </c>
      <c r="H1826" s="26">
        <v>44489.279999999999</v>
      </c>
    </row>
    <row r="1827" spans="1:8">
      <c r="A1827" s="24">
        <v>255203</v>
      </c>
      <c r="B1827" s="25" t="s">
        <v>160</v>
      </c>
      <c r="C1827" s="39" t="str">
        <f t="shared" si="56"/>
        <v>210</v>
      </c>
      <c r="D1827" s="39" t="str">
        <f t="shared" si="57"/>
        <v>21011</v>
      </c>
      <c r="E1827" s="39">
        <f>IF(ISNA(VLOOKUP(F1827,'2020功能科目'!A:B,2,FALSE)),"",VLOOKUP(F1827,'2020功能科目'!A:B,2,FALSE))</f>
        <v>2101102</v>
      </c>
      <c r="F1827" s="25" t="s">
        <v>385</v>
      </c>
      <c r="G1827" s="26">
        <v>75589.09</v>
      </c>
      <c r="H1827" s="26">
        <v>72295.08</v>
      </c>
    </row>
    <row r="1828" spans="1:8">
      <c r="A1828" s="24">
        <v>255203</v>
      </c>
      <c r="B1828" s="25" t="s">
        <v>160</v>
      </c>
      <c r="C1828" s="39" t="str">
        <f t="shared" si="56"/>
        <v>221</v>
      </c>
      <c r="D1828" s="39" t="str">
        <f t="shared" si="57"/>
        <v>22102</v>
      </c>
      <c r="E1828" s="39">
        <f>IF(ISNA(VLOOKUP(F1828,'2020功能科目'!A:B,2,FALSE)),"",VLOOKUP(F1828,'2020功能科目'!A:B,2,FALSE))</f>
        <v>2210201</v>
      </c>
      <c r="F1828" s="25" t="s">
        <v>387</v>
      </c>
      <c r="G1828" s="26">
        <v>94634</v>
      </c>
      <c r="H1828" s="26">
        <v>84733.92</v>
      </c>
    </row>
    <row r="1829" spans="1:8">
      <c r="A1829" s="24">
        <v>255203</v>
      </c>
      <c r="B1829" s="25" t="s">
        <v>160</v>
      </c>
      <c r="C1829" s="39" t="str">
        <f t="shared" si="56"/>
        <v>221</v>
      </c>
      <c r="D1829" s="39" t="str">
        <f t="shared" si="57"/>
        <v>22102</v>
      </c>
      <c r="E1829" s="39">
        <f>IF(ISNA(VLOOKUP(F1829,'2020功能科目'!A:B,2,FALSE)),"",VLOOKUP(F1829,'2020功能科目'!A:B,2,FALSE))</f>
        <v>2210202</v>
      </c>
      <c r="F1829" s="25" t="s">
        <v>388</v>
      </c>
      <c r="G1829" s="26">
        <v>2880</v>
      </c>
      <c r="H1829" s="26">
        <v>2880</v>
      </c>
    </row>
    <row r="1830" spans="1:8">
      <c r="A1830" s="24">
        <v>255203</v>
      </c>
      <c r="B1830" s="25" t="s">
        <v>160</v>
      </c>
      <c r="C1830" s="39" t="str">
        <f t="shared" si="56"/>
        <v>221</v>
      </c>
      <c r="D1830" s="39" t="str">
        <f t="shared" si="57"/>
        <v>22102</v>
      </c>
      <c r="E1830" s="39">
        <f>IF(ISNA(VLOOKUP(F1830,'2020功能科目'!A:B,2,FALSE)),"",VLOOKUP(F1830,'2020功能科目'!A:B,2,FALSE))</f>
        <v>2210203</v>
      </c>
      <c r="F1830" s="25" t="s">
        <v>389</v>
      </c>
      <c r="G1830" s="26">
        <v>0</v>
      </c>
      <c r="H1830" s="26">
        <v>41568</v>
      </c>
    </row>
    <row r="1831" spans="1:8">
      <c r="A1831" s="24">
        <v>255</v>
      </c>
      <c r="B1831" s="25" t="s">
        <v>1</v>
      </c>
      <c r="C1831" s="39" t="str">
        <f t="shared" si="56"/>
        <v>205</v>
      </c>
      <c r="D1831" s="39" t="str">
        <f t="shared" si="57"/>
        <v>20502</v>
      </c>
      <c r="E1831" s="39">
        <f>IF(ISNA(VLOOKUP(F1831,'2020功能科目'!A:B,2,FALSE)),"",VLOOKUP(F1831,'2020功能科目'!A:B,2,FALSE))</f>
        <v>2050201</v>
      </c>
      <c r="F1831" s="25" t="s">
        <v>374</v>
      </c>
      <c r="G1831" s="26">
        <v>638720295.55999994</v>
      </c>
      <c r="H1831" s="26">
        <v>562945457.20000005</v>
      </c>
    </row>
    <row r="1832" spans="1:8">
      <c r="A1832" s="24">
        <v>255</v>
      </c>
      <c r="B1832" s="25" t="s">
        <v>1</v>
      </c>
      <c r="C1832" s="39" t="str">
        <f t="shared" si="56"/>
        <v>205</v>
      </c>
      <c r="D1832" s="39" t="str">
        <f t="shared" si="57"/>
        <v>20502</v>
      </c>
      <c r="E1832" s="39">
        <f>IF(ISNA(VLOOKUP(F1832,'2020功能科目'!A:B,2,FALSE)),"",VLOOKUP(F1832,'2020功能科目'!A:B,2,FALSE))</f>
        <v>2050202</v>
      </c>
      <c r="F1832" s="25" t="s">
        <v>375</v>
      </c>
      <c r="G1832" s="26">
        <v>2307673101.02</v>
      </c>
      <c r="H1832" s="26">
        <v>1772385307.6400001</v>
      </c>
    </row>
    <row r="1833" spans="1:8">
      <c r="A1833" s="24">
        <v>255</v>
      </c>
      <c r="B1833" s="25" t="s">
        <v>1</v>
      </c>
      <c r="C1833" s="39" t="str">
        <f t="shared" si="56"/>
        <v>205</v>
      </c>
      <c r="D1833" s="39" t="str">
        <f t="shared" si="57"/>
        <v>20502</v>
      </c>
      <c r="E1833" s="39">
        <f>IF(ISNA(VLOOKUP(F1833,'2020功能科目'!A:B,2,FALSE)),"",VLOOKUP(F1833,'2020功能科目'!A:B,2,FALSE))</f>
        <v>2050203</v>
      </c>
      <c r="F1833" s="25" t="s">
        <v>390</v>
      </c>
      <c r="G1833" s="26">
        <v>387337787.58999997</v>
      </c>
      <c r="H1833" s="26">
        <v>300715163.42000002</v>
      </c>
    </row>
    <row r="1834" spans="1:8">
      <c r="A1834" s="24">
        <v>255</v>
      </c>
      <c r="B1834" s="25" t="s">
        <v>1</v>
      </c>
      <c r="C1834" s="39" t="str">
        <f t="shared" si="56"/>
        <v>205</v>
      </c>
      <c r="D1834" s="39" t="str">
        <f t="shared" si="57"/>
        <v>20502</v>
      </c>
      <c r="E1834" s="39">
        <f>IF(ISNA(VLOOKUP(F1834,'2020功能科目'!A:B,2,FALSE)),"",VLOOKUP(F1834,'2020功能科目'!A:B,2,FALSE))</f>
        <v>2050204</v>
      </c>
      <c r="F1834" s="25" t="s">
        <v>376</v>
      </c>
      <c r="G1834" s="26">
        <v>2057425644.1500001</v>
      </c>
      <c r="H1834" s="26">
        <v>1716108494.3099999</v>
      </c>
    </row>
    <row r="1835" spans="1:8">
      <c r="A1835" s="24">
        <v>255</v>
      </c>
      <c r="B1835" s="25" t="s">
        <v>1</v>
      </c>
      <c r="C1835" s="39" t="str">
        <f t="shared" si="56"/>
        <v>205</v>
      </c>
      <c r="D1835" s="39" t="str">
        <f t="shared" si="57"/>
        <v>20502</v>
      </c>
      <c r="E1835" s="39">
        <f>IF(ISNA(VLOOKUP(F1835,'2020功能科目'!A:B,2,FALSE)),"",VLOOKUP(F1835,'2020功能科目'!A:B,2,FALSE))</f>
        <v>2050299</v>
      </c>
      <c r="F1835" s="25" t="s">
        <v>377</v>
      </c>
      <c r="G1835" s="26">
        <v>791734725.19000006</v>
      </c>
      <c r="H1835" s="26">
        <v>1221028383.4000001</v>
      </c>
    </row>
    <row r="1836" spans="1:8">
      <c r="A1836" s="24">
        <v>255</v>
      </c>
      <c r="B1836" s="25" t="s">
        <v>1</v>
      </c>
      <c r="C1836" s="39" t="str">
        <f t="shared" si="56"/>
        <v>205</v>
      </c>
      <c r="D1836" s="39" t="str">
        <f t="shared" si="57"/>
        <v>20503</v>
      </c>
      <c r="E1836" s="39">
        <f>IF(ISNA(VLOOKUP(F1836,'2020功能科目'!A:B,2,FALSE)),"",VLOOKUP(F1836,'2020功能科目'!A:B,2,FALSE))</f>
        <v>2050302</v>
      </c>
      <c r="F1836" s="25" t="s">
        <v>391</v>
      </c>
      <c r="G1836" s="26">
        <v>204093652.22999999</v>
      </c>
      <c r="H1836" s="26">
        <v>184369930.47999999</v>
      </c>
    </row>
    <row r="1837" spans="1:8">
      <c r="A1837" s="24">
        <v>255</v>
      </c>
      <c r="B1837" s="25" t="s">
        <v>1</v>
      </c>
      <c r="C1837" s="39" t="str">
        <f t="shared" si="56"/>
        <v>205</v>
      </c>
      <c r="D1837" s="39" t="str">
        <f t="shared" si="57"/>
        <v>20503</v>
      </c>
      <c r="E1837" s="39">
        <f>IF(ISNA(VLOOKUP(F1837,'2020功能科目'!A:B,2,FALSE)),"",VLOOKUP(F1837,'2020功能科目'!A:B,2,FALSE))</f>
        <v>2050399</v>
      </c>
      <c r="F1837" s="25" t="s">
        <v>392</v>
      </c>
      <c r="G1837" s="26">
        <v>419516.99</v>
      </c>
      <c r="H1837" s="26">
        <v>727502.89</v>
      </c>
    </row>
    <row r="1838" spans="1:8">
      <c r="A1838" s="24">
        <v>255</v>
      </c>
      <c r="B1838" s="25" t="s">
        <v>1</v>
      </c>
      <c r="C1838" s="39" t="str">
        <f t="shared" si="56"/>
        <v>205</v>
      </c>
      <c r="D1838" s="39" t="str">
        <f t="shared" si="57"/>
        <v>20504</v>
      </c>
      <c r="E1838" s="39">
        <f>IF(ISNA(VLOOKUP(F1838,'2020功能科目'!A:B,2,FALSE)),"",VLOOKUP(F1838,'2020功能科目'!A:B,2,FALSE))</f>
        <v>2050403</v>
      </c>
      <c r="F1838" s="25" t="s">
        <v>401</v>
      </c>
      <c r="G1838" s="26">
        <v>18338438.050000001</v>
      </c>
      <c r="H1838" s="26">
        <v>17556855.420000002</v>
      </c>
    </row>
    <row r="1839" spans="1:8">
      <c r="A1839" s="24">
        <v>255</v>
      </c>
      <c r="B1839" s="25" t="s">
        <v>1</v>
      </c>
      <c r="C1839" s="39" t="str">
        <f t="shared" si="56"/>
        <v>205</v>
      </c>
      <c r="D1839" s="39" t="str">
        <f t="shared" si="57"/>
        <v>20504</v>
      </c>
      <c r="E1839" s="39">
        <f>IF(ISNA(VLOOKUP(F1839,'2020功能科目'!A:B,2,FALSE)),"",VLOOKUP(F1839,'2020功能科目'!A:B,2,FALSE))</f>
        <v>2050404</v>
      </c>
      <c r="F1839" s="25" t="s">
        <v>402</v>
      </c>
      <c r="G1839" s="26">
        <v>6795847.5099999998</v>
      </c>
      <c r="H1839" s="26">
        <v>6413031.46</v>
      </c>
    </row>
    <row r="1840" spans="1:8">
      <c r="A1840" s="24">
        <v>255</v>
      </c>
      <c r="B1840" s="25" t="s">
        <v>1</v>
      </c>
      <c r="C1840" s="39" t="str">
        <f t="shared" si="56"/>
        <v>205</v>
      </c>
      <c r="D1840" s="39" t="str">
        <f t="shared" si="57"/>
        <v>20507</v>
      </c>
      <c r="E1840" s="39">
        <f>IF(ISNA(VLOOKUP(F1840,'2020功能科目'!A:B,2,FALSE)),"",VLOOKUP(F1840,'2020功能科目'!A:B,2,FALSE))</f>
        <v>2050701</v>
      </c>
      <c r="F1840" s="25" t="s">
        <v>395</v>
      </c>
      <c r="G1840" s="26">
        <v>77082268.180000007</v>
      </c>
      <c r="H1840" s="26">
        <v>62704135.840000004</v>
      </c>
    </row>
    <row r="1841" spans="1:8">
      <c r="A1841" s="24">
        <v>255</v>
      </c>
      <c r="B1841" s="25" t="s">
        <v>1</v>
      </c>
      <c r="C1841" s="39" t="str">
        <f t="shared" si="56"/>
        <v>205</v>
      </c>
      <c r="D1841" s="39" t="str">
        <f t="shared" si="57"/>
        <v>20507</v>
      </c>
      <c r="E1841" s="39">
        <f>IF(ISNA(VLOOKUP(F1841,'2020功能科目'!A:B,2,FALSE)),"",VLOOKUP(F1841,'2020功能科目'!A:B,2,FALSE))</f>
        <v>2050702</v>
      </c>
      <c r="F1841" s="25" t="s">
        <v>397</v>
      </c>
      <c r="G1841" s="26">
        <v>12878790.67</v>
      </c>
      <c r="H1841" s="26">
        <v>10625670.27</v>
      </c>
    </row>
    <row r="1842" spans="1:8">
      <c r="A1842" s="24">
        <v>255</v>
      </c>
      <c r="B1842" s="25" t="s">
        <v>1</v>
      </c>
      <c r="C1842" s="39" t="str">
        <f t="shared" si="56"/>
        <v>205</v>
      </c>
      <c r="D1842" s="39" t="str">
        <f t="shared" si="57"/>
        <v>20507</v>
      </c>
      <c r="E1842" s="39">
        <f>IF(ISNA(VLOOKUP(F1842,'2020功能科目'!A:B,2,FALSE)),"",VLOOKUP(F1842,'2020功能科目'!A:B,2,FALSE))</f>
        <v>2050799</v>
      </c>
      <c r="F1842" s="25" t="s">
        <v>396</v>
      </c>
      <c r="G1842" s="26">
        <v>28400</v>
      </c>
      <c r="H1842" s="26">
        <v>339991</v>
      </c>
    </row>
    <row r="1843" spans="1:8">
      <c r="A1843" s="24">
        <v>255</v>
      </c>
      <c r="B1843" s="25" t="s">
        <v>1</v>
      </c>
      <c r="C1843" s="39" t="str">
        <f t="shared" si="56"/>
        <v>205</v>
      </c>
      <c r="D1843" s="39" t="str">
        <f t="shared" si="57"/>
        <v>20508</v>
      </c>
      <c r="E1843" s="39">
        <f>IF(ISNA(VLOOKUP(F1843,'2020功能科目'!A:B,2,FALSE)),"",VLOOKUP(F1843,'2020功能科目'!A:B,2,FALSE))</f>
        <v>2050801</v>
      </c>
      <c r="F1843" s="25" t="s">
        <v>399</v>
      </c>
      <c r="G1843" s="26">
        <v>108617572.17</v>
      </c>
      <c r="H1843" s="26">
        <v>119496637.72</v>
      </c>
    </row>
    <row r="1844" spans="1:8">
      <c r="A1844" s="24">
        <v>255</v>
      </c>
      <c r="B1844" s="25" t="s">
        <v>1</v>
      </c>
      <c r="C1844" s="39" t="str">
        <f t="shared" si="56"/>
        <v>205</v>
      </c>
      <c r="D1844" s="39" t="str">
        <f t="shared" si="57"/>
        <v>20508</v>
      </c>
      <c r="E1844" s="39">
        <f>IF(ISNA(VLOOKUP(F1844,'2020功能科目'!A:B,2,FALSE)),"",VLOOKUP(F1844,'2020功能科目'!A:B,2,FALSE))</f>
        <v>2050803</v>
      </c>
      <c r="F1844" s="25" t="s">
        <v>378</v>
      </c>
      <c r="G1844" s="26">
        <v>3438963.06</v>
      </c>
      <c r="H1844" s="26">
        <v>12968000</v>
      </c>
    </row>
    <row r="1845" spans="1:8">
      <c r="A1845" s="24">
        <v>255</v>
      </c>
      <c r="B1845" s="25" t="s">
        <v>1</v>
      </c>
      <c r="C1845" s="39" t="str">
        <f t="shared" si="56"/>
        <v>205</v>
      </c>
      <c r="D1845" s="39" t="str">
        <f t="shared" si="57"/>
        <v>20509</v>
      </c>
      <c r="E1845" s="39">
        <f>IF(ISNA(VLOOKUP(F1845,'2020功能科目'!A:B,2,FALSE)),"",VLOOKUP(F1845,'2020功能科目'!A:B,2,FALSE))</f>
        <v>2050903</v>
      </c>
      <c r="F1845" s="25" t="s">
        <v>379</v>
      </c>
      <c r="G1845" s="26">
        <v>91008405.890000001</v>
      </c>
      <c r="H1845" s="26">
        <v>118267736.87</v>
      </c>
    </row>
    <row r="1846" spans="1:8">
      <c r="A1846" s="24">
        <v>255</v>
      </c>
      <c r="B1846" s="25" t="s">
        <v>1</v>
      </c>
      <c r="C1846" s="39" t="str">
        <f t="shared" si="56"/>
        <v>205</v>
      </c>
      <c r="D1846" s="39" t="str">
        <f t="shared" si="57"/>
        <v>20509</v>
      </c>
      <c r="E1846" s="39">
        <f>IF(ISNA(VLOOKUP(F1846,'2020功能科目'!A:B,2,FALSE)),"",VLOOKUP(F1846,'2020功能科目'!A:B,2,FALSE))</f>
        <v>2050904</v>
      </c>
      <c r="F1846" s="25" t="s">
        <v>380</v>
      </c>
      <c r="G1846" s="26">
        <v>92547929.829999998</v>
      </c>
      <c r="H1846" s="26">
        <v>96266452.590000004</v>
      </c>
    </row>
    <row r="1847" spans="1:8">
      <c r="A1847" s="24">
        <v>255</v>
      </c>
      <c r="B1847" s="25" t="s">
        <v>1</v>
      </c>
      <c r="C1847" s="39" t="str">
        <f t="shared" si="56"/>
        <v>205</v>
      </c>
      <c r="D1847" s="39" t="str">
        <f t="shared" si="57"/>
        <v>20509</v>
      </c>
      <c r="E1847" s="39">
        <f>IF(ISNA(VLOOKUP(F1847,'2020功能科目'!A:B,2,FALSE)),"",VLOOKUP(F1847,'2020功能科目'!A:B,2,FALSE))</f>
        <v>2050905</v>
      </c>
      <c r="F1847" s="25" t="s">
        <v>393</v>
      </c>
      <c r="G1847" s="26">
        <v>6367512.1699999999</v>
      </c>
      <c r="H1847" s="26">
        <v>6516114.9100000001</v>
      </c>
    </row>
    <row r="1848" spans="1:8">
      <c r="A1848" s="24">
        <v>255</v>
      </c>
      <c r="B1848" s="25" t="s">
        <v>1</v>
      </c>
      <c r="C1848" s="39" t="str">
        <f t="shared" si="56"/>
        <v>205</v>
      </c>
      <c r="D1848" s="39" t="str">
        <f t="shared" si="57"/>
        <v>20509</v>
      </c>
      <c r="E1848" s="39">
        <f>IF(ISNA(VLOOKUP(F1848,'2020功能科目'!A:B,2,FALSE)),"",VLOOKUP(F1848,'2020功能科目'!A:B,2,FALSE))</f>
        <v>2050999</v>
      </c>
      <c r="F1848" s="25" t="s">
        <v>394</v>
      </c>
      <c r="G1848" s="26">
        <v>242131458.75</v>
      </c>
      <c r="H1848" s="26">
        <v>349439666.58999997</v>
      </c>
    </row>
    <row r="1849" spans="1:8">
      <c r="A1849" s="24">
        <v>255</v>
      </c>
      <c r="B1849" s="25" t="s">
        <v>1</v>
      </c>
      <c r="C1849" s="39" t="str">
        <f t="shared" si="56"/>
        <v>206</v>
      </c>
      <c r="D1849" s="39" t="str">
        <f t="shared" si="57"/>
        <v>20607</v>
      </c>
      <c r="E1849" s="39">
        <f>IF(ISNA(VLOOKUP(F1849,'2020功能科目'!A:B,2,FALSE)),"",VLOOKUP(F1849,'2020功能科目'!A:B,2,FALSE))</f>
        <v>2060702</v>
      </c>
      <c r="F1849" s="25" t="s">
        <v>398</v>
      </c>
      <c r="G1849" s="26">
        <v>269739.40000000002</v>
      </c>
      <c r="H1849" s="26">
        <v>0</v>
      </c>
    </row>
    <row r="1850" spans="1:8">
      <c r="A1850" s="24">
        <v>255</v>
      </c>
      <c r="B1850" s="25" t="s">
        <v>1</v>
      </c>
      <c r="C1850" s="39" t="str">
        <f t="shared" si="56"/>
        <v>208</v>
      </c>
      <c r="D1850" s="39" t="str">
        <f t="shared" si="57"/>
        <v>20805</v>
      </c>
      <c r="E1850" s="39">
        <f>IF(ISNA(VLOOKUP(F1850,'2020功能科目'!A:B,2,FALSE)),"",VLOOKUP(F1850,'2020功能科目'!A:B,2,FALSE))</f>
        <v>2080502</v>
      </c>
      <c r="F1850" s="25" t="s">
        <v>381</v>
      </c>
      <c r="G1850" s="26">
        <v>362044638.62</v>
      </c>
      <c r="H1850" s="26">
        <v>284548135.98000002</v>
      </c>
    </row>
    <row r="1851" spans="1:8">
      <c r="A1851" s="24">
        <v>255</v>
      </c>
      <c r="B1851" s="25" t="s">
        <v>1</v>
      </c>
      <c r="C1851" s="39" t="str">
        <f t="shared" si="56"/>
        <v>208</v>
      </c>
      <c r="D1851" s="39" t="str">
        <f t="shared" si="57"/>
        <v>20805</v>
      </c>
      <c r="E1851" s="39">
        <f>IF(ISNA(VLOOKUP(F1851,'2020功能科目'!A:B,2,FALSE)),"",VLOOKUP(F1851,'2020功能科目'!A:B,2,FALSE))</f>
        <v>2080505</v>
      </c>
      <c r="F1851" s="25" t="s">
        <v>382</v>
      </c>
      <c r="G1851" s="26">
        <v>387996346.94999999</v>
      </c>
      <c r="H1851" s="26">
        <v>401560380</v>
      </c>
    </row>
    <row r="1852" spans="1:8">
      <c r="A1852" s="24">
        <v>255</v>
      </c>
      <c r="B1852" s="25" t="s">
        <v>1</v>
      </c>
      <c r="C1852" s="39" t="str">
        <f t="shared" si="56"/>
        <v>208</v>
      </c>
      <c r="D1852" s="39" t="str">
        <f t="shared" si="57"/>
        <v>20805</v>
      </c>
      <c r="E1852" s="39">
        <f>IF(ISNA(VLOOKUP(F1852,'2020功能科目'!A:B,2,FALSE)),"",VLOOKUP(F1852,'2020功能科目'!A:B,2,FALSE))</f>
        <v>2080506</v>
      </c>
      <c r="F1852" s="25" t="s">
        <v>383</v>
      </c>
      <c r="G1852" s="26">
        <v>194366014.47</v>
      </c>
      <c r="H1852" s="26">
        <v>200754297.56999999</v>
      </c>
    </row>
    <row r="1853" spans="1:8">
      <c r="A1853" s="24">
        <v>255</v>
      </c>
      <c r="B1853" s="25" t="s">
        <v>1</v>
      </c>
      <c r="C1853" s="39" t="str">
        <f t="shared" si="56"/>
        <v>208</v>
      </c>
      <c r="D1853" s="39" t="str">
        <f t="shared" si="57"/>
        <v>20808</v>
      </c>
      <c r="E1853" s="39">
        <f>IF(ISNA(VLOOKUP(F1853,'2020功能科目'!A:B,2,FALSE)),"",VLOOKUP(F1853,'2020功能科目'!A:B,2,FALSE))</f>
        <v>2080801</v>
      </c>
      <c r="F1853" s="25" t="s">
        <v>384</v>
      </c>
      <c r="G1853" s="26">
        <v>2676946</v>
      </c>
      <c r="H1853" s="26">
        <v>0</v>
      </c>
    </row>
    <row r="1854" spans="1:8">
      <c r="A1854" s="24">
        <v>255</v>
      </c>
      <c r="B1854" s="25" t="s">
        <v>1</v>
      </c>
      <c r="C1854" s="39" t="str">
        <f t="shared" si="56"/>
        <v>210</v>
      </c>
      <c r="D1854" s="39" t="str">
        <f t="shared" si="57"/>
        <v>21011</v>
      </c>
      <c r="E1854" s="39">
        <f>IF(ISNA(VLOOKUP(F1854,'2020功能科目'!A:B,2,FALSE)),"",VLOOKUP(F1854,'2020功能科目'!A:B,2,FALSE))</f>
        <v>2101102</v>
      </c>
      <c r="F1854" s="25" t="s">
        <v>385</v>
      </c>
      <c r="G1854" s="26">
        <v>367936673.07999998</v>
      </c>
      <c r="H1854" s="26">
        <v>326225733.52999997</v>
      </c>
    </row>
    <row r="1855" spans="1:8">
      <c r="A1855" s="24">
        <v>255</v>
      </c>
      <c r="B1855" s="25" t="s">
        <v>1</v>
      </c>
      <c r="C1855" s="39" t="str">
        <f t="shared" si="56"/>
        <v>210</v>
      </c>
      <c r="D1855" s="39" t="str">
        <f t="shared" si="57"/>
        <v>21011</v>
      </c>
      <c r="E1855" s="39">
        <f>IF(ISNA(VLOOKUP(F1855,'2020功能科目'!A:B,2,FALSE)),"",VLOOKUP(F1855,'2020功能科目'!A:B,2,FALSE))</f>
        <v>2101199</v>
      </c>
      <c r="F1855" s="25" t="s">
        <v>386</v>
      </c>
      <c r="G1855" s="26">
        <v>24237953.800000001</v>
      </c>
      <c r="H1855" s="26">
        <v>27000000</v>
      </c>
    </row>
    <row r="1856" spans="1:8">
      <c r="A1856" s="24">
        <v>255</v>
      </c>
      <c r="B1856" s="25" t="s">
        <v>1</v>
      </c>
      <c r="C1856" s="39" t="str">
        <f t="shared" si="56"/>
        <v>212</v>
      </c>
      <c r="D1856" s="39" t="str">
        <f t="shared" si="57"/>
        <v>21203</v>
      </c>
      <c r="E1856" s="39">
        <f>IF(ISNA(VLOOKUP(F1856,'2020功能科目'!A:B,2,FALSE)),"",VLOOKUP(F1856,'2020功能科目'!A:B,2,FALSE))</f>
        <v>2120399</v>
      </c>
      <c r="F1856" s="25" t="s">
        <v>403</v>
      </c>
      <c r="G1856" s="26">
        <v>18777526.809999999</v>
      </c>
      <c r="H1856" s="26">
        <v>0</v>
      </c>
    </row>
    <row r="1857" spans="1:8">
      <c r="A1857" s="24">
        <v>255</v>
      </c>
      <c r="B1857" s="25" t="s">
        <v>1</v>
      </c>
      <c r="C1857" s="39" t="str">
        <f t="shared" si="56"/>
        <v>213</v>
      </c>
      <c r="D1857" s="39" t="str">
        <f t="shared" si="57"/>
        <v>21305</v>
      </c>
      <c r="E1857" s="39">
        <f>IF(ISNA(VLOOKUP(F1857,'2020功能科目'!A:B,2,FALSE)),"",VLOOKUP(F1857,'2020功能科目'!A:B,2,FALSE))</f>
        <v>2130506</v>
      </c>
      <c r="F1857" s="25" t="s">
        <v>400</v>
      </c>
      <c r="G1857" s="26">
        <v>75000</v>
      </c>
      <c r="H1857" s="26">
        <v>0</v>
      </c>
    </row>
    <row r="1858" spans="1:8">
      <c r="A1858" s="24">
        <v>255</v>
      </c>
      <c r="B1858" s="25" t="s">
        <v>1</v>
      </c>
      <c r="C1858" s="39" t="str">
        <f t="shared" si="56"/>
        <v>221</v>
      </c>
      <c r="D1858" s="39" t="str">
        <f t="shared" si="57"/>
        <v>22102</v>
      </c>
      <c r="E1858" s="39">
        <f>IF(ISNA(VLOOKUP(F1858,'2020功能科目'!A:B,2,FALSE)),"",VLOOKUP(F1858,'2020功能科目'!A:B,2,FALSE))</f>
        <v>2210201</v>
      </c>
      <c r="F1858" s="25" t="s">
        <v>387</v>
      </c>
      <c r="G1858" s="26">
        <v>436956012.05000001</v>
      </c>
      <c r="H1858" s="26">
        <v>400505846.37</v>
      </c>
    </row>
    <row r="1859" spans="1:8">
      <c r="A1859" s="24">
        <v>255</v>
      </c>
      <c r="B1859" s="25" t="s">
        <v>1</v>
      </c>
      <c r="C1859" s="39" t="str">
        <f t="shared" ref="C1859:C1860" si="58">LEFT(D1859,3)</f>
        <v>221</v>
      </c>
      <c r="D1859" s="39" t="str">
        <f t="shared" ref="D1859:D1860" si="59">LEFT(E1859,5)</f>
        <v>22102</v>
      </c>
      <c r="E1859" s="39">
        <f>IF(ISNA(VLOOKUP(F1859,'2020功能科目'!A:B,2,FALSE)),"",VLOOKUP(F1859,'2020功能科目'!A:B,2,FALSE))</f>
        <v>2210202</v>
      </c>
      <c r="F1859" s="25" t="s">
        <v>388</v>
      </c>
      <c r="G1859" s="26">
        <v>33931900.759999998</v>
      </c>
      <c r="H1859" s="26">
        <v>34380125.399999999</v>
      </c>
    </row>
    <row r="1860" spans="1:8">
      <c r="A1860" s="24">
        <v>255</v>
      </c>
      <c r="B1860" s="25" t="s">
        <v>1</v>
      </c>
      <c r="C1860" s="39" t="str">
        <f t="shared" si="58"/>
        <v>221</v>
      </c>
      <c r="D1860" s="39" t="str">
        <f t="shared" si="59"/>
        <v>22102</v>
      </c>
      <c r="E1860" s="39">
        <f>IF(ISNA(VLOOKUP(F1860,'2020功能科目'!A:B,2,FALSE)),"",VLOOKUP(F1860,'2020功能科目'!A:B,2,FALSE))</f>
        <v>2210203</v>
      </c>
      <c r="F1860" s="25" t="s">
        <v>389</v>
      </c>
      <c r="G1860" s="26">
        <v>416915501.76999998</v>
      </c>
      <c r="H1860" s="26">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25" defaultRowHeight="14.25"/>
  <cols>
    <col min="1" max="1" width="28.5" style="53" bestFit="1" customWidth="1"/>
    <col min="2" max="16384" width="8.625" style="53"/>
  </cols>
  <sheetData>
    <row r="1" spans="1:2">
      <c r="A1" s="52" t="s">
        <v>447</v>
      </c>
      <c r="B1" s="52" t="s">
        <v>448</v>
      </c>
    </row>
    <row r="2" spans="1:2">
      <c r="A2" s="54" t="s">
        <v>449</v>
      </c>
      <c r="B2" s="52">
        <v>2050101</v>
      </c>
    </row>
    <row r="3" spans="1:2">
      <c r="A3" s="54" t="s">
        <v>450</v>
      </c>
      <c r="B3" s="52">
        <v>2050102</v>
      </c>
    </row>
    <row r="4" spans="1:2">
      <c r="A4" s="54" t="s">
        <v>374</v>
      </c>
      <c r="B4" s="52">
        <v>2050201</v>
      </c>
    </row>
    <row r="5" spans="1:2">
      <c r="A5" s="54" t="s">
        <v>375</v>
      </c>
      <c r="B5" s="52">
        <v>2050202</v>
      </c>
    </row>
    <row r="6" spans="1:2">
      <c r="A6" s="54" t="s">
        <v>390</v>
      </c>
      <c r="B6" s="52">
        <v>2050203</v>
      </c>
    </row>
    <row r="7" spans="1:2">
      <c r="A7" s="54" t="s">
        <v>376</v>
      </c>
      <c r="B7" s="52">
        <v>2050204</v>
      </c>
    </row>
    <row r="8" spans="1:2">
      <c r="A8" s="54" t="s">
        <v>377</v>
      </c>
      <c r="B8" s="52">
        <v>2050299</v>
      </c>
    </row>
    <row r="9" spans="1:2">
      <c r="A9" s="54" t="s">
        <v>391</v>
      </c>
      <c r="B9" s="52">
        <v>2050302</v>
      </c>
    </row>
    <row r="10" spans="1:2">
      <c r="A10" s="54" t="s">
        <v>451</v>
      </c>
      <c r="B10" s="52">
        <v>2050304</v>
      </c>
    </row>
    <row r="11" spans="1:2">
      <c r="A11" s="54" t="s">
        <v>392</v>
      </c>
      <c r="B11" s="52">
        <v>2050399</v>
      </c>
    </row>
    <row r="12" spans="1:2">
      <c r="A12" s="54" t="s">
        <v>401</v>
      </c>
      <c r="B12" s="52">
        <v>2050403</v>
      </c>
    </row>
    <row r="13" spans="1:2">
      <c r="A13" s="54" t="s">
        <v>402</v>
      </c>
      <c r="B13" s="52">
        <v>2050404</v>
      </c>
    </row>
    <row r="14" spans="1:2">
      <c r="A14" s="54" t="s">
        <v>395</v>
      </c>
      <c r="B14" s="52">
        <v>2050701</v>
      </c>
    </row>
    <row r="15" spans="1:2">
      <c r="A15" s="54" t="s">
        <v>397</v>
      </c>
      <c r="B15" s="52">
        <v>2050702</v>
      </c>
    </row>
    <row r="16" spans="1:2">
      <c r="A16" s="54" t="s">
        <v>396</v>
      </c>
      <c r="B16" s="52">
        <v>2050799</v>
      </c>
    </row>
    <row r="17" spans="1:2">
      <c r="A17" s="54" t="s">
        <v>399</v>
      </c>
      <c r="B17" s="52">
        <v>2050801</v>
      </c>
    </row>
    <row r="18" spans="1:2">
      <c r="A18" s="54" t="s">
        <v>378</v>
      </c>
      <c r="B18" s="52">
        <v>2050803</v>
      </c>
    </row>
    <row r="19" spans="1:2">
      <c r="A19" s="54" t="s">
        <v>379</v>
      </c>
      <c r="B19" s="52">
        <v>2050903</v>
      </c>
    </row>
    <row r="20" spans="1:2">
      <c r="A20" s="54" t="s">
        <v>380</v>
      </c>
      <c r="B20" s="52">
        <v>2050904</v>
      </c>
    </row>
    <row r="21" spans="1:2">
      <c r="A21" s="54" t="s">
        <v>393</v>
      </c>
      <c r="B21" s="52">
        <v>2050905</v>
      </c>
    </row>
    <row r="22" spans="1:2">
      <c r="A22" s="54" t="s">
        <v>394</v>
      </c>
      <c r="B22" s="52">
        <v>2050999</v>
      </c>
    </row>
    <row r="23" spans="1:2">
      <c r="A23" s="54" t="s">
        <v>398</v>
      </c>
      <c r="B23" s="52">
        <v>2060702</v>
      </c>
    </row>
    <row r="24" spans="1:2">
      <c r="A24" s="54" t="s">
        <v>452</v>
      </c>
      <c r="B24" s="52">
        <v>2080501</v>
      </c>
    </row>
    <row r="25" spans="1:2">
      <c r="A25" s="54" t="s">
        <v>381</v>
      </c>
      <c r="B25" s="52">
        <v>2080502</v>
      </c>
    </row>
    <row r="26" spans="1:2">
      <c r="A26" s="54" t="s">
        <v>382</v>
      </c>
      <c r="B26" s="52">
        <v>2080505</v>
      </c>
    </row>
    <row r="27" spans="1:2">
      <c r="A27" s="54" t="s">
        <v>383</v>
      </c>
      <c r="B27" s="52">
        <v>2080506</v>
      </c>
    </row>
    <row r="28" spans="1:2">
      <c r="A28" s="54" t="s">
        <v>384</v>
      </c>
      <c r="B28" s="52">
        <v>2080801</v>
      </c>
    </row>
    <row r="29" spans="1:2">
      <c r="A29" s="54" t="s">
        <v>453</v>
      </c>
      <c r="B29" s="52">
        <v>2101101</v>
      </c>
    </row>
    <row r="30" spans="1:2">
      <c r="A30" s="54" t="s">
        <v>385</v>
      </c>
      <c r="B30" s="52">
        <v>2101102</v>
      </c>
    </row>
    <row r="31" spans="1:2">
      <c r="A31" s="54" t="s">
        <v>386</v>
      </c>
      <c r="B31" s="52">
        <v>2101199</v>
      </c>
    </row>
    <row r="32" spans="1:2">
      <c r="A32" s="54" t="s">
        <v>403</v>
      </c>
      <c r="B32" s="52">
        <v>2120399</v>
      </c>
    </row>
    <row r="33" spans="1:2">
      <c r="A33" s="54" t="s">
        <v>387</v>
      </c>
      <c r="B33" s="52">
        <v>2210201</v>
      </c>
    </row>
    <row r="34" spans="1:2">
      <c r="A34" s="54" t="s">
        <v>388</v>
      </c>
      <c r="B34" s="52">
        <v>2210202</v>
      </c>
    </row>
    <row r="35" spans="1:2">
      <c r="A35" s="54" t="s">
        <v>389</v>
      </c>
      <c r="B35" s="52">
        <v>2210203</v>
      </c>
    </row>
    <row r="36" spans="1:2">
      <c r="A36" s="54" t="s">
        <v>454</v>
      </c>
      <c r="B36" s="52">
        <v>2296003</v>
      </c>
    </row>
    <row r="37" spans="1:2">
      <c r="A37" s="54" t="s">
        <v>455</v>
      </c>
      <c r="B37" s="52">
        <v>2340201</v>
      </c>
    </row>
    <row r="38" spans="1:2">
      <c r="A38" s="54" t="s">
        <v>400</v>
      </c>
      <c r="B38" s="52">
        <v>2130506</v>
      </c>
    </row>
    <row r="39" spans="1:2">
      <c r="A39" s="54"/>
      <c r="B39" s="52"/>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zoomScale="90" zoomScaleNormal="90" workbookViewId="0">
      <selection activeCell="E10" sqref="E10"/>
    </sheetView>
  </sheetViews>
  <sheetFormatPr defaultRowHeight="18"/>
  <cols>
    <col min="3" max="3" width="8.875" style="3"/>
  </cols>
  <sheetData>
    <row r="1" spans="1:14" ht="48.6" customHeight="1">
      <c r="A1" s="59" t="s">
        <v>178</v>
      </c>
      <c r="B1" s="59"/>
      <c r="C1" s="59"/>
      <c r="D1" s="59"/>
      <c r="E1" s="59"/>
      <c r="F1" s="59"/>
      <c r="G1" s="59"/>
      <c r="H1" s="59"/>
      <c r="I1" s="59"/>
      <c r="J1" s="59"/>
      <c r="K1" s="59"/>
      <c r="L1" s="59"/>
      <c r="M1" s="59"/>
      <c r="N1" s="59"/>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L29" sqref="L29"/>
    </sheetView>
  </sheetViews>
  <sheetFormatPr defaultRowHeight="14.25"/>
  <sheetData>
    <row r="10" spans="1:14" ht="54.6" customHeight="1">
      <c r="A10" s="60" t="s">
        <v>179</v>
      </c>
      <c r="B10" s="60"/>
      <c r="C10" s="60"/>
      <c r="D10" s="60"/>
      <c r="E10" s="60"/>
      <c r="F10" s="60"/>
      <c r="G10" s="60"/>
      <c r="H10" s="60"/>
      <c r="I10" s="60"/>
      <c r="J10" s="60"/>
      <c r="K10" s="60"/>
      <c r="L10" s="60"/>
      <c r="M10" s="60"/>
      <c r="N10" s="60"/>
    </row>
    <row r="11" spans="1:14" ht="78" customHeight="1">
      <c r="A11" s="61" t="s">
        <v>461</v>
      </c>
      <c r="B11" s="61"/>
      <c r="C11" s="61"/>
      <c r="D11" s="61"/>
      <c r="E11" s="61"/>
      <c r="F11" s="61"/>
      <c r="G11" s="61"/>
      <c r="H11" s="61"/>
      <c r="I11" s="61"/>
      <c r="J11" s="61"/>
      <c r="K11" s="61"/>
      <c r="L11" s="61"/>
      <c r="M11" s="61"/>
      <c r="N11" s="61"/>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8"/>
  <sheetViews>
    <sheetView topLeftCell="A46" zoomScaleNormal="100" workbookViewId="0">
      <selection activeCell="N46" sqref="N46"/>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60" t="s">
        <v>180</v>
      </c>
      <c r="B1" s="60"/>
      <c r="C1" s="60"/>
      <c r="D1" s="60"/>
      <c r="E1" s="60"/>
      <c r="F1" s="60"/>
      <c r="G1" s="60"/>
      <c r="H1" s="60"/>
      <c r="I1" s="60"/>
      <c r="J1" s="60"/>
      <c r="K1" s="60"/>
      <c r="L1" s="60"/>
      <c r="M1" s="60"/>
      <c r="N1" s="57"/>
    </row>
    <row r="2" spans="1:14" ht="18" customHeight="1">
      <c r="A2" s="6" t="s">
        <v>181</v>
      </c>
    </row>
    <row r="3" spans="1:14" ht="18" customHeight="1">
      <c r="A3" s="7" t="s">
        <v>182</v>
      </c>
    </row>
    <row r="4" spans="1:14" ht="177.75" customHeight="1">
      <c r="A4" s="63" t="s">
        <v>474</v>
      </c>
      <c r="B4" s="63"/>
      <c r="C4" s="63"/>
      <c r="D4" s="63"/>
      <c r="E4" s="63"/>
      <c r="F4" s="63"/>
      <c r="G4" s="63"/>
      <c r="H4" s="63"/>
      <c r="I4" s="63"/>
      <c r="J4" s="63"/>
      <c r="K4" s="63"/>
      <c r="L4" s="63"/>
      <c r="M4" s="63"/>
      <c r="N4" s="19"/>
    </row>
    <row r="5" spans="1:14" ht="18" customHeight="1">
      <c r="A5" s="7" t="s">
        <v>183</v>
      </c>
    </row>
    <row r="6" spans="1:14" ht="18" customHeight="1">
      <c r="A6" s="67" t="s">
        <v>290</v>
      </c>
      <c r="B6" s="67"/>
      <c r="C6" s="10">
        <v>545</v>
      </c>
      <c r="D6" s="10" t="s">
        <v>292</v>
      </c>
      <c r="E6" s="8">
        <f>_xlfn.IFNA(VLOOKUP(封面!B1,'2020决算导出'!A:C,3,FALSE),"")</f>
        <v>532</v>
      </c>
      <c r="F6" s="10" t="s">
        <v>293</v>
      </c>
      <c r="G6" s="10"/>
      <c r="H6" s="10"/>
      <c r="I6" s="10"/>
      <c r="J6" s="10"/>
      <c r="K6" s="10"/>
      <c r="L6" s="10"/>
      <c r="M6" s="10"/>
      <c r="N6" s="10"/>
    </row>
    <row r="7" spans="1:14" ht="18" customHeight="1">
      <c r="A7" s="6" t="s">
        <v>184</v>
      </c>
    </row>
    <row r="8" spans="1:14" ht="18" customHeight="1">
      <c r="A8" s="67" t="s">
        <v>185</v>
      </c>
      <c r="B8" s="67"/>
      <c r="C8" s="67"/>
      <c r="D8" s="14">
        <f>_xlfn.IFNA(VLOOKUP(封面!B1,'2020决算导出'!A:D,4,FALSE),"")</f>
        <v>296650767.64999998</v>
      </c>
      <c r="E8" s="7" t="s">
        <v>187</v>
      </c>
      <c r="F8" s="20" t="s">
        <v>294</v>
      </c>
      <c r="G8" s="30" t="str">
        <f>IF(ISNA(VLOOKUP(封面!B1,'2019决算导出'!A:C,3,FALSE)),"",IF(D8-VLOOKUP(封面!B1,'2019决算导出'!A:C,3,FALSE)&gt;0,"增加","减少"))</f>
        <v>增加</v>
      </c>
      <c r="H8" s="33">
        <f>IF(ISNA(VLOOKUP(封面!B1,'2019决算导出'!A:C,3,FALSE)),"",IF(D8-VLOOKUP(封面!B1,'2019决算导出'!A:C,3,FALSE)&gt;0,D8-VLOOKUP(封面!B1,'2019决算导出'!A:C,3,FALSE),VLOOKUP(封面!B1,'2019决算导出'!A:C,3,FALSE)-D8))</f>
        <v>6435976.9199999571</v>
      </c>
      <c r="I8" s="16" t="s">
        <v>187</v>
      </c>
      <c r="J8" s="30" t="str">
        <f>IF(ISNA(VLOOKUP(封面!B1,'2019决算导出'!A:C,3,FALSE)),"",IF(D8-VLOOKUP(封面!B1,'2019决算导出'!A:C,3,FALSE)&gt;0,"增长","下降"))</f>
        <v>增长</v>
      </c>
      <c r="K8" s="31">
        <f>IF(ISNA(VLOOKUP(封面!B1,'2019决算导出'!A:C,3,FALSE)),"",H8/VLOOKUP(封面!B1,'2019决算导出'!A:C,3,FALSE))</f>
        <v>2.2176598593789929E-2</v>
      </c>
      <c r="L8" s="7" t="s">
        <v>358</v>
      </c>
    </row>
    <row r="9" spans="1:14" ht="18" customHeight="1">
      <c r="A9" s="7" t="s">
        <v>188</v>
      </c>
      <c r="G9" s="32"/>
      <c r="H9" s="32"/>
      <c r="I9" s="32"/>
      <c r="J9" s="32"/>
      <c r="K9" s="32"/>
    </row>
    <row r="10" spans="1:14" ht="18" customHeight="1">
      <c r="A10" s="67" t="s">
        <v>189</v>
      </c>
      <c r="B10" s="67"/>
      <c r="C10" s="67"/>
      <c r="D10" s="14">
        <f>_xlfn.IFNA(VLOOKUP(封面!B1,'2020决算导出'!A:E,5,FALSE),"")</f>
        <v>293921214.08999997</v>
      </c>
      <c r="E10" s="7" t="s">
        <v>187</v>
      </c>
      <c r="F10" s="20" t="s">
        <v>294</v>
      </c>
      <c r="G10" s="30" t="str">
        <f>IF(ISNA(VLOOKUP(封面!B1,'2019决算导出'!A:D,4,FALSE)),"",IF(D10-VLOOKUP(封面!B1,'2019决算导出'!A:D,4,FALSE)&gt;0,"增加","减少"))</f>
        <v>增加</v>
      </c>
      <c r="H10" s="33">
        <f>IF(ISNA(VLOOKUP(封面!B1,'2019决算导出'!A:D,4,FALSE)),"",IF(D10-VLOOKUP(封面!B1,'2019决算导出'!A:D,4,FALSE)&gt;0,D10-VLOOKUP(封面!B1,'2019决算导出'!A:D,4,FALSE),VLOOKUP(封面!B1,'2019决算导出'!A:D,4,FALSE)-D10))</f>
        <v>5458093.7899999619</v>
      </c>
      <c r="I10" s="16" t="s">
        <v>187</v>
      </c>
      <c r="J10" s="30" t="str">
        <f>IF(ISNA(VLOOKUP(封面!B1,'2019决算导出'!A:D,4,FALSE)),"",IF(D10-VLOOKUP(封面!B1,'2019决算导出'!A:D,4,FALSE)&gt;0,"增长","下降"))</f>
        <v>增长</v>
      </c>
      <c r="K10" s="31">
        <f>IF(ISNA(VLOOKUP(封面!B1,'2019决算导出'!A:D,4,FALSE)),"",H10/VLOOKUP(封面!B1,'2019决算导出'!A:D,4,FALSE))</f>
        <v>1.8921288046539798E-2</v>
      </c>
      <c r="L10" s="7" t="s">
        <v>359</v>
      </c>
    </row>
    <row r="11" spans="1:14" ht="18" customHeight="1">
      <c r="A11" s="67" t="s">
        <v>190</v>
      </c>
      <c r="B11" s="67"/>
      <c r="C11" s="67"/>
      <c r="D11" s="14">
        <f>_xlfn.IFNA(VLOOKUP(封面!B1,'2020决算导出'!A:F,6,FALSE),"")</f>
        <v>269907913.35000002</v>
      </c>
      <c r="E11" s="7" t="s">
        <v>187</v>
      </c>
      <c r="F11" s="67" t="s">
        <v>191</v>
      </c>
      <c r="G11" s="67"/>
      <c r="H11" s="29">
        <f>D11/$D$10</f>
        <v>0.91830021247582705</v>
      </c>
      <c r="I11" s="7" t="s">
        <v>360</v>
      </c>
    </row>
    <row r="12" spans="1:14" ht="18" customHeight="1">
      <c r="A12" s="67" t="s">
        <v>193</v>
      </c>
      <c r="B12" s="67"/>
      <c r="C12" s="67"/>
      <c r="D12" s="14">
        <f>_xlfn.IFNA(VLOOKUP(封面!B1,'2020决算导出'!A:G,7,FALSE),"")</f>
        <v>2131080</v>
      </c>
      <c r="E12" s="7" t="s">
        <v>187</v>
      </c>
      <c r="F12" s="67" t="s">
        <v>191</v>
      </c>
      <c r="G12" s="67"/>
      <c r="H12" s="29">
        <f t="shared" ref="H12:H15" si="0">D12/$D$10</f>
        <v>7.2505144162457562E-3</v>
      </c>
      <c r="I12" s="7" t="s">
        <v>360</v>
      </c>
    </row>
    <row r="13" spans="1:14" ht="18" customHeight="1">
      <c r="A13" s="67" t="s">
        <v>194</v>
      </c>
      <c r="B13" s="67"/>
      <c r="C13" s="67"/>
      <c r="D13" s="14">
        <f>_xlfn.IFNA(VLOOKUP(封面!B1,'2020决算导出'!A:H,8,FALSE),"")</f>
        <v>12127500</v>
      </c>
      <c r="E13" s="7" t="s">
        <v>187</v>
      </c>
      <c r="F13" s="67" t="s">
        <v>191</v>
      </c>
      <c r="G13" s="67"/>
      <c r="H13" s="29">
        <f t="shared" si="0"/>
        <v>4.1261057108611783E-2</v>
      </c>
      <c r="I13" s="7" t="s">
        <v>360</v>
      </c>
    </row>
    <row r="14" spans="1:14" ht="18" customHeight="1">
      <c r="A14" s="67" t="s">
        <v>195</v>
      </c>
      <c r="B14" s="67"/>
      <c r="C14" s="67"/>
      <c r="D14" s="14">
        <f>_xlfn.IFNA(VLOOKUP(封面!B1,'2020决算导出'!A:I,9,FALSE),"")</f>
        <v>4600000</v>
      </c>
      <c r="E14" s="7" t="s">
        <v>187</v>
      </c>
      <c r="F14" s="67" t="s">
        <v>191</v>
      </c>
      <c r="G14" s="67"/>
      <c r="H14" s="29">
        <f t="shared" si="0"/>
        <v>1.5650452500483546E-2</v>
      </c>
      <c r="I14" s="7" t="s">
        <v>360</v>
      </c>
    </row>
    <row r="15" spans="1:14" ht="18" customHeight="1">
      <c r="A15" s="67" t="s">
        <v>196</v>
      </c>
      <c r="B15" s="67"/>
      <c r="C15" s="67"/>
      <c r="D15" s="14">
        <f>_xlfn.IFNA(VLOOKUP(封面!B1,'2020决算导出'!A:J,10,FALSE),"")</f>
        <v>5154720.74</v>
      </c>
      <c r="E15" s="7" t="s">
        <v>187</v>
      </c>
      <c r="F15" s="67" t="s">
        <v>191</v>
      </c>
      <c r="G15" s="67"/>
      <c r="H15" s="29">
        <f t="shared" si="0"/>
        <v>1.7537763498832043E-2</v>
      </c>
      <c r="I15" s="7" t="s">
        <v>361</v>
      </c>
    </row>
    <row r="16" spans="1:14" ht="18" customHeight="1">
      <c r="A16" s="7" t="s">
        <v>197</v>
      </c>
    </row>
    <row r="17" spans="1:13" ht="18" customHeight="1">
      <c r="A17" s="67" t="s">
        <v>198</v>
      </c>
      <c r="B17" s="67"/>
      <c r="C17" s="67"/>
      <c r="D17" s="14">
        <f>_xlfn.IFNA(VLOOKUP(封面!B1,'2020决算导出'!A:K,11,FALSE),"")</f>
        <v>292422319.79000002</v>
      </c>
      <c r="E17" s="7" t="s">
        <v>187</v>
      </c>
      <c r="F17" s="20" t="s">
        <v>294</v>
      </c>
      <c r="G17" s="30" t="str">
        <f>IF(ISNA(VLOOKUP(封面!B1,'2019决算导出'!A:E,5,FALSE)),"",IF(D17-VLOOKUP(封面!B1,'2019决算导出'!A:E,5,FALSE)&gt;0,"增加","减少"))</f>
        <v>增加</v>
      </c>
      <c r="H17" s="33">
        <f>IF(ISNA(VLOOKUP(封面!B1,'2019决算导出'!A:E,5,FALSE)),"",IF(D17-VLOOKUP(封面!B1,'2019决算导出'!A:E,5,FALSE)&gt;0,D17-VLOOKUP(封面!B1,'2019决算导出'!A:E,5,FALSE),VLOOKUP(封面!B1,'2019决算导出'!A:E,5,FALSE)-D17))</f>
        <v>5123068.8600000143</v>
      </c>
      <c r="I17" s="7" t="s">
        <v>187</v>
      </c>
      <c r="J17" s="30" t="str">
        <f>IF(ISNA(VLOOKUP(封面!B1,'2019决算导出'!A:E,5,FALSE)),"",IF(D17-VLOOKUP(封面!B1,'2019决算导出'!A:E,5,FALSE)&gt;0,"增长","下降"))</f>
        <v>增长</v>
      </c>
      <c r="K17" s="31">
        <f>IF(ISNA(VLOOKUP(封面!B1,'2019决算导出'!A:E,5,FALSE)),"",H17/VLOOKUP(封面!B1,'2019决算导出'!A:E,5,FALSE))</f>
        <v>1.7831821153088359E-2</v>
      </c>
      <c r="L17" s="7" t="s">
        <v>362</v>
      </c>
    </row>
    <row r="18" spans="1:13" ht="18" customHeight="1">
      <c r="A18" s="67" t="s">
        <v>199</v>
      </c>
      <c r="B18" s="67"/>
      <c r="C18" s="67"/>
      <c r="D18" s="14">
        <f>_xlfn.IFNA(VLOOKUP(封面!B1,'2020决算导出'!A:L,12,FALSE),"")</f>
        <v>242798956.75</v>
      </c>
      <c r="E18" s="7" t="s">
        <v>187</v>
      </c>
      <c r="F18" s="67" t="s">
        <v>200</v>
      </c>
      <c r="G18" s="67"/>
      <c r="H18" s="29">
        <f>D18/$D$17</f>
        <v>0.83030240962578883</v>
      </c>
      <c r="I18" s="7" t="s">
        <v>360</v>
      </c>
    </row>
    <row r="19" spans="1:13" ht="18" customHeight="1">
      <c r="A19" s="67" t="s">
        <v>201</v>
      </c>
      <c r="B19" s="67"/>
      <c r="C19" s="67"/>
      <c r="D19" s="14">
        <f>_xlfn.IFNA(VLOOKUP(封面!B1,'2020决算导出'!A:M,13,FALSE),"")</f>
        <v>38478626.079999998</v>
      </c>
      <c r="E19" s="7" t="s">
        <v>187</v>
      </c>
      <c r="F19" s="67" t="s">
        <v>200</v>
      </c>
      <c r="G19" s="67"/>
      <c r="H19" s="29">
        <f t="shared" ref="H19:H20" si="1">D19/$D$17</f>
        <v>0.13158580407826945</v>
      </c>
      <c r="I19" s="7" t="s">
        <v>360</v>
      </c>
    </row>
    <row r="20" spans="1:13" ht="18" customHeight="1">
      <c r="A20" s="67" t="s">
        <v>202</v>
      </c>
      <c r="B20" s="67"/>
      <c r="C20" s="67"/>
      <c r="D20" s="14">
        <f>_xlfn.IFNA(VLOOKUP(封面!B1,'2020决算导出'!A:N,14,FALSE),"")</f>
        <v>11144736.960000001</v>
      </c>
      <c r="E20" s="7" t="s">
        <v>187</v>
      </c>
      <c r="F20" s="67" t="s">
        <v>200</v>
      </c>
      <c r="G20" s="67"/>
      <c r="H20" s="29">
        <f t="shared" si="1"/>
        <v>3.8111786295941689E-2</v>
      </c>
      <c r="I20" s="7" t="s">
        <v>361</v>
      </c>
    </row>
    <row r="21" spans="1:13" ht="18" customHeight="1">
      <c r="A21" s="6" t="s">
        <v>203</v>
      </c>
    </row>
    <row r="22" spans="1:13" ht="18" customHeight="1">
      <c r="A22" s="67" t="s">
        <v>204</v>
      </c>
      <c r="B22" s="67"/>
      <c r="C22" s="67"/>
      <c r="D22" s="67"/>
      <c r="E22" s="62">
        <f>_xlfn.IFNA(VLOOKUP(封面!B1,'2020决算导出'!A:O,15,FALSE),"")</f>
        <v>272637466.91000003</v>
      </c>
      <c r="F22" s="62"/>
      <c r="G22" s="15" t="s">
        <v>294</v>
      </c>
      <c r="H22" s="30" t="str">
        <f>IF(ISNA(VLOOKUP(封面!B1,'2019决算导出'!A:F,6,FALSE)),"",IF(E22-VLOOKUP(封面!B1,'2019决算导出'!A:F,6,FALSE)&gt;0,"增加","减少"))</f>
        <v>增加</v>
      </c>
      <c r="I22" s="33">
        <f>IF(ISNA(VLOOKUP(封面!B1,'2019决算导出'!A:F,6,FALSE)),"",IF(E22-VLOOKUP(封面!B1,'2019决算导出'!A:F,6,FALSE)&gt;0,E22-VLOOKUP(封面!B1,'2019决算导出'!A:F,6,FALSE),VLOOKUP(封面!B1,'2019决算导出'!A:F,6,FALSE)-E22))</f>
        <v>2173987.8000000119</v>
      </c>
      <c r="J22" s="7" t="s">
        <v>187</v>
      </c>
      <c r="K22" s="30" t="str">
        <f>IF(ISNA(VLOOKUP(封面!B1,'2019决算导出'!A:F,6,FALSE)),"",IF(E22-VLOOKUP(封面!B1,'2019决算导出'!A:F,6,FALSE)&gt;0,"增长","下降"))</f>
        <v>增长</v>
      </c>
      <c r="L22" s="31">
        <f>IF(ISNA(VLOOKUP(封面!B1,'2019决算导出'!A:F,6,FALSE)),"",I22/VLOOKUP(封面!B1,'2019决算导出'!A:F,6,FALSE))</f>
        <v>8.0380087069568118E-3</v>
      </c>
      <c r="M22" s="7" t="s">
        <v>358</v>
      </c>
    </row>
    <row r="23" spans="1:13" ht="44.25" customHeight="1">
      <c r="B23" s="70" t="s">
        <v>470</v>
      </c>
      <c r="C23" s="70"/>
      <c r="D23" s="70"/>
      <c r="E23" s="70"/>
      <c r="F23" s="70"/>
      <c r="G23" s="70"/>
      <c r="H23" s="70"/>
      <c r="I23" s="70"/>
      <c r="J23" s="70"/>
      <c r="K23" s="70"/>
      <c r="L23" s="70"/>
      <c r="M23" s="70"/>
    </row>
    <row r="24" spans="1:13" ht="18" customHeight="1">
      <c r="A24" s="6" t="s">
        <v>205</v>
      </c>
    </row>
    <row r="25" spans="1:13" ht="18" customHeight="1">
      <c r="A25" s="7" t="s">
        <v>206</v>
      </c>
    </row>
    <row r="26" spans="1:13" ht="18" customHeight="1">
      <c r="A26" s="67" t="s">
        <v>207</v>
      </c>
      <c r="B26" s="67"/>
      <c r="C26" s="67"/>
      <c r="D26" s="67"/>
      <c r="E26" s="67"/>
      <c r="F26" s="62">
        <f>_xlfn.IFNA(VLOOKUP(封面!B1,'2020决算导出'!A:P,16,FALSE),"")</f>
        <v>271837466.91000003</v>
      </c>
      <c r="G26" s="62"/>
      <c r="H26" s="7" t="s">
        <v>187</v>
      </c>
      <c r="I26" s="10" t="s">
        <v>208</v>
      </c>
      <c r="J26" s="10"/>
      <c r="K26" s="10"/>
      <c r="L26" s="10"/>
      <c r="M26" s="10"/>
    </row>
    <row r="27" spans="1:13" ht="18" customHeight="1">
      <c r="A27" s="67" t="s">
        <v>211</v>
      </c>
      <c r="B27" s="67"/>
      <c r="C27" s="67"/>
      <c r="D27" s="62">
        <f>_xlfn.IFNA(VLOOKUP(封面!B1,'2020决算导出'!A:Q,17,FALSE),"")</f>
        <v>196739181.53999999</v>
      </c>
      <c r="E27" s="62"/>
      <c r="F27" s="7" t="s">
        <v>187</v>
      </c>
      <c r="G27" s="65" t="s">
        <v>210</v>
      </c>
      <c r="H27" s="65"/>
      <c r="I27" s="29">
        <f>D27/$F$26</f>
        <v>0.72373828293925513</v>
      </c>
      <c r="J27" s="7" t="s">
        <v>360</v>
      </c>
      <c r="K27" s="9"/>
      <c r="L27" s="9"/>
      <c r="M27" s="9"/>
    </row>
    <row r="28" spans="1:13" ht="18" customHeight="1">
      <c r="A28" s="67" t="s">
        <v>212</v>
      </c>
      <c r="B28" s="67"/>
      <c r="C28" s="67"/>
      <c r="D28" s="62">
        <f>_xlfn.IFNA(VLOOKUP(封面!B1,'2020决算导出'!A:R,18,FALSE),"")</f>
        <v>0</v>
      </c>
      <c r="E28" s="62"/>
      <c r="F28" s="7" t="s">
        <v>187</v>
      </c>
      <c r="G28" s="65" t="s">
        <v>210</v>
      </c>
      <c r="H28" s="65"/>
      <c r="I28" s="29">
        <f t="shared" ref="I28:I33" si="2">D28/$F$26</f>
        <v>0</v>
      </c>
      <c r="J28" s="7" t="s">
        <v>360</v>
      </c>
      <c r="K28" s="9"/>
      <c r="L28" s="9"/>
      <c r="M28" s="9"/>
    </row>
    <row r="29" spans="1:13" ht="18" customHeight="1">
      <c r="A29" s="67" t="s">
        <v>209</v>
      </c>
      <c r="B29" s="67"/>
      <c r="C29" s="67"/>
      <c r="D29" s="62">
        <f>_xlfn.IFNA(VLOOKUP(封面!B1,'2020决算导出'!A:S,19,FALSE),"")</f>
        <v>32060878</v>
      </c>
      <c r="E29" s="62"/>
      <c r="F29" s="7" t="s">
        <v>187</v>
      </c>
      <c r="G29" s="65" t="s">
        <v>210</v>
      </c>
      <c r="H29" s="65"/>
      <c r="I29" s="29">
        <f t="shared" si="2"/>
        <v>0.11794135063293067</v>
      </c>
      <c r="J29" s="7" t="s">
        <v>360</v>
      </c>
    </row>
    <row r="30" spans="1:13" ht="18" customHeight="1">
      <c r="A30" s="67" t="s">
        <v>213</v>
      </c>
      <c r="B30" s="67"/>
      <c r="C30" s="67"/>
      <c r="D30" s="62">
        <f>_xlfn.IFNA(VLOOKUP(封面!B1,'2020决算导出'!A:T,20,FALSE),"")</f>
        <v>14468582.369999999</v>
      </c>
      <c r="E30" s="62"/>
      <c r="F30" s="7" t="s">
        <v>187</v>
      </c>
      <c r="G30" s="65" t="s">
        <v>210</v>
      </c>
      <c r="H30" s="65"/>
      <c r="I30" s="29">
        <f t="shared" si="2"/>
        <v>5.3225122108683638E-2</v>
      </c>
      <c r="J30" s="7" t="s">
        <v>360</v>
      </c>
    </row>
    <row r="31" spans="1:13" ht="18" customHeight="1">
      <c r="A31" s="67" t="s">
        <v>214</v>
      </c>
      <c r="B31" s="67"/>
      <c r="C31" s="67"/>
      <c r="D31" s="62">
        <f>_xlfn.IFNA(VLOOKUP(封面!B1,'2020决算导出'!A:U,21,FALSE),"")</f>
        <v>0</v>
      </c>
      <c r="E31" s="62"/>
      <c r="F31" s="7" t="s">
        <v>187</v>
      </c>
      <c r="G31" s="65" t="s">
        <v>210</v>
      </c>
      <c r="H31" s="65"/>
      <c r="I31" s="29">
        <f t="shared" si="2"/>
        <v>0</v>
      </c>
      <c r="J31" s="7" t="s">
        <v>360</v>
      </c>
    </row>
    <row r="32" spans="1:13" ht="18" customHeight="1">
      <c r="A32" s="67" t="s">
        <v>215</v>
      </c>
      <c r="B32" s="67"/>
      <c r="C32" s="67"/>
      <c r="D32" s="62">
        <f>_xlfn.IFNA(VLOOKUP(封面!B1,'2020决算导出'!A:V,22,FALSE),"")</f>
        <v>0</v>
      </c>
      <c r="E32" s="62"/>
      <c r="F32" s="7" t="s">
        <v>187</v>
      </c>
      <c r="G32" s="65" t="s">
        <v>210</v>
      </c>
      <c r="H32" s="65"/>
      <c r="I32" s="29">
        <f t="shared" si="2"/>
        <v>0</v>
      </c>
      <c r="J32" s="7" t="s">
        <v>360</v>
      </c>
    </row>
    <row r="33" spans="1:12" ht="18" customHeight="1">
      <c r="A33" s="67" t="s">
        <v>216</v>
      </c>
      <c r="B33" s="67"/>
      <c r="C33" s="67"/>
      <c r="D33" s="62">
        <f>_xlfn.IFNA(VLOOKUP(封面!B1,'2020决算导出'!A:W,23,FALSE),"")</f>
        <v>28568825</v>
      </c>
      <c r="E33" s="62"/>
      <c r="F33" s="7" t="s">
        <v>187</v>
      </c>
      <c r="G33" s="65" t="s">
        <v>210</v>
      </c>
      <c r="H33" s="65"/>
      <c r="I33" s="29">
        <f t="shared" si="2"/>
        <v>0.10509524431913048</v>
      </c>
      <c r="J33" s="7" t="s">
        <v>361</v>
      </c>
    </row>
    <row r="34" spans="1:12" ht="18" customHeight="1">
      <c r="A34" s="7" t="s">
        <v>217</v>
      </c>
    </row>
    <row r="35" spans="1:12" ht="18" customHeight="1">
      <c r="A35" s="64" t="s">
        <v>463</v>
      </c>
      <c r="B35" s="64"/>
      <c r="C35" s="64"/>
      <c r="D35" s="64"/>
      <c r="E35" s="62">
        <f>_xlfn.IFNA(VLOOKUP(封面!B1,一般公共预算财政拨款支出决算具体情况!A:C,3,FALSE),"")</f>
        <v>196739181.53999999</v>
      </c>
      <c r="F35" s="62"/>
      <c r="G35" s="7" t="s">
        <v>187</v>
      </c>
      <c r="H35" s="65" t="s">
        <v>218</v>
      </c>
      <c r="I35" s="65"/>
      <c r="J35" s="62">
        <f>_xlfn.IFNA(VLOOKUP(封面!B1,一般公共预算财政拨款支出决算具体情况!A:D,4,FALSE),"")</f>
        <v>157080983.69999999</v>
      </c>
      <c r="K35" s="62"/>
      <c r="L35" s="11" t="s">
        <v>186</v>
      </c>
    </row>
    <row r="36" spans="1:12" ht="18" customHeight="1">
      <c r="B36" s="15" t="str">
        <f>IF(E35&gt;J35,"增加","减少")</f>
        <v>增加</v>
      </c>
      <c r="C36" s="62">
        <f>ABS(E35-J35)</f>
        <v>39658197.840000004</v>
      </c>
      <c r="D36" s="62"/>
      <c r="E36" s="7" t="s">
        <v>187</v>
      </c>
      <c r="F36" s="15" t="str">
        <f>IF(E35&gt;J35,"增长","下降")</f>
        <v>增长</v>
      </c>
      <c r="G36" s="34">
        <f>C36/J35</f>
        <v>0.25246975735612232</v>
      </c>
      <c r="H36" s="7" t="s">
        <v>361</v>
      </c>
      <c r="I36" s="11" t="s">
        <v>219</v>
      </c>
    </row>
    <row r="37" spans="1:12" ht="18" customHeight="1">
      <c r="A37" s="67" t="s">
        <v>220</v>
      </c>
      <c r="B37" s="67"/>
      <c r="C37" s="67"/>
      <c r="D37" s="67"/>
      <c r="E37" s="62">
        <f>_xlfn.IFNA(VLOOKUP(封面!B1,一般公共预算财政拨款支出决算具体情况!A:E,5,FALSE),"")</f>
        <v>193820791.53999999</v>
      </c>
      <c r="F37" s="62"/>
      <c r="G37" s="7" t="s">
        <v>187</v>
      </c>
      <c r="H37" s="65" t="s">
        <v>218</v>
      </c>
      <c r="I37" s="65"/>
      <c r="J37" s="62">
        <f>_xlfn.IFNA(VLOOKUP(封面!B1,一般公共预算财政拨款支出决算具体情况!A:F,6,FALSE),"")</f>
        <v>152821728.69999999</v>
      </c>
      <c r="K37" s="62"/>
      <c r="L37" s="11" t="s">
        <v>186</v>
      </c>
    </row>
    <row r="38" spans="1:12" ht="18" customHeight="1">
      <c r="A38" s="15"/>
      <c r="B38" s="15" t="str">
        <f>IF(E37&gt;J37,"增加","减少")</f>
        <v>增加</v>
      </c>
      <c r="C38" s="62">
        <f>ABS(E37-J37)</f>
        <v>40999062.840000004</v>
      </c>
      <c r="D38" s="62"/>
      <c r="E38" s="7" t="s">
        <v>187</v>
      </c>
      <c r="F38" s="15" t="str">
        <f>IF(E37&gt;J37,"增长","下降")</f>
        <v>增长</v>
      </c>
      <c r="G38" s="34">
        <f>C38/J37</f>
        <v>0.26828032367363219</v>
      </c>
      <c r="H38" s="7" t="s">
        <v>361</v>
      </c>
    </row>
    <row r="39" spans="1:12" ht="216" customHeight="1">
      <c r="B39" s="63" t="s">
        <v>479</v>
      </c>
      <c r="C39" s="63"/>
      <c r="D39" s="63"/>
      <c r="E39" s="63"/>
      <c r="F39" s="63"/>
      <c r="G39" s="63"/>
      <c r="H39" s="63"/>
      <c r="I39" s="63"/>
      <c r="J39" s="63"/>
      <c r="K39" s="63"/>
      <c r="L39" s="63"/>
    </row>
    <row r="40" spans="1:12" ht="18" customHeight="1">
      <c r="A40" s="67" t="s">
        <v>221</v>
      </c>
      <c r="B40" s="67"/>
      <c r="C40" s="67"/>
      <c r="D40" s="67"/>
      <c r="E40" s="62">
        <f>_xlfn.IFNA(VLOOKUP(封面!B1,一般公共预算财政拨款支出决算具体情况!A:G,7,FALSE),"")</f>
        <v>0</v>
      </c>
      <c r="F40" s="62"/>
      <c r="G40" s="7" t="s">
        <v>187</v>
      </c>
      <c r="H40" s="65" t="s">
        <v>218</v>
      </c>
      <c r="I40" s="65"/>
      <c r="J40" s="62">
        <f>_xlfn.IFNA(VLOOKUP(封面!B1,一般公共预算财政拨款支出决算具体情况!A:H,8,FALSE),"")</f>
        <v>0</v>
      </c>
      <c r="K40" s="62"/>
      <c r="L40" s="11" t="s">
        <v>186</v>
      </c>
    </row>
    <row r="41" spans="1:12" ht="18" customHeight="1">
      <c r="A41" s="67" t="s">
        <v>222</v>
      </c>
      <c r="B41" s="67"/>
      <c r="C41" s="67"/>
      <c r="D41" s="67"/>
      <c r="E41" s="62">
        <f>_xlfn.IFNA(VLOOKUP(封面!B1,一般公共预算财政拨款支出决算具体情况!A:I,9,FALSE),"")</f>
        <v>0</v>
      </c>
      <c r="F41" s="62"/>
      <c r="G41" s="7" t="s">
        <v>187</v>
      </c>
      <c r="H41" s="65" t="s">
        <v>218</v>
      </c>
      <c r="I41" s="65"/>
      <c r="J41" s="62">
        <f>_xlfn.IFNA(VLOOKUP(封面!B1,一般公共预算财政拨款支出决算具体情况!A:J,10,FALSE),"")</f>
        <v>0</v>
      </c>
      <c r="K41" s="62"/>
      <c r="L41" s="11" t="s">
        <v>186</v>
      </c>
    </row>
    <row r="42" spans="1:12" ht="18" customHeight="1">
      <c r="A42" s="67" t="s">
        <v>223</v>
      </c>
      <c r="B42" s="67"/>
      <c r="C42" s="67"/>
      <c r="D42" s="67"/>
      <c r="E42" s="62">
        <f>_xlfn.IFNA(VLOOKUP(封面!B1,一般公共预算财政拨款支出决算具体情况!A:K,11,FALSE),"")</f>
        <v>0</v>
      </c>
      <c r="F42" s="62"/>
      <c r="G42" s="7" t="s">
        <v>187</v>
      </c>
      <c r="H42" s="65" t="s">
        <v>218</v>
      </c>
      <c r="I42" s="65"/>
      <c r="J42" s="62">
        <f>_xlfn.IFNA(VLOOKUP(封面!B1,一般公共预算财政拨款支出决算具体情况!A:L,12,FALSE),"")</f>
        <v>0</v>
      </c>
      <c r="K42" s="62"/>
      <c r="L42" s="11" t="s">
        <v>186</v>
      </c>
    </row>
    <row r="43" spans="1:12" ht="18" customHeight="1">
      <c r="A43" s="67" t="s">
        <v>224</v>
      </c>
      <c r="B43" s="67"/>
      <c r="C43" s="67"/>
      <c r="D43" s="67"/>
      <c r="E43" s="62">
        <f>_xlfn.IFNA(VLOOKUP(封面!B1,一般公共预算财政拨款支出决算具体情况!A:M,13,FALSE),"")</f>
        <v>208000</v>
      </c>
      <c r="F43" s="62"/>
      <c r="G43" s="7" t="s">
        <v>187</v>
      </c>
      <c r="H43" s="65" t="s">
        <v>218</v>
      </c>
      <c r="I43" s="65"/>
      <c r="J43" s="62">
        <f>_xlfn.IFNA(VLOOKUP(封面!B1,一般公共预算财政拨款支出决算具体情况!A:N,14,FALSE),"")</f>
        <v>416000</v>
      </c>
      <c r="K43" s="62"/>
      <c r="L43" s="11" t="s">
        <v>186</v>
      </c>
    </row>
    <row r="44" spans="1:12" ht="18" customHeight="1">
      <c r="A44" s="15"/>
      <c r="B44" s="15" t="str">
        <f>IF(E43&gt;J43,"增加","减少")</f>
        <v>减少</v>
      </c>
      <c r="C44" s="62">
        <f>ABS(E43-J43)</f>
        <v>208000</v>
      </c>
      <c r="D44" s="62"/>
      <c r="E44" s="7" t="s">
        <v>187</v>
      </c>
      <c r="F44" s="15" t="str">
        <f>IF(E43&gt;J43,"增长","下降")</f>
        <v>下降</v>
      </c>
      <c r="G44" s="34">
        <f>C44/J43</f>
        <v>0.5</v>
      </c>
      <c r="H44" s="7" t="s">
        <v>361</v>
      </c>
    </row>
    <row r="45" spans="1:12" ht="27" customHeight="1">
      <c r="B45" s="63" t="s">
        <v>473</v>
      </c>
      <c r="C45" s="63"/>
      <c r="D45" s="63"/>
      <c r="E45" s="63"/>
      <c r="F45" s="63"/>
      <c r="G45" s="63"/>
      <c r="H45" s="63"/>
      <c r="I45" s="63"/>
      <c r="J45" s="63"/>
      <c r="K45" s="63"/>
      <c r="L45" s="63"/>
    </row>
    <row r="46" spans="1:12" ht="18" customHeight="1">
      <c r="A46" s="66" t="s">
        <v>225</v>
      </c>
      <c r="B46" s="66"/>
      <c r="C46" s="66"/>
      <c r="D46" s="66"/>
      <c r="E46" s="62">
        <f>_xlfn.IFNA(VLOOKUP(封面!B1,一般公共预算财政拨款支出决算具体情况!A:O,15,FALSE),"")</f>
        <v>2710390</v>
      </c>
      <c r="F46" s="62"/>
      <c r="G46" s="7" t="s">
        <v>187</v>
      </c>
      <c r="H46" s="65" t="s">
        <v>218</v>
      </c>
      <c r="I46" s="65"/>
      <c r="J46" s="62">
        <f>_xlfn.IFNA(VLOOKUP(封面!B1,一般公共预算财政拨款支出决算具体情况!A:P,16,FALSE),"")</f>
        <v>3843255</v>
      </c>
      <c r="K46" s="62"/>
      <c r="L46" s="11" t="s">
        <v>186</v>
      </c>
    </row>
    <row r="47" spans="1:12" ht="18" customHeight="1">
      <c r="A47" s="15"/>
      <c r="B47" s="15" t="str">
        <f>IF(E46&gt;J46,"增加","减少")</f>
        <v>减少</v>
      </c>
      <c r="C47" s="62">
        <f>ABS(E46-J46)</f>
        <v>1132865</v>
      </c>
      <c r="D47" s="62"/>
      <c r="E47" s="7" t="s">
        <v>187</v>
      </c>
      <c r="F47" s="15" t="str">
        <f>IF(E46&gt;J46,"增长","下降")</f>
        <v>下降</v>
      </c>
      <c r="G47" s="34">
        <f>C47/J46</f>
        <v>0.29476706593759716</v>
      </c>
      <c r="H47" s="7" t="s">
        <v>361</v>
      </c>
    </row>
    <row r="48" spans="1:12" ht="118.5" customHeight="1">
      <c r="B48" s="63" t="s">
        <v>481</v>
      </c>
      <c r="C48" s="63"/>
      <c r="D48" s="63"/>
      <c r="E48" s="63"/>
      <c r="F48" s="63"/>
      <c r="G48" s="63"/>
      <c r="H48" s="63"/>
      <c r="I48" s="63"/>
      <c r="J48" s="63"/>
      <c r="K48" s="63"/>
      <c r="L48" s="63"/>
    </row>
    <row r="49" spans="1:12" ht="18" customHeight="1">
      <c r="A49" s="68" t="s">
        <v>464</v>
      </c>
      <c r="B49" s="68"/>
      <c r="C49" s="68"/>
      <c r="D49" s="68"/>
      <c r="E49" s="62">
        <f>_xlfn.IFNA(VLOOKUP(封面!B1,一般公共预算财政拨款支出决算具体情况!A:Q,17,FALSE),"")</f>
        <v>0</v>
      </c>
      <c r="F49" s="62"/>
      <c r="G49" s="7" t="s">
        <v>187</v>
      </c>
      <c r="H49" s="64" t="s">
        <v>459</v>
      </c>
      <c r="I49" s="64"/>
      <c r="J49" s="64"/>
      <c r="K49" s="64"/>
      <c r="L49" s="11"/>
    </row>
    <row r="50" spans="1:12" ht="18" customHeight="1">
      <c r="A50" s="67" t="s">
        <v>226</v>
      </c>
      <c r="B50" s="67"/>
      <c r="C50" s="67"/>
      <c r="D50" s="67"/>
      <c r="E50" s="62">
        <f>_xlfn.IFNA(VLOOKUP(封面!B1,一般公共预算财政拨款支出决算具体情况!A:S,19,FALSE),"")</f>
        <v>0</v>
      </c>
      <c r="F50" s="62"/>
      <c r="G50" s="7" t="s">
        <v>187</v>
      </c>
      <c r="H50" s="64" t="s">
        <v>227</v>
      </c>
      <c r="I50" s="64"/>
      <c r="J50" s="64"/>
      <c r="K50" s="64"/>
      <c r="L50" s="11"/>
    </row>
    <row r="51" spans="1:12" ht="18" customHeight="1">
      <c r="A51" s="68" t="s">
        <v>465</v>
      </c>
      <c r="B51" s="68"/>
      <c r="C51" s="68"/>
      <c r="D51" s="68"/>
      <c r="E51" s="62">
        <f>_xlfn.IFNA(VLOOKUP(封面!B1,一般公共预算财政拨款支出决算具体情况!A:U,21,FALSE),"")</f>
        <v>32060878</v>
      </c>
      <c r="F51" s="62"/>
      <c r="G51" s="7" t="s">
        <v>187</v>
      </c>
      <c r="H51" s="65" t="s">
        <v>218</v>
      </c>
      <c r="I51" s="65"/>
      <c r="J51" s="62">
        <f>_xlfn.IFNA(VLOOKUP(封面!B1,一般公共预算财政拨款支出决算具体情况!A:V,22,FALSE),"")</f>
        <v>29389731.359999999</v>
      </c>
      <c r="K51" s="62"/>
      <c r="L51" s="11" t="s">
        <v>186</v>
      </c>
    </row>
    <row r="52" spans="1:12" ht="18" customHeight="1">
      <c r="B52" s="15" t="str">
        <f>IF(E51&gt;J51,"增加","减少")</f>
        <v>增加</v>
      </c>
      <c r="C52" s="62">
        <f>ABS(E51-J51)</f>
        <v>2671146.6400000006</v>
      </c>
      <c r="D52" s="62"/>
      <c r="E52" s="7" t="s">
        <v>187</v>
      </c>
      <c r="F52" s="15" t="str">
        <f>IF(E51&gt;J51,"增长","下降")</f>
        <v>增长</v>
      </c>
      <c r="G52" s="34">
        <f>C52/J51</f>
        <v>9.0887072334233154E-2</v>
      </c>
      <c r="H52" s="7" t="s">
        <v>361</v>
      </c>
      <c r="I52" s="11" t="s">
        <v>219</v>
      </c>
    </row>
    <row r="53" spans="1:12" ht="18" customHeight="1">
      <c r="A53" s="66" t="s">
        <v>228</v>
      </c>
      <c r="B53" s="66"/>
      <c r="C53" s="66"/>
      <c r="D53" s="66"/>
      <c r="E53" s="62">
        <f>_xlfn.IFNA(VLOOKUP(封面!B1,一般公共预算财政拨款支出决算具体情况!A:W,23,FALSE),"")</f>
        <v>32060878</v>
      </c>
      <c r="F53" s="62"/>
      <c r="G53" s="7" t="s">
        <v>187</v>
      </c>
      <c r="H53" s="65" t="s">
        <v>218</v>
      </c>
      <c r="I53" s="65"/>
      <c r="J53" s="62">
        <f>_xlfn.IFNA(VLOOKUP(封面!B1,一般公共预算财政拨款支出决算具体情况!A:X,24,FALSE),"")</f>
        <v>29389731.359999999</v>
      </c>
      <c r="K53" s="62"/>
      <c r="L53" s="11" t="s">
        <v>186</v>
      </c>
    </row>
    <row r="54" spans="1:12" ht="18" customHeight="1">
      <c r="A54" s="15"/>
      <c r="B54" s="15" t="str">
        <f>IF(E53&gt;J53,"增加","减少")</f>
        <v>增加</v>
      </c>
      <c r="C54" s="62">
        <f>ABS(E53-J53)</f>
        <v>2671146.6400000006</v>
      </c>
      <c r="D54" s="62"/>
      <c r="E54" s="7" t="s">
        <v>187</v>
      </c>
      <c r="F54" s="15" t="str">
        <f>IF(E53&gt;J53,"增长","下降")</f>
        <v>增长</v>
      </c>
      <c r="G54" s="34">
        <f>C54/J53</f>
        <v>9.0887072334233154E-2</v>
      </c>
      <c r="H54" s="7" t="s">
        <v>361</v>
      </c>
    </row>
    <row r="55" spans="1:12" ht="81" customHeight="1">
      <c r="B55" s="63" t="s">
        <v>478</v>
      </c>
      <c r="C55" s="69"/>
      <c r="D55" s="69"/>
      <c r="E55" s="69"/>
      <c r="F55" s="69"/>
      <c r="G55" s="69"/>
      <c r="H55" s="69"/>
      <c r="I55" s="69"/>
      <c r="J55" s="69"/>
      <c r="K55" s="69"/>
      <c r="L55" s="69"/>
    </row>
    <row r="56" spans="1:12" ht="18" customHeight="1">
      <c r="A56" s="66" t="s">
        <v>229</v>
      </c>
      <c r="B56" s="66"/>
      <c r="C56" s="66"/>
      <c r="D56" s="66"/>
      <c r="E56" s="62">
        <f>_xlfn.IFNA(VLOOKUP(封面!B1,一般公共预算财政拨款支出决算具体情况!A:Y,25,FALSE),"")</f>
        <v>0</v>
      </c>
      <c r="F56" s="62"/>
      <c r="G56" s="7" t="s">
        <v>187</v>
      </c>
      <c r="H56" s="65" t="s">
        <v>460</v>
      </c>
      <c r="I56" s="65"/>
      <c r="J56" s="62"/>
      <c r="K56" s="62"/>
      <c r="L56" s="11"/>
    </row>
    <row r="57" spans="1:12" ht="18" customHeight="1">
      <c r="A57" s="68" t="s">
        <v>466</v>
      </c>
      <c r="B57" s="68"/>
      <c r="C57" s="68"/>
      <c r="D57" s="68"/>
      <c r="E57" s="62">
        <f>_xlfn.IFNA(VLOOKUP(封面!B1,一般公共预算财政拨款支出决算具体情况!A:AA,27,FALSE),"")</f>
        <v>14468582.369999999</v>
      </c>
      <c r="F57" s="62"/>
      <c r="G57" s="7" t="s">
        <v>187</v>
      </c>
      <c r="H57" s="65" t="s">
        <v>218</v>
      </c>
      <c r="I57" s="65"/>
      <c r="J57" s="62">
        <f>_xlfn.IFNA(VLOOKUP(封面!B1,一般公共预算财政拨款支出决算具体情况!A:AB,28,FALSE),"")</f>
        <v>12352370.52</v>
      </c>
      <c r="K57" s="62"/>
      <c r="L57" s="11" t="s">
        <v>186</v>
      </c>
    </row>
    <row r="58" spans="1:12" ht="18" customHeight="1">
      <c r="B58" s="15" t="str">
        <f>IF(E57&gt;J57,"增加","减少")</f>
        <v>增加</v>
      </c>
      <c r="C58" s="62">
        <f>ABS(E57-J57)</f>
        <v>2116211.8499999996</v>
      </c>
      <c r="D58" s="62"/>
      <c r="E58" s="7" t="s">
        <v>187</v>
      </c>
      <c r="F58" s="15" t="str">
        <f>IF(E57&gt;J57,"增长","下降")</f>
        <v>增长</v>
      </c>
      <c r="G58" s="34">
        <f>C58/J57</f>
        <v>0.17132030216982186</v>
      </c>
      <c r="H58" s="7" t="s">
        <v>361</v>
      </c>
      <c r="I58" s="11" t="s">
        <v>219</v>
      </c>
    </row>
    <row r="59" spans="1:12" ht="18" customHeight="1">
      <c r="A59" s="66" t="s">
        <v>471</v>
      </c>
      <c r="B59" s="66"/>
      <c r="C59" s="66"/>
      <c r="D59" s="66"/>
      <c r="E59" s="62">
        <f>_xlfn.IFNA(VLOOKUP(封面!B1,一般公共预算财政拨款支出决算具体情况!A:AC,29,FALSE),"")</f>
        <v>14468582.369999999</v>
      </c>
      <c r="F59" s="62"/>
      <c r="G59" s="7" t="s">
        <v>187</v>
      </c>
      <c r="H59" s="65" t="s">
        <v>218</v>
      </c>
      <c r="I59" s="65"/>
      <c r="J59" s="62">
        <f>_xlfn.IFNA(VLOOKUP(封面!B1,一般公共预算财政拨款支出决算具体情况!A:AD,30,FALSE),"")</f>
        <v>12352370.52</v>
      </c>
      <c r="K59" s="62"/>
      <c r="L59" s="11" t="s">
        <v>186</v>
      </c>
    </row>
    <row r="60" spans="1:12" ht="18" customHeight="1">
      <c r="A60" s="15"/>
      <c r="B60" s="15" t="str">
        <f>IF(E59&gt;J59,"增加","减少")</f>
        <v>增加</v>
      </c>
      <c r="C60" s="62">
        <f>ABS(E59-J59)</f>
        <v>2116211.8499999996</v>
      </c>
      <c r="D60" s="62"/>
      <c r="E60" s="7" t="s">
        <v>187</v>
      </c>
      <c r="F60" s="15" t="str">
        <f>IF(E59&gt;J59,"增长","下降")</f>
        <v>增长</v>
      </c>
      <c r="G60" s="34">
        <f>C60/J59</f>
        <v>0.17132030216982186</v>
      </c>
      <c r="H60" s="7" t="s">
        <v>361</v>
      </c>
    </row>
    <row r="61" spans="1:12" ht="99.75" customHeight="1">
      <c r="B61" s="63" t="s">
        <v>475</v>
      </c>
      <c r="C61" s="63"/>
      <c r="D61" s="63"/>
      <c r="E61" s="63"/>
      <c r="F61" s="63"/>
      <c r="G61" s="63"/>
      <c r="H61" s="63"/>
      <c r="I61" s="63"/>
      <c r="J61" s="63"/>
      <c r="K61" s="63"/>
      <c r="L61" s="63"/>
    </row>
    <row r="62" spans="1:12" ht="18" customHeight="1">
      <c r="A62" s="68" t="s">
        <v>467</v>
      </c>
      <c r="B62" s="68"/>
      <c r="C62" s="68"/>
      <c r="D62" s="68"/>
      <c r="E62" s="62">
        <f>_xlfn.IFNA(VLOOKUP(封面!B1,一般公共预算财政拨款支出决算具体情况!A:AE,31,FALSE),"")</f>
        <v>0</v>
      </c>
      <c r="F62" s="62"/>
      <c r="G62" s="7" t="s">
        <v>187</v>
      </c>
      <c r="H62" s="64" t="s">
        <v>227</v>
      </c>
      <c r="I62" s="64"/>
      <c r="J62" s="64"/>
      <c r="K62" s="64"/>
      <c r="L62" s="11"/>
    </row>
    <row r="63" spans="1:12" ht="18" customHeight="1">
      <c r="A63" s="66" t="s">
        <v>230</v>
      </c>
      <c r="B63" s="66"/>
      <c r="C63" s="66"/>
      <c r="D63" s="66"/>
      <c r="E63" s="62">
        <f>_xlfn.IFNA(VLOOKUP(封面!B1,一般公共预算财政拨款支出决算具体情况!A:AG,33,FALSE),"")</f>
        <v>0</v>
      </c>
      <c r="F63" s="62"/>
      <c r="G63" s="7" t="s">
        <v>187</v>
      </c>
      <c r="H63" s="64" t="s">
        <v>227</v>
      </c>
      <c r="I63" s="64"/>
      <c r="J63" s="64"/>
      <c r="K63" s="64"/>
      <c r="L63" s="11"/>
    </row>
    <row r="64" spans="1:12" ht="18" customHeight="1">
      <c r="A64" s="68" t="s">
        <v>468</v>
      </c>
      <c r="B64" s="68"/>
      <c r="C64" s="68"/>
      <c r="D64" s="68"/>
      <c r="E64" s="62">
        <f>_xlfn.IFNA(VLOOKUP(封面!B1,一般公共预算财政拨款支出决算具体情况!A:AI,35,FALSE),"")</f>
        <v>0</v>
      </c>
      <c r="F64" s="62"/>
      <c r="G64" s="7" t="s">
        <v>187</v>
      </c>
      <c r="H64" s="64" t="s">
        <v>227</v>
      </c>
      <c r="I64" s="64"/>
      <c r="J64" s="64"/>
      <c r="K64" s="64"/>
      <c r="L64" s="11"/>
    </row>
    <row r="65" spans="1:13" ht="18" customHeight="1">
      <c r="A65" s="66" t="s">
        <v>231</v>
      </c>
      <c r="B65" s="66"/>
      <c r="C65" s="66"/>
      <c r="D65" s="66"/>
      <c r="E65" s="62">
        <f>_xlfn.IFNA(VLOOKUP(封面!B1,一般公共预算财政拨款支出决算具体情况!A:AK,37,FALSE),"")</f>
        <v>0</v>
      </c>
      <c r="F65" s="62"/>
      <c r="G65" s="7" t="s">
        <v>187</v>
      </c>
      <c r="H65" s="64" t="s">
        <v>227</v>
      </c>
      <c r="I65" s="64"/>
      <c r="J65" s="64"/>
      <c r="K65" s="64"/>
      <c r="L65" s="11"/>
    </row>
    <row r="66" spans="1:13" ht="18" customHeight="1">
      <c r="A66" s="68" t="s">
        <v>469</v>
      </c>
      <c r="B66" s="68"/>
      <c r="C66" s="68"/>
      <c r="D66" s="68"/>
      <c r="E66" s="62">
        <f>_xlfn.IFNA(VLOOKUP(封面!B1,一般公共预算财政拨款支出决算具体情况!A:AM,39,FALSE),"")</f>
        <v>28568825</v>
      </c>
      <c r="F66" s="62"/>
      <c r="G66" s="7" t="s">
        <v>187</v>
      </c>
      <c r="H66" s="65" t="s">
        <v>218</v>
      </c>
      <c r="I66" s="65"/>
      <c r="J66" s="62">
        <f>_xlfn.IFNA(VLOOKUP(封面!B1,一般公共预算财政拨款支出决算具体情况!A:AN,40,FALSE),"")</f>
        <v>27793164.48</v>
      </c>
      <c r="K66" s="62"/>
      <c r="L66" s="11" t="s">
        <v>186</v>
      </c>
    </row>
    <row r="67" spans="1:13" ht="18" customHeight="1">
      <c r="B67" s="15" t="str">
        <f>IF(E66&gt;J66,"增加","减少")</f>
        <v>增加</v>
      </c>
      <c r="C67" s="62">
        <f>ABS(E66-J66)</f>
        <v>775660.51999999955</v>
      </c>
      <c r="D67" s="62"/>
      <c r="E67" s="7" t="s">
        <v>187</v>
      </c>
      <c r="F67" s="15" t="str">
        <f>IF(E66&gt;J66,"增长","下降")</f>
        <v>增长</v>
      </c>
      <c r="G67" s="34">
        <f>C67/J66</f>
        <v>2.7908319707824775E-2</v>
      </c>
      <c r="H67" s="7" t="s">
        <v>361</v>
      </c>
      <c r="I67" s="11" t="s">
        <v>219</v>
      </c>
    </row>
    <row r="68" spans="1:13" ht="18" customHeight="1">
      <c r="A68" s="66" t="s">
        <v>232</v>
      </c>
      <c r="B68" s="66"/>
      <c r="C68" s="66"/>
      <c r="D68" s="66"/>
      <c r="E68" s="62">
        <f>_xlfn.IFNA(VLOOKUP(封面!B1,一般公共预算财政拨款支出决算具体情况!A:AO,41,FALSE),"")</f>
        <v>28568825</v>
      </c>
      <c r="F68" s="62"/>
      <c r="G68" s="7" t="s">
        <v>187</v>
      </c>
      <c r="H68" s="65" t="s">
        <v>218</v>
      </c>
      <c r="I68" s="65"/>
      <c r="J68" s="62">
        <f>_xlfn.IFNA(VLOOKUP(封面!B1,一般公共预算财政拨款支出决算具体情况!A:AP,42,FALSE),"")</f>
        <v>27793164.48</v>
      </c>
      <c r="K68" s="62"/>
      <c r="L68" s="11" t="s">
        <v>186</v>
      </c>
    </row>
    <row r="69" spans="1:13" ht="18" customHeight="1">
      <c r="A69" s="15"/>
      <c r="B69" s="15" t="str">
        <f>IF(E68&gt;J68,"增加","减少")</f>
        <v>增加</v>
      </c>
      <c r="C69" s="62">
        <f>ABS(E68-J68)</f>
        <v>775660.51999999955</v>
      </c>
      <c r="D69" s="62"/>
      <c r="E69" s="7" t="s">
        <v>187</v>
      </c>
      <c r="F69" s="15" t="str">
        <f>IF(E68&gt;J68,"增长","下降")</f>
        <v>增长</v>
      </c>
      <c r="G69" s="34">
        <f>C69/J68</f>
        <v>2.7908319707824775E-2</v>
      </c>
      <c r="H69" s="7" t="s">
        <v>361</v>
      </c>
    </row>
    <row r="70" spans="1:13" ht="44.25" customHeight="1">
      <c r="B70" s="63" t="s">
        <v>476</v>
      </c>
      <c r="C70" s="63"/>
      <c r="D70" s="63"/>
      <c r="E70" s="63"/>
      <c r="F70" s="63"/>
      <c r="G70" s="63"/>
      <c r="H70" s="63"/>
      <c r="I70" s="63"/>
      <c r="J70" s="63"/>
      <c r="K70" s="63"/>
      <c r="L70" s="63"/>
    </row>
    <row r="71" spans="1:13" ht="18" customHeight="1">
      <c r="A71" s="6" t="s">
        <v>233</v>
      </c>
    </row>
    <row r="72" spans="1:13" ht="18" customHeight="1">
      <c r="A72" s="7" t="str">
        <f>IF(_xlfn.IFNA(VLOOKUP(封面!B1,'2020决算导出'!A:X,24,FALSE),"")=0,"本年度无此项支出。","")</f>
        <v/>
      </c>
    </row>
    <row r="73" spans="1:13" ht="18" customHeight="1">
      <c r="A73" s="7" t="s">
        <v>234</v>
      </c>
    </row>
    <row r="74" spans="1:13" ht="18" customHeight="1">
      <c r="A74" s="67" t="s">
        <v>235</v>
      </c>
      <c r="B74" s="67"/>
      <c r="C74" s="67"/>
      <c r="D74" s="67"/>
      <c r="E74" s="67"/>
      <c r="F74" s="62">
        <f>_xlfn.IFNA(VLOOKUP(封面!B1,'2020决算导出'!A:X,24,FALSE),"")</f>
        <v>50000</v>
      </c>
      <c r="G74" s="62"/>
      <c r="H74" s="7" t="s">
        <v>187</v>
      </c>
      <c r="I74" s="64" t="s">
        <v>208</v>
      </c>
      <c r="J74" s="64"/>
      <c r="K74" s="64"/>
      <c r="L74" s="64"/>
      <c r="M74" s="64"/>
    </row>
    <row r="75" spans="1:13" ht="18" customHeight="1">
      <c r="A75" s="67" t="s">
        <v>236</v>
      </c>
      <c r="B75" s="67"/>
      <c r="C75" s="67"/>
      <c r="D75" s="62">
        <f>_xlfn.IFNA(VLOOKUP(封面!B1,'2020决算导出'!A:Y,25,FALSE),"")</f>
        <v>50000</v>
      </c>
      <c r="E75" s="62"/>
      <c r="F75" s="7" t="s">
        <v>187</v>
      </c>
      <c r="G75" s="65" t="s">
        <v>210</v>
      </c>
      <c r="H75" s="65"/>
      <c r="I75" s="13">
        <v>100</v>
      </c>
      <c r="J75" s="7" t="s">
        <v>192</v>
      </c>
      <c r="K75" s="9"/>
      <c r="L75" s="9"/>
      <c r="M75" s="9"/>
    </row>
    <row r="76" spans="1:13" ht="18" customHeight="1">
      <c r="A76" s="7" t="s">
        <v>237</v>
      </c>
    </row>
    <row r="77" spans="1:13" ht="18" customHeight="1">
      <c r="A77" s="64" t="s">
        <v>238</v>
      </c>
      <c r="B77" s="64"/>
      <c r="C77" s="64"/>
      <c r="D77" s="64"/>
      <c r="E77" s="62">
        <f>_xlfn.IFNA(VLOOKUP(封面!B1,'2020决算导出'!A:Y,25,FALSE),"")</f>
        <v>50000</v>
      </c>
      <c r="F77" s="62"/>
      <c r="G77" s="7" t="s">
        <v>187</v>
      </c>
      <c r="H77" s="65" t="s">
        <v>218</v>
      </c>
      <c r="I77" s="65"/>
      <c r="J77" s="62">
        <f>_xlfn.IFNA(VLOOKUP(封面!B1,'2020决算导出'!A:Z,26,FALSE),"")</f>
        <v>0</v>
      </c>
      <c r="K77" s="62"/>
      <c r="L77" s="11" t="s">
        <v>186</v>
      </c>
    </row>
    <row r="78" spans="1:13" ht="18" customHeight="1">
      <c r="B78" s="15" t="str">
        <f>IF(E77&gt;J77,"增加","减少")</f>
        <v>增加</v>
      </c>
      <c r="C78" s="62">
        <f>ABS(E77-J77)</f>
        <v>50000</v>
      </c>
      <c r="D78" s="62"/>
      <c r="E78" s="7" t="s">
        <v>187</v>
      </c>
      <c r="F78" s="15" t="str">
        <f>IF(E77&gt;J77,"增长","下降")</f>
        <v>增长</v>
      </c>
      <c r="G78" s="34">
        <v>1</v>
      </c>
      <c r="H78" s="7" t="s">
        <v>361</v>
      </c>
      <c r="I78" s="11" t="s">
        <v>219</v>
      </c>
    </row>
    <row r="79" spans="1:13" ht="18" customHeight="1">
      <c r="A79" s="66" t="s">
        <v>239</v>
      </c>
      <c r="B79" s="66"/>
      <c r="C79" s="66"/>
      <c r="D79" s="66"/>
      <c r="E79" s="62">
        <f>E77</f>
        <v>50000</v>
      </c>
      <c r="F79" s="62"/>
      <c r="G79" s="7" t="s">
        <v>187</v>
      </c>
      <c r="H79" s="65" t="s">
        <v>218</v>
      </c>
      <c r="I79" s="65"/>
      <c r="J79" s="62">
        <f>J77</f>
        <v>0</v>
      </c>
      <c r="K79" s="62"/>
      <c r="L79" s="11" t="s">
        <v>186</v>
      </c>
    </row>
    <row r="80" spans="1:13" ht="18" customHeight="1">
      <c r="A80" s="15"/>
      <c r="B80" s="15" t="str">
        <f>B78</f>
        <v>增加</v>
      </c>
      <c r="C80" s="62">
        <f>C78</f>
        <v>50000</v>
      </c>
      <c r="D80" s="62"/>
      <c r="E80" s="7" t="s">
        <v>187</v>
      </c>
      <c r="F80" s="15" t="str">
        <f>F78</f>
        <v>增长</v>
      </c>
      <c r="G80" s="34">
        <f>G78</f>
        <v>1</v>
      </c>
      <c r="H80" s="7" t="s">
        <v>361</v>
      </c>
    </row>
    <row r="81" spans="1:13" ht="21" customHeight="1">
      <c r="B81" s="63" t="s">
        <v>477</v>
      </c>
      <c r="C81" s="63"/>
      <c r="D81" s="63"/>
      <c r="E81" s="63"/>
      <c r="F81" s="63"/>
      <c r="G81" s="63"/>
      <c r="H81" s="63"/>
      <c r="I81" s="63"/>
      <c r="J81" s="63"/>
      <c r="K81" s="63"/>
      <c r="L81" s="63"/>
    </row>
    <row r="82" spans="1:13" ht="18" customHeight="1">
      <c r="A82" s="6" t="s">
        <v>240</v>
      </c>
    </row>
    <row r="83" spans="1:13" ht="18" customHeight="1">
      <c r="A83" s="7" t="s">
        <v>241</v>
      </c>
    </row>
    <row r="84" spans="1:13" ht="18" customHeight="1">
      <c r="A84" s="6" t="s">
        <v>242</v>
      </c>
    </row>
    <row r="85" spans="1:13" ht="18" customHeight="1">
      <c r="A85" s="7" t="s">
        <v>243</v>
      </c>
      <c r="G85" s="62">
        <f>_xlfn.IFNA(VLOOKUP(封面!B1,'2020决算导出'!A:AA,27,FALSE),"")</f>
        <v>242798956.75</v>
      </c>
      <c r="H85" s="62"/>
      <c r="I85" s="11" t="s">
        <v>187</v>
      </c>
    </row>
    <row r="86" spans="1:13" ht="130.15" customHeight="1">
      <c r="A86" s="63" t="s">
        <v>244</v>
      </c>
      <c r="B86" s="63"/>
      <c r="C86" s="63"/>
      <c r="D86" s="63"/>
      <c r="E86" s="63"/>
      <c r="F86" s="63"/>
      <c r="G86" s="63"/>
      <c r="H86" s="63"/>
      <c r="I86" s="63"/>
      <c r="J86" s="63"/>
      <c r="K86" s="63"/>
      <c r="L86" s="63"/>
      <c r="M86" s="63"/>
    </row>
    <row r="87" spans="1:13" ht="18" customHeight="1"/>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sheetData>
  <mergeCells count="157">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5:D35"/>
    <mergeCell ref="E35:F35"/>
    <mergeCell ref="H35:I35"/>
    <mergeCell ref="J35:K35"/>
    <mergeCell ref="A32:C32"/>
    <mergeCell ref="D32:E32"/>
    <mergeCell ref="G32:H32"/>
    <mergeCell ref="A33:C33"/>
    <mergeCell ref="D33:E33"/>
    <mergeCell ref="G33:H33"/>
    <mergeCell ref="A41:D41"/>
    <mergeCell ref="E41:F41"/>
    <mergeCell ref="H41:I41"/>
    <mergeCell ref="J41:K41"/>
    <mergeCell ref="B39:L39"/>
    <mergeCell ref="C36:D36"/>
    <mergeCell ref="C38:D38"/>
    <mergeCell ref="A40:D40"/>
    <mergeCell ref="E40:F40"/>
    <mergeCell ref="H40:I40"/>
    <mergeCell ref="J40:K40"/>
    <mergeCell ref="A37:D37"/>
    <mergeCell ref="E37:F37"/>
    <mergeCell ref="H37:I37"/>
    <mergeCell ref="J37:K37"/>
    <mergeCell ref="A43:D43"/>
    <mergeCell ref="E43:F43"/>
    <mergeCell ref="H43:I43"/>
    <mergeCell ref="J43:K43"/>
    <mergeCell ref="A42:D42"/>
    <mergeCell ref="E42:F42"/>
    <mergeCell ref="H42:I42"/>
    <mergeCell ref="J42:K42"/>
    <mergeCell ref="C47:D47"/>
    <mergeCell ref="B48:L48"/>
    <mergeCell ref="A49:D49"/>
    <mergeCell ref="E49:F49"/>
    <mergeCell ref="C44:D44"/>
    <mergeCell ref="B45:L45"/>
    <mergeCell ref="A46:D46"/>
    <mergeCell ref="E46:F46"/>
    <mergeCell ref="H46:I46"/>
    <mergeCell ref="J46:K46"/>
    <mergeCell ref="E51:F51"/>
    <mergeCell ref="H51:I51"/>
    <mergeCell ref="J51:K51"/>
    <mergeCell ref="A50:D50"/>
    <mergeCell ref="E50:F50"/>
    <mergeCell ref="A56:D56"/>
    <mergeCell ref="E56:F56"/>
    <mergeCell ref="H56:I56"/>
    <mergeCell ref="J56:K56"/>
    <mergeCell ref="C52:D52"/>
    <mergeCell ref="A53:D53"/>
    <mergeCell ref="E53:F53"/>
    <mergeCell ref="H53:I53"/>
    <mergeCell ref="J53:K53"/>
    <mergeCell ref="C54:D54"/>
    <mergeCell ref="H62:K62"/>
    <mergeCell ref="H49:K49"/>
    <mergeCell ref="H63:K63"/>
    <mergeCell ref="A64:D64"/>
    <mergeCell ref="E64:F64"/>
    <mergeCell ref="H64:K64"/>
    <mergeCell ref="A62:D62"/>
    <mergeCell ref="E62:F62"/>
    <mergeCell ref="A63:D63"/>
    <mergeCell ref="E63:F63"/>
    <mergeCell ref="A59:D59"/>
    <mergeCell ref="E59:F59"/>
    <mergeCell ref="H59:I59"/>
    <mergeCell ref="J59:K59"/>
    <mergeCell ref="C60:D60"/>
    <mergeCell ref="B61:L61"/>
    <mergeCell ref="A57:D57"/>
    <mergeCell ref="E57:F57"/>
    <mergeCell ref="H57:I57"/>
    <mergeCell ref="J57:K57"/>
    <mergeCell ref="C58:D58"/>
    <mergeCell ref="B55:L55"/>
    <mergeCell ref="H50:K50"/>
    <mergeCell ref="A51:D51"/>
    <mergeCell ref="H68:I68"/>
    <mergeCell ref="J68:K68"/>
    <mergeCell ref="C69:D69"/>
    <mergeCell ref="A65:D65"/>
    <mergeCell ref="E65:F65"/>
    <mergeCell ref="H65:K65"/>
    <mergeCell ref="A66:D66"/>
    <mergeCell ref="E66:F66"/>
    <mergeCell ref="H66:I66"/>
    <mergeCell ref="J66:K66"/>
    <mergeCell ref="C80:D80"/>
    <mergeCell ref="B81:L81"/>
    <mergeCell ref="G85:H85"/>
    <mergeCell ref="A86:M86"/>
    <mergeCell ref="A4:M4"/>
    <mergeCell ref="A77:D77"/>
    <mergeCell ref="E77:F77"/>
    <mergeCell ref="H77:I77"/>
    <mergeCell ref="J77:K77"/>
    <mergeCell ref="C78:D78"/>
    <mergeCell ref="A79:D79"/>
    <mergeCell ref="E79:F79"/>
    <mergeCell ref="H79:I79"/>
    <mergeCell ref="J79:K79"/>
    <mergeCell ref="B70:L70"/>
    <mergeCell ref="A74:E74"/>
    <mergeCell ref="F74:G74"/>
    <mergeCell ref="I74:M74"/>
    <mergeCell ref="A75:C75"/>
    <mergeCell ref="D75:E75"/>
    <mergeCell ref="G75:H75"/>
    <mergeCell ref="C67:D67"/>
    <mergeCell ref="A68:D68"/>
    <mergeCell ref="E68:F68"/>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opLeftCell="A31" workbookViewId="0">
      <selection activeCell="O35" sqref="O35"/>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60" t="s">
        <v>288</v>
      </c>
      <c r="B1" s="60"/>
      <c r="C1" s="60"/>
      <c r="D1" s="60"/>
      <c r="E1" s="60"/>
      <c r="F1" s="60"/>
      <c r="G1" s="60"/>
      <c r="H1" s="60"/>
      <c r="I1" s="60"/>
      <c r="J1" s="60"/>
      <c r="K1" s="60"/>
      <c r="L1" s="60"/>
      <c r="M1" s="60"/>
      <c r="N1" s="60"/>
    </row>
    <row r="2" spans="1:14" ht="18" customHeight="1">
      <c r="A2" s="6" t="s">
        <v>245</v>
      </c>
    </row>
    <row r="3" spans="1:14" ht="18" customHeight="1">
      <c r="A3" s="16" t="str">
        <f>IF(_xlfn.IFNA(VLOOKUP(封面!B1,'2020决算导出'!A:AB,28,FALSE),"")=0,"本年度无此项支出。","")</f>
        <v/>
      </c>
    </row>
    <row r="4" spans="1:14" ht="18" customHeight="1">
      <c r="A4" s="7" t="s">
        <v>246</v>
      </c>
      <c r="F4" s="62">
        <f>_xlfn.IFNA(VLOOKUP(封面!B1,'2020决算导出'!A:AB,28,FALSE),"")</f>
        <v>54000</v>
      </c>
      <c r="G4" s="62"/>
      <c r="H4" s="7" t="s">
        <v>187</v>
      </c>
      <c r="I4" s="7" t="s">
        <v>247</v>
      </c>
    </row>
    <row r="5" spans="1:14" ht="18" customHeight="1">
      <c r="A5" s="71">
        <f>_xlfn.IFNA(VLOOKUP(封面!B1,'2020决算导出'!A:AC,29,FALSE),"")</f>
        <v>54000</v>
      </c>
      <c r="B5" s="71"/>
      <c r="C5" s="7" t="s">
        <v>186</v>
      </c>
      <c r="D5" s="30" t="str">
        <f>IF(F4&gt;A5,"增加","减少")</f>
        <v>减少</v>
      </c>
      <c r="E5" s="71">
        <f>ABS(F4-A5)</f>
        <v>0</v>
      </c>
      <c r="F5" s="71"/>
      <c r="G5" s="7" t="s">
        <v>249</v>
      </c>
    </row>
    <row r="6" spans="1:14" ht="18" customHeight="1">
      <c r="A6" s="7" t="s">
        <v>250</v>
      </c>
    </row>
    <row r="7" spans="1:14" ht="18" customHeight="1">
      <c r="A7" s="56" t="s">
        <v>462</v>
      </c>
      <c r="B7" s="19"/>
      <c r="C7" s="19"/>
      <c r="D7" s="19"/>
      <c r="E7" s="19"/>
      <c r="F7" s="19"/>
      <c r="G7" s="19"/>
      <c r="H7" s="19"/>
      <c r="I7" s="19"/>
      <c r="J7" s="19"/>
      <c r="K7" s="19"/>
      <c r="L7" s="19"/>
      <c r="M7" s="19"/>
      <c r="N7" s="19"/>
    </row>
    <row r="8" spans="1:14" ht="18" customHeight="1">
      <c r="A8" s="7" t="s">
        <v>252</v>
      </c>
    </row>
    <row r="9" spans="1:14" ht="39" customHeight="1">
      <c r="A9" s="72" t="s">
        <v>253</v>
      </c>
      <c r="B9" s="72"/>
      <c r="C9" s="72"/>
      <c r="D9" s="72"/>
      <c r="E9" s="72"/>
      <c r="F9" s="72"/>
      <c r="G9" s="72"/>
      <c r="H9" s="72"/>
      <c r="I9" s="72"/>
      <c r="J9" s="72"/>
      <c r="K9" s="72"/>
      <c r="L9" s="72"/>
      <c r="M9" s="72"/>
      <c r="N9" s="72"/>
    </row>
    <row r="10" spans="1:14" ht="18" customHeight="1">
      <c r="A10" s="7" t="s">
        <v>254</v>
      </c>
    </row>
    <row r="11" spans="1:14" ht="18" customHeight="1">
      <c r="A11" s="67" t="s">
        <v>251</v>
      </c>
      <c r="B11" s="67"/>
      <c r="C11" s="35">
        <f>_xlfn.IFNA(VLOOKUP(封面!B1,'2020决算导出'!A:AI,35,FALSE),"")</f>
        <v>54000</v>
      </c>
      <c r="D11" s="7" t="s">
        <v>187</v>
      </c>
      <c r="E11" s="67" t="s">
        <v>255</v>
      </c>
      <c r="F11" s="67"/>
      <c r="G11" s="67"/>
      <c r="H11" s="71">
        <f>_xlfn.IFNA(VLOOKUP(封面!B1,'2020决算导出'!A:AJ,36,FALSE),"")</f>
        <v>54000</v>
      </c>
      <c r="I11" s="71"/>
      <c r="J11" s="16" t="s">
        <v>186</v>
      </c>
      <c r="K11" s="30" t="str">
        <f>IF(C11&gt;H11,"增加","减少")</f>
        <v>减少</v>
      </c>
      <c r="L11" s="71">
        <f>ABS(C11-H11)</f>
        <v>0</v>
      </c>
      <c r="M11" s="71"/>
      <c r="N11" s="7" t="s">
        <v>248</v>
      </c>
    </row>
    <row r="12" spans="1:14" ht="18" customHeight="1">
      <c r="A12" s="67" t="s">
        <v>256</v>
      </c>
      <c r="B12" s="67"/>
      <c r="C12" s="67"/>
      <c r="D12" s="67"/>
      <c r="E12" s="67"/>
      <c r="F12" s="71">
        <f>_xlfn.IFNA(VLOOKUP(封面!B1,'2020决算导出'!A:AK,37,FALSE),"")</f>
        <v>0</v>
      </c>
      <c r="G12" s="71"/>
      <c r="H12" s="17" t="s">
        <v>187</v>
      </c>
      <c r="I12" s="67" t="s">
        <v>255</v>
      </c>
      <c r="J12" s="67"/>
      <c r="K12" s="67"/>
      <c r="L12" s="71">
        <f>_xlfn.IFNA(VLOOKUP(封面!B1,'2020决算导出'!A:AL,38,FALSE),"")</f>
        <v>0</v>
      </c>
      <c r="M12" s="71"/>
      <c r="N12" s="7" t="s">
        <v>186</v>
      </c>
    </row>
    <row r="13" spans="1:14" ht="18" customHeight="1">
      <c r="A13" s="15" t="str">
        <f>IF(F12&gt;L12,"增加","减少")</f>
        <v>减少</v>
      </c>
      <c r="B13" s="71">
        <f>ABS(F12-L12)</f>
        <v>0</v>
      </c>
      <c r="C13" s="71"/>
      <c r="D13" s="7" t="s">
        <v>248</v>
      </c>
      <c r="H13" s="71"/>
      <c r="I13" s="71"/>
      <c r="J13" s="16"/>
    </row>
    <row r="14" spans="1:14" ht="18" customHeight="1">
      <c r="A14" s="67" t="s">
        <v>257</v>
      </c>
      <c r="B14" s="67"/>
      <c r="C14" s="67"/>
      <c r="D14" s="8">
        <f>_xlfn.IFNA(VLOOKUP(封面!B1,'2020决算导出'!A:AM,39,FALSE),"")</f>
        <v>0</v>
      </c>
      <c r="E14" s="7" t="s">
        <v>258</v>
      </c>
      <c r="F14" s="67" t="s">
        <v>259</v>
      </c>
      <c r="G14" s="67"/>
      <c r="H14" s="71">
        <f>IF(D14=0,0,F12/D14)</f>
        <v>0</v>
      </c>
      <c r="I14" s="71"/>
      <c r="J14" s="7" t="s">
        <v>248</v>
      </c>
    </row>
    <row r="15" spans="1:14" ht="18" customHeight="1">
      <c r="A15" s="65" t="s">
        <v>260</v>
      </c>
      <c r="B15" s="65"/>
      <c r="C15" s="65"/>
      <c r="D15" s="65"/>
      <c r="E15" s="65"/>
      <c r="F15" s="71">
        <f>_xlfn.IFNA(VLOOKUP(封面!B1,'2020决算导出'!A:AO,41,FALSE),"")</f>
        <v>54000</v>
      </c>
      <c r="G15" s="71" t="s">
        <v>187</v>
      </c>
      <c r="H15" s="7" t="s">
        <v>187</v>
      </c>
      <c r="I15" s="7" t="s">
        <v>255</v>
      </c>
      <c r="L15" s="71">
        <f>_xlfn.IFNA(VLOOKUP(封面!B1,'2020决算导出'!A:AP,42,FALSE),"")</f>
        <v>54000</v>
      </c>
      <c r="M15" s="71" t="s">
        <v>187</v>
      </c>
      <c r="N15" s="7" t="s">
        <v>187</v>
      </c>
    </row>
    <row r="16" spans="1:14" ht="18" customHeight="1">
      <c r="A16" s="15" t="str">
        <f>IF(F15&gt;L15,"增加","减少")</f>
        <v>减少</v>
      </c>
      <c r="B16" s="71">
        <f>ABS(F15-L15)</f>
        <v>0</v>
      </c>
      <c r="C16" s="71"/>
      <c r="D16" s="7" t="s">
        <v>248</v>
      </c>
    </row>
    <row r="17" spans="1:14" ht="36" customHeight="1">
      <c r="A17" s="63" t="s">
        <v>472</v>
      </c>
      <c r="B17" s="63"/>
      <c r="C17" s="63"/>
      <c r="D17" s="63"/>
      <c r="E17" s="63"/>
      <c r="F17" s="63"/>
      <c r="G17" s="63"/>
      <c r="H17" s="63"/>
      <c r="I17" s="63"/>
      <c r="J17" s="63"/>
      <c r="K17" s="63"/>
      <c r="L17" s="63"/>
      <c r="M17" s="63"/>
      <c r="N17" s="63"/>
    </row>
    <row r="18" spans="1:14" ht="18" customHeight="1">
      <c r="A18" s="67" t="s">
        <v>261</v>
      </c>
      <c r="B18" s="67"/>
      <c r="C18" s="67"/>
      <c r="D18" s="67"/>
      <c r="E18" s="67"/>
      <c r="F18" s="67"/>
      <c r="G18" s="71">
        <f>_xlfn.IFNA(VLOOKUP(封面!B1,'2020决算导出'!A:AQ,43,FALSE),"")</f>
        <v>41871.33</v>
      </c>
      <c r="H18" s="71" t="s">
        <v>187</v>
      </c>
      <c r="I18" s="7" t="s">
        <v>187</v>
      </c>
      <c r="J18" s="7" t="s">
        <v>262</v>
      </c>
      <c r="L18" s="71">
        <f>_xlfn.IFNA(VLOOKUP(封面!B1,'2020决算导出'!A:AR,44,FALSE),"")</f>
        <v>2281.4</v>
      </c>
      <c r="M18" s="71" t="s">
        <v>187</v>
      </c>
      <c r="N18" s="7" t="s">
        <v>187</v>
      </c>
    </row>
    <row r="19" spans="1:14" ht="18" customHeight="1">
      <c r="A19" s="67" t="s">
        <v>263</v>
      </c>
      <c r="B19" s="67"/>
      <c r="C19" s="71">
        <f>_xlfn.IFNA(VLOOKUP(封面!B1,'2020决算导出'!A:AS,45,FALSE),"")</f>
        <v>8699.77</v>
      </c>
      <c r="D19" s="71" t="s">
        <v>187</v>
      </c>
      <c r="E19" s="7" t="s">
        <v>187</v>
      </c>
      <c r="F19" s="67" t="s">
        <v>264</v>
      </c>
      <c r="G19" s="67"/>
      <c r="H19" s="67"/>
      <c r="I19" s="71">
        <f>_xlfn.IFNA(VLOOKUP(封面!B1,'2020决算导出'!A:AT,46,FALSE),"")</f>
        <v>1147.5</v>
      </c>
      <c r="J19" s="71" t="s">
        <v>187</v>
      </c>
      <c r="K19" s="7" t="s">
        <v>248</v>
      </c>
    </row>
    <row r="20" spans="1:14" ht="18" customHeight="1">
      <c r="A20" s="67" t="s">
        <v>265</v>
      </c>
      <c r="B20" s="67"/>
      <c r="C20" s="67"/>
      <c r="D20" s="8">
        <f>_xlfn.IFNA(VLOOKUP(封面!B1,'2020决算导出'!A:AU,47,FALSE),"")</f>
        <v>2</v>
      </c>
      <c r="E20" s="64" t="s">
        <v>456</v>
      </c>
      <c r="F20" s="64"/>
      <c r="G20" s="64"/>
      <c r="H20" s="64"/>
      <c r="I20" s="64"/>
      <c r="J20" s="64"/>
      <c r="K20" s="64"/>
      <c r="L20" s="64"/>
      <c r="M20" s="55">
        <f>F15/D20</f>
        <v>27000</v>
      </c>
      <c r="N20" s="7" t="s">
        <v>248</v>
      </c>
    </row>
    <row r="21" spans="1:14" ht="18" customHeight="1">
      <c r="A21" s="6" t="s">
        <v>266</v>
      </c>
    </row>
    <row r="22" spans="1:14" ht="18" customHeight="1">
      <c r="A22" s="7" t="s">
        <v>267</v>
      </c>
    </row>
    <row r="23" spans="1:14" ht="18" customHeight="1">
      <c r="A23" s="6" t="s">
        <v>268</v>
      </c>
    </row>
    <row r="24" spans="1:14" ht="18" customHeight="1">
      <c r="A24" s="67" t="s">
        <v>269</v>
      </c>
      <c r="B24" s="67"/>
      <c r="C24" s="67"/>
      <c r="D24" s="67"/>
      <c r="E24" s="62">
        <f>_xlfn.IFNA(VLOOKUP(封面!B1,'2020决算导出'!A:AW,49,FALSE),"")</f>
        <v>11534797.51</v>
      </c>
      <c r="F24" s="62"/>
      <c r="G24" s="7" t="s">
        <v>187</v>
      </c>
      <c r="H24" s="67" t="s">
        <v>270</v>
      </c>
      <c r="I24" s="67"/>
      <c r="J24" s="67"/>
      <c r="K24" s="67"/>
      <c r="L24" s="62">
        <f>_xlfn.IFNA(VLOOKUP(封面!B1,'2020决算导出'!A:AX,50,FALSE),"")</f>
        <v>3068500</v>
      </c>
      <c r="M24" s="62" t="s">
        <v>187</v>
      </c>
      <c r="N24" s="7" t="s">
        <v>187</v>
      </c>
    </row>
    <row r="25" spans="1:14" ht="18" customHeight="1">
      <c r="A25" s="67" t="s">
        <v>271</v>
      </c>
      <c r="B25" s="67"/>
      <c r="C25" s="67"/>
      <c r="D25" s="62">
        <f>_xlfn.IFNA(VLOOKUP(封面!B1,'2020决算导出'!A:AY,51,FALSE),"")</f>
        <v>770000</v>
      </c>
      <c r="E25" s="62" t="s">
        <v>187</v>
      </c>
      <c r="F25" s="7" t="s">
        <v>187</v>
      </c>
      <c r="G25" s="67" t="s">
        <v>272</v>
      </c>
      <c r="H25" s="67"/>
      <c r="I25" s="67"/>
      <c r="J25" s="62">
        <f>_xlfn.IFNA(VLOOKUP(封面!B1,'2020决算导出'!A:AZ,52,FALSE),"")</f>
        <v>7696297.5099999998</v>
      </c>
      <c r="K25" s="62" t="s">
        <v>187</v>
      </c>
      <c r="L25" s="7" t="s">
        <v>248</v>
      </c>
    </row>
    <row r="26" spans="1:14" ht="18" customHeight="1">
      <c r="A26" s="67" t="s">
        <v>273</v>
      </c>
      <c r="B26" s="67"/>
      <c r="C26" s="67"/>
      <c r="D26" s="67"/>
      <c r="E26" s="62">
        <f>_xlfn.IFNA(VLOOKUP(封面!B1,'2020决算导出'!A:BA,53,FALSE),"")</f>
        <v>11534797.51</v>
      </c>
      <c r="F26" s="62" t="s">
        <v>187</v>
      </c>
      <c r="G26" s="7" t="s">
        <v>187</v>
      </c>
      <c r="H26" s="65" t="s">
        <v>274</v>
      </c>
      <c r="I26" s="65"/>
      <c r="J26" s="65"/>
      <c r="K26" s="29">
        <f>E26/$E$24</f>
        <v>1</v>
      </c>
      <c r="L26" s="18" t="s">
        <v>359</v>
      </c>
      <c r="M26" s="7" t="s">
        <v>457</v>
      </c>
    </row>
    <row r="27" spans="1:14" ht="18" customHeight="1">
      <c r="A27" s="67" t="s">
        <v>275</v>
      </c>
      <c r="B27" s="67"/>
      <c r="C27" s="67"/>
      <c r="D27" s="67"/>
      <c r="E27" s="62">
        <f>_xlfn.IFNA(VLOOKUP(封面!B1,'2020决算导出'!A:BB,54,FALSE),"")</f>
        <v>0</v>
      </c>
      <c r="F27" s="62" t="s">
        <v>187</v>
      </c>
      <c r="G27" s="7" t="s">
        <v>187</v>
      </c>
      <c r="H27" s="65" t="s">
        <v>274</v>
      </c>
      <c r="I27" s="65"/>
      <c r="J27" s="65"/>
      <c r="K27" s="29">
        <f>E27/$E$24</f>
        <v>0</v>
      </c>
      <c r="L27" s="18" t="s">
        <v>361</v>
      </c>
    </row>
    <row r="28" spans="1:14" ht="18" customHeight="1">
      <c r="A28" s="6" t="s">
        <v>276</v>
      </c>
    </row>
    <row r="29" spans="1:14" ht="18" customHeight="1">
      <c r="A29" s="67" t="s">
        <v>277</v>
      </c>
      <c r="B29" s="67"/>
      <c r="C29" s="8">
        <f>_xlfn.IFNA(VLOOKUP(封面!B1,'2020决算导出'!A:BC,55,FALSE),"")</f>
        <v>2</v>
      </c>
      <c r="D29" s="7" t="s">
        <v>278</v>
      </c>
      <c r="M29" s="71">
        <f>_xlfn.IFNA(VLOOKUP(封面!B1,'2020决算导出'!A:BD,56,FALSE),"")</f>
        <v>308359.21999999997</v>
      </c>
      <c r="N29" s="71" t="s">
        <v>187</v>
      </c>
    </row>
    <row r="30" spans="1:14" ht="18" customHeight="1">
      <c r="A30" s="12" t="s">
        <v>279</v>
      </c>
      <c r="B30" s="67" t="s">
        <v>280</v>
      </c>
      <c r="C30" s="67"/>
      <c r="D30" s="67"/>
      <c r="E30" s="67"/>
      <c r="F30" s="67"/>
      <c r="G30" s="8">
        <f>_xlfn.IFNA(VLOOKUP(封面!B1,'2020决算导出'!A:BE,57,FALSE),"")</f>
        <v>5</v>
      </c>
      <c r="H30" s="7" t="s">
        <v>281</v>
      </c>
      <c r="J30" s="7" t="s">
        <v>282</v>
      </c>
    </row>
    <row r="31" spans="1:14" ht="18" customHeight="1">
      <c r="A31" s="12">
        <f>_xlfn.IFNA(VLOOKUP(封面!B1,'2020决算导出'!A:BF,58,FALSE),"")</f>
        <v>0</v>
      </c>
      <c r="B31" s="7" t="s">
        <v>283</v>
      </c>
    </row>
    <row r="32" spans="1:14" ht="18" customHeight="1">
      <c r="A32" s="6" t="s">
        <v>284</v>
      </c>
    </row>
    <row r="33" spans="1:14" ht="18" customHeight="1">
      <c r="A33" s="7" t="s">
        <v>285</v>
      </c>
    </row>
    <row r="34" spans="1:14" ht="18" customHeight="1">
      <c r="A34" s="6" t="s">
        <v>286</v>
      </c>
    </row>
    <row r="35" spans="1:14" ht="272.25" customHeight="1">
      <c r="A35" s="63" t="s">
        <v>287</v>
      </c>
      <c r="B35" s="63"/>
      <c r="C35" s="63"/>
      <c r="D35" s="63"/>
      <c r="E35" s="63"/>
      <c r="F35" s="63"/>
      <c r="G35" s="63"/>
      <c r="H35" s="63"/>
      <c r="I35" s="63"/>
      <c r="J35" s="63"/>
      <c r="K35" s="63"/>
      <c r="L35" s="63"/>
      <c r="M35" s="63"/>
      <c r="N35" s="63"/>
    </row>
  </sheetData>
  <mergeCells count="50">
    <mergeCell ref="F14:G14"/>
    <mergeCell ref="A15:E15"/>
    <mergeCell ref="A9:N9"/>
    <mergeCell ref="A11:B11"/>
    <mergeCell ref="E11:G11"/>
    <mergeCell ref="H11:I11"/>
    <mergeCell ref="L11:M11"/>
    <mergeCell ref="A1:N1"/>
    <mergeCell ref="F4:G4"/>
    <mergeCell ref="A5:B5"/>
    <mergeCell ref="E5:F5"/>
    <mergeCell ref="A17:N17"/>
    <mergeCell ref="I12:K12"/>
    <mergeCell ref="H13:I13"/>
    <mergeCell ref="B13:C13"/>
    <mergeCell ref="F12:G12"/>
    <mergeCell ref="L12:M12"/>
    <mergeCell ref="H14:I14"/>
    <mergeCell ref="F15:G15"/>
    <mergeCell ref="L15:M15"/>
    <mergeCell ref="B16:C16"/>
    <mergeCell ref="A12:E12"/>
    <mergeCell ref="A14:C14"/>
    <mergeCell ref="G18:H18"/>
    <mergeCell ref="L18:M18"/>
    <mergeCell ref="C19:D19"/>
    <mergeCell ref="I19:J19"/>
    <mergeCell ref="A18:F18"/>
    <mergeCell ref="A19:B19"/>
    <mergeCell ref="F19:H19"/>
    <mergeCell ref="A20:C20"/>
    <mergeCell ref="E20:L20"/>
    <mergeCell ref="A24:D24"/>
    <mergeCell ref="E24:F24"/>
    <mergeCell ref="H24:K24"/>
    <mergeCell ref="L24:M24"/>
    <mergeCell ref="A25:C25"/>
    <mergeCell ref="D25:E25"/>
    <mergeCell ref="G25:I25"/>
    <mergeCell ref="J25:K25"/>
    <mergeCell ref="A29:B29"/>
    <mergeCell ref="M29:N29"/>
    <mergeCell ref="B30:F30"/>
    <mergeCell ref="A35:N35"/>
    <mergeCell ref="A26:D26"/>
    <mergeCell ref="E26:F26"/>
    <mergeCell ref="H26:J26"/>
    <mergeCell ref="A27:D27"/>
    <mergeCell ref="E27:F27"/>
    <mergeCell ref="H27:J27"/>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I12" sqref="I12"/>
    </sheetView>
  </sheetViews>
  <sheetFormatPr defaultRowHeight="14.25"/>
  <sheetData>
    <row r="1" spans="1:14" s="7" customFormat="1" ht="35.450000000000003" customHeight="1">
      <c r="A1" s="60" t="s">
        <v>289</v>
      </c>
      <c r="B1" s="60"/>
      <c r="C1" s="60"/>
      <c r="D1" s="60"/>
      <c r="E1" s="60"/>
      <c r="F1" s="60"/>
      <c r="G1" s="60"/>
      <c r="H1" s="60"/>
      <c r="I1" s="60"/>
      <c r="J1" s="60"/>
      <c r="K1" s="60"/>
      <c r="L1" s="60"/>
      <c r="M1" s="60"/>
      <c r="N1" s="60"/>
    </row>
    <row r="2" spans="1:14" ht="289.5" customHeight="1">
      <c r="A2" s="63" t="s">
        <v>480</v>
      </c>
      <c r="B2" s="63"/>
      <c r="C2" s="63"/>
      <c r="D2" s="63"/>
      <c r="E2" s="63"/>
      <c r="F2" s="63"/>
      <c r="G2" s="63"/>
      <c r="H2" s="63"/>
      <c r="I2" s="63"/>
      <c r="J2" s="63"/>
      <c r="K2" s="63"/>
      <c r="L2" s="63"/>
      <c r="M2" s="63"/>
      <c r="N2" s="63"/>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75" defaultRowHeight="14.25"/>
  <cols>
    <col min="1" max="1" width="8.875" style="36"/>
    <col min="2" max="2" width="18.875" style="36" customWidth="1"/>
    <col min="3" max="16384" width="8.875" style="36"/>
  </cols>
  <sheetData>
    <row r="1" spans="1:58" ht="48">
      <c r="A1" s="21" t="s">
        <v>295</v>
      </c>
      <c r="B1" s="22" t="s">
        <v>296</v>
      </c>
      <c r="C1" s="22" t="s">
        <v>291</v>
      </c>
      <c r="D1" s="22" t="s">
        <v>297</v>
      </c>
      <c r="E1" s="22" t="s">
        <v>298</v>
      </c>
      <c r="F1" s="22" t="s">
        <v>299</v>
      </c>
      <c r="G1" s="22" t="s">
        <v>300</v>
      </c>
      <c r="H1" s="22" t="s">
        <v>301</v>
      </c>
      <c r="I1" s="22" t="s">
        <v>302</v>
      </c>
      <c r="J1" s="22" t="s">
        <v>303</v>
      </c>
      <c r="K1" s="22" t="s">
        <v>304</v>
      </c>
      <c r="L1" s="22" t="s">
        <v>305</v>
      </c>
      <c r="M1" s="22" t="s">
        <v>306</v>
      </c>
      <c r="N1" s="22" t="s">
        <v>307</v>
      </c>
      <c r="O1" s="22" t="s">
        <v>308</v>
      </c>
      <c r="P1" s="22" t="s">
        <v>309</v>
      </c>
      <c r="Q1" s="22" t="s">
        <v>310</v>
      </c>
      <c r="R1" s="22" t="s">
        <v>311</v>
      </c>
      <c r="S1" s="22" t="s">
        <v>312</v>
      </c>
      <c r="T1" s="22" t="s">
        <v>313</v>
      </c>
      <c r="U1" s="22" t="s">
        <v>314</v>
      </c>
      <c r="V1" s="22" t="s">
        <v>315</v>
      </c>
      <c r="W1" s="22" t="s">
        <v>316</v>
      </c>
      <c r="X1" s="22" t="s">
        <v>317</v>
      </c>
      <c r="Y1" s="22" t="s">
        <v>318</v>
      </c>
      <c r="Z1" s="22" t="s">
        <v>363</v>
      </c>
      <c r="AA1" s="22" t="s">
        <v>319</v>
      </c>
      <c r="AB1" s="22" t="s">
        <v>320</v>
      </c>
      <c r="AC1" s="22" t="s">
        <v>321</v>
      </c>
      <c r="AD1" s="22" t="s">
        <v>322</v>
      </c>
      <c r="AE1" s="22" t="s">
        <v>323</v>
      </c>
      <c r="AF1" s="22" t="s">
        <v>324</v>
      </c>
      <c r="AG1" s="22" t="s">
        <v>325</v>
      </c>
      <c r="AH1" s="22" t="s">
        <v>326</v>
      </c>
      <c r="AI1" s="22" t="s">
        <v>327</v>
      </c>
      <c r="AJ1" s="22" t="s">
        <v>328</v>
      </c>
      <c r="AK1" s="22" t="s">
        <v>329</v>
      </c>
      <c r="AL1" s="22" t="s">
        <v>330</v>
      </c>
      <c r="AM1" s="22" t="s">
        <v>364</v>
      </c>
      <c r="AN1" s="22" t="s">
        <v>365</v>
      </c>
      <c r="AO1" s="22" t="s">
        <v>331</v>
      </c>
      <c r="AP1" s="22" t="s">
        <v>332</v>
      </c>
      <c r="AQ1" s="22" t="s">
        <v>333</v>
      </c>
      <c r="AR1" s="22" t="s">
        <v>334</v>
      </c>
      <c r="AS1" s="22" t="s">
        <v>335</v>
      </c>
      <c r="AT1" s="22" t="s">
        <v>336</v>
      </c>
      <c r="AU1" s="22" t="s">
        <v>337</v>
      </c>
      <c r="AV1" s="22" t="s">
        <v>366</v>
      </c>
      <c r="AW1" s="22" t="s">
        <v>338</v>
      </c>
      <c r="AX1" s="22" t="s">
        <v>339</v>
      </c>
      <c r="AY1" s="22" t="s">
        <v>340</v>
      </c>
      <c r="AZ1" s="22" t="s">
        <v>341</v>
      </c>
      <c r="BA1" s="22" t="s">
        <v>342</v>
      </c>
      <c r="BB1" s="22" t="s">
        <v>343</v>
      </c>
      <c r="BC1" s="22" t="s">
        <v>344</v>
      </c>
      <c r="BD1" s="22" t="s">
        <v>458</v>
      </c>
      <c r="BE1" s="22" t="s">
        <v>345</v>
      </c>
      <c r="BF1" s="22" t="s">
        <v>346</v>
      </c>
    </row>
    <row r="2" spans="1:58">
      <c r="A2" s="24">
        <v>255001</v>
      </c>
      <c r="B2" s="25" t="s">
        <v>347</v>
      </c>
      <c r="C2" s="26">
        <v>0</v>
      </c>
      <c r="D2" s="26">
        <v>315256720.52999997</v>
      </c>
      <c r="E2" s="26">
        <v>297563505.98000002</v>
      </c>
      <c r="F2" s="26">
        <v>297563505.98000002</v>
      </c>
      <c r="G2" s="26">
        <v>0</v>
      </c>
      <c r="H2" s="26">
        <v>0</v>
      </c>
      <c r="I2" s="26">
        <v>0</v>
      </c>
      <c r="J2" s="26">
        <v>0</v>
      </c>
      <c r="K2" s="26">
        <v>308818084.52999997</v>
      </c>
      <c r="L2" s="26">
        <v>0</v>
      </c>
      <c r="M2" s="26">
        <v>308818084.52999997</v>
      </c>
      <c r="N2" s="26">
        <v>0</v>
      </c>
      <c r="O2" s="26">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26">
        <v>77072280.810000002</v>
      </c>
      <c r="E3" s="26">
        <v>76740994.879999995</v>
      </c>
      <c r="F3" s="26">
        <v>76495644.879999995</v>
      </c>
      <c r="G3" s="26">
        <v>245350</v>
      </c>
      <c r="H3" s="26">
        <v>0</v>
      </c>
      <c r="I3" s="26">
        <v>0</v>
      </c>
      <c r="J3" s="26">
        <v>0</v>
      </c>
      <c r="K3" s="26">
        <v>76822280.810000002</v>
      </c>
      <c r="L3" s="26">
        <v>68529272.480000004</v>
      </c>
      <c r="M3" s="26">
        <v>8293008.3300000001</v>
      </c>
      <c r="N3" s="26">
        <v>0</v>
      </c>
      <c r="O3" s="26">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26">
        <v>254442173.91999999</v>
      </c>
      <c r="E4" s="26">
        <v>252061326.80000001</v>
      </c>
      <c r="F4" s="26">
        <v>225824800.37</v>
      </c>
      <c r="G4" s="26">
        <v>2271041</v>
      </c>
      <c r="H4" s="26">
        <v>23965485.43</v>
      </c>
      <c r="I4" s="26">
        <v>0</v>
      </c>
      <c r="J4" s="26">
        <v>0</v>
      </c>
      <c r="K4" s="26">
        <v>254342682.33000001</v>
      </c>
      <c r="L4" s="26">
        <v>205072560.25</v>
      </c>
      <c r="M4" s="26">
        <v>25304636.649999999</v>
      </c>
      <c r="N4" s="26">
        <v>23965485.43</v>
      </c>
      <c r="O4" s="26">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26">
        <v>61111085.789999999</v>
      </c>
      <c r="E5" s="26">
        <v>60694273.380000003</v>
      </c>
      <c r="F5" s="26">
        <v>60521723.380000003</v>
      </c>
      <c r="G5" s="26">
        <v>172550</v>
      </c>
      <c r="H5" s="26">
        <v>0</v>
      </c>
      <c r="I5" s="26">
        <v>0</v>
      </c>
      <c r="J5" s="26">
        <v>0</v>
      </c>
      <c r="K5" s="26">
        <v>61111085.789999999</v>
      </c>
      <c r="L5" s="26">
        <v>57161525.810000002</v>
      </c>
      <c r="M5" s="26">
        <v>3949559.98</v>
      </c>
      <c r="N5" s="26">
        <v>0</v>
      </c>
      <c r="O5" s="26">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26">
        <v>296650767.64999998</v>
      </c>
      <c r="E6" s="26">
        <v>293921214.08999997</v>
      </c>
      <c r="F6" s="26">
        <v>269907913.35000002</v>
      </c>
      <c r="G6" s="26">
        <v>2131080</v>
      </c>
      <c r="H6" s="26">
        <v>12127500</v>
      </c>
      <c r="I6" s="26">
        <v>4600000</v>
      </c>
      <c r="J6" s="26">
        <v>5154720.74</v>
      </c>
      <c r="K6" s="26">
        <v>292422319.79000002</v>
      </c>
      <c r="L6" s="26">
        <v>242798956.75</v>
      </c>
      <c r="M6" s="26">
        <v>38478626.079999998</v>
      </c>
      <c r="N6" s="26">
        <v>11144736.960000001</v>
      </c>
      <c r="O6" s="26">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26">
        <v>92197552.069999993</v>
      </c>
      <c r="E7" s="26">
        <v>91784986.269999996</v>
      </c>
      <c r="F7" s="26">
        <v>90606146.469999999</v>
      </c>
      <c r="G7" s="26">
        <v>1178839.8</v>
      </c>
      <c r="H7" s="26">
        <v>0</v>
      </c>
      <c r="I7" s="26">
        <v>0</v>
      </c>
      <c r="J7" s="26">
        <v>0</v>
      </c>
      <c r="K7" s="26">
        <v>92197552.069999993</v>
      </c>
      <c r="L7" s="26">
        <v>83095324.040000007</v>
      </c>
      <c r="M7" s="26">
        <v>9102228.0299999993</v>
      </c>
      <c r="N7" s="26">
        <v>0</v>
      </c>
      <c r="O7" s="26">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26">
        <v>60859864</v>
      </c>
      <c r="E8" s="26">
        <v>60185943.43</v>
      </c>
      <c r="F8" s="26">
        <v>59939330.450000003</v>
      </c>
      <c r="G8" s="26">
        <v>246612.98</v>
      </c>
      <c r="H8" s="26">
        <v>0</v>
      </c>
      <c r="I8" s="26">
        <v>0</v>
      </c>
      <c r="J8" s="26">
        <v>0</v>
      </c>
      <c r="K8" s="26">
        <v>60859843</v>
      </c>
      <c r="L8" s="26">
        <v>58413311.43</v>
      </c>
      <c r="M8" s="26">
        <v>2446531.5699999998</v>
      </c>
      <c r="N8" s="26">
        <v>0</v>
      </c>
      <c r="O8" s="26">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26">
        <v>207987898.37</v>
      </c>
      <c r="E9" s="26">
        <v>205494949.41</v>
      </c>
      <c r="F9" s="26">
        <v>182777540.27000001</v>
      </c>
      <c r="G9" s="26">
        <v>1551200</v>
      </c>
      <c r="H9" s="26">
        <v>21105000</v>
      </c>
      <c r="I9" s="26">
        <v>0</v>
      </c>
      <c r="J9" s="26">
        <v>61209.14</v>
      </c>
      <c r="K9" s="26">
        <v>203757477.97</v>
      </c>
      <c r="L9" s="26">
        <v>166426906.34999999</v>
      </c>
      <c r="M9" s="26">
        <v>16225571.619999999</v>
      </c>
      <c r="N9" s="26">
        <v>21105000</v>
      </c>
      <c r="O9" s="26">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26">
        <v>63568807.899999999</v>
      </c>
      <c r="E10" s="26">
        <v>63242035.640000001</v>
      </c>
      <c r="F10" s="26">
        <v>61938401.640000001</v>
      </c>
      <c r="G10" s="26">
        <v>246050</v>
      </c>
      <c r="H10" s="26">
        <v>1057584</v>
      </c>
      <c r="I10" s="26">
        <v>0</v>
      </c>
      <c r="J10" s="26">
        <v>0</v>
      </c>
      <c r="K10" s="26">
        <v>63568807.899999999</v>
      </c>
      <c r="L10" s="26">
        <v>52573274.68</v>
      </c>
      <c r="M10" s="26">
        <v>9937949.2200000007</v>
      </c>
      <c r="N10" s="26">
        <v>1057584</v>
      </c>
      <c r="O10" s="26">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26">
        <v>60783638.289999999</v>
      </c>
      <c r="E11" s="26">
        <v>60282863.979999997</v>
      </c>
      <c r="F11" s="26">
        <v>59032800.890000001</v>
      </c>
      <c r="G11" s="26">
        <v>245350</v>
      </c>
      <c r="H11" s="26">
        <v>0</v>
      </c>
      <c r="I11" s="26">
        <v>0</v>
      </c>
      <c r="J11" s="26">
        <v>1004713.09</v>
      </c>
      <c r="K11" s="26">
        <v>60783638.289999999</v>
      </c>
      <c r="L11" s="26">
        <v>54843776.890000001</v>
      </c>
      <c r="M11" s="26">
        <v>5939861.4000000004</v>
      </c>
      <c r="N11" s="26">
        <v>0</v>
      </c>
      <c r="O11" s="26">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26">
        <v>46311364.890000001</v>
      </c>
      <c r="E12" s="26">
        <v>46283759.939999998</v>
      </c>
      <c r="F12" s="26">
        <v>46127309.939999998</v>
      </c>
      <c r="G12" s="26">
        <v>156450</v>
      </c>
      <c r="H12" s="26">
        <v>0</v>
      </c>
      <c r="I12" s="26">
        <v>0</v>
      </c>
      <c r="J12" s="26">
        <v>0</v>
      </c>
      <c r="K12" s="26">
        <v>46276374.890000001</v>
      </c>
      <c r="L12" s="26">
        <v>43704229.890000001</v>
      </c>
      <c r="M12" s="26">
        <v>2572145</v>
      </c>
      <c r="N12" s="26">
        <v>0</v>
      </c>
      <c r="O12" s="26">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26">
        <v>67472654.510000005</v>
      </c>
      <c r="E13" s="26">
        <v>67225452.859999999</v>
      </c>
      <c r="F13" s="26">
        <v>66910102.859999999</v>
      </c>
      <c r="G13" s="26">
        <v>315350</v>
      </c>
      <c r="H13" s="26">
        <v>0</v>
      </c>
      <c r="I13" s="26">
        <v>0</v>
      </c>
      <c r="J13" s="26">
        <v>0</v>
      </c>
      <c r="K13" s="26">
        <v>67472654.510000005</v>
      </c>
      <c r="L13" s="26">
        <v>63835935.990000002</v>
      </c>
      <c r="M13" s="26">
        <v>3636718.52</v>
      </c>
      <c r="N13" s="26">
        <v>0</v>
      </c>
      <c r="O13" s="26">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26">
        <v>71978400.780000001</v>
      </c>
      <c r="E14" s="26">
        <v>71727190.530000001</v>
      </c>
      <c r="F14" s="26">
        <v>71480912.870000005</v>
      </c>
      <c r="G14" s="26">
        <v>246277.66</v>
      </c>
      <c r="H14" s="26">
        <v>0</v>
      </c>
      <c r="I14" s="26">
        <v>0</v>
      </c>
      <c r="J14" s="26">
        <v>0</v>
      </c>
      <c r="K14" s="26">
        <v>71928400.780000001</v>
      </c>
      <c r="L14" s="26">
        <v>68285442.829999998</v>
      </c>
      <c r="M14" s="26">
        <v>3642957.95</v>
      </c>
      <c r="N14" s="26">
        <v>0</v>
      </c>
      <c r="O14" s="26">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26">
        <v>142220891.62</v>
      </c>
      <c r="E15" s="26">
        <v>141148385.06999999</v>
      </c>
      <c r="F15" s="26">
        <v>140139185.06999999</v>
      </c>
      <c r="G15" s="26">
        <v>1009200</v>
      </c>
      <c r="H15" s="26">
        <v>0</v>
      </c>
      <c r="I15" s="26">
        <v>0</v>
      </c>
      <c r="J15" s="26">
        <v>0</v>
      </c>
      <c r="K15" s="26">
        <v>142220891.62</v>
      </c>
      <c r="L15" s="26">
        <v>124472210.42</v>
      </c>
      <c r="M15" s="26">
        <v>17748681.199999999</v>
      </c>
      <c r="N15" s="26">
        <v>0</v>
      </c>
      <c r="O15" s="26">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26">
        <v>46222086.700000003</v>
      </c>
      <c r="E16" s="26">
        <v>45937902.280000001</v>
      </c>
      <c r="F16" s="26">
        <v>45937902.280000001</v>
      </c>
      <c r="G16" s="26">
        <v>0</v>
      </c>
      <c r="H16" s="26">
        <v>0</v>
      </c>
      <c r="I16" s="26">
        <v>0</v>
      </c>
      <c r="J16" s="26">
        <v>0</v>
      </c>
      <c r="K16" s="26">
        <v>46222086.700000003</v>
      </c>
      <c r="L16" s="26">
        <v>43010930.579999998</v>
      </c>
      <c r="M16" s="26">
        <v>3211156.12</v>
      </c>
      <c r="N16" s="26">
        <v>0</v>
      </c>
      <c r="O16" s="26">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26">
        <v>60739701.619999997</v>
      </c>
      <c r="E17" s="26">
        <v>60708714.18</v>
      </c>
      <c r="F17" s="26">
        <v>60708714.18</v>
      </c>
      <c r="G17" s="26">
        <v>0</v>
      </c>
      <c r="H17" s="26">
        <v>0</v>
      </c>
      <c r="I17" s="26">
        <v>0</v>
      </c>
      <c r="J17" s="26">
        <v>0</v>
      </c>
      <c r="K17" s="26">
        <v>60701926.619999997</v>
      </c>
      <c r="L17" s="26">
        <v>49769948.630000003</v>
      </c>
      <c r="M17" s="26">
        <v>10931977.99</v>
      </c>
      <c r="N17" s="26">
        <v>0</v>
      </c>
      <c r="O17" s="26">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26">
        <v>63728897.299999997</v>
      </c>
      <c r="E18" s="26">
        <v>63028769.420000002</v>
      </c>
      <c r="F18" s="26">
        <v>62801619.420000002</v>
      </c>
      <c r="G18" s="26">
        <v>227150</v>
      </c>
      <c r="H18" s="26">
        <v>0</v>
      </c>
      <c r="I18" s="26">
        <v>0</v>
      </c>
      <c r="J18" s="26">
        <v>0</v>
      </c>
      <c r="K18" s="26">
        <v>63728897.299999997</v>
      </c>
      <c r="L18" s="26">
        <v>53957900.600000001</v>
      </c>
      <c r="M18" s="26">
        <v>9770996.6999999993</v>
      </c>
      <c r="N18" s="26">
        <v>0</v>
      </c>
      <c r="O18" s="26">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26">
        <v>73169216.890000001</v>
      </c>
      <c r="E19" s="26">
        <v>72682389.269999996</v>
      </c>
      <c r="F19" s="26">
        <v>72522089.269999996</v>
      </c>
      <c r="G19" s="26">
        <v>160300</v>
      </c>
      <c r="H19" s="26">
        <v>0</v>
      </c>
      <c r="I19" s="26">
        <v>0</v>
      </c>
      <c r="J19" s="26">
        <v>0</v>
      </c>
      <c r="K19" s="26">
        <v>73169216.890000001</v>
      </c>
      <c r="L19" s="26">
        <v>68815762.489999995</v>
      </c>
      <c r="M19" s="26">
        <v>4353454.4000000004</v>
      </c>
      <c r="N19" s="26">
        <v>0</v>
      </c>
      <c r="O19" s="26">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348</v>
      </c>
      <c r="C20" s="26">
        <v>95</v>
      </c>
      <c r="D20" s="26">
        <v>41525377.969999999</v>
      </c>
      <c r="E20" s="26">
        <v>41270606.700000003</v>
      </c>
      <c r="F20" s="26">
        <v>41191156.700000003</v>
      </c>
      <c r="G20" s="26">
        <v>79450</v>
      </c>
      <c r="H20" s="26">
        <v>0</v>
      </c>
      <c r="I20" s="26">
        <v>0</v>
      </c>
      <c r="J20" s="26">
        <v>0</v>
      </c>
      <c r="K20" s="26">
        <v>41525377.969999999</v>
      </c>
      <c r="L20" s="26">
        <v>38988070.390000001</v>
      </c>
      <c r="M20" s="26">
        <v>2537307.58</v>
      </c>
      <c r="N20" s="26">
        <v>0</v>
      </c>
      <c r="O20" s="26">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26">
        <v>55856870.369999997</v>
      </c>
      <c r="E21" s="26">
        <v>55153230.079999998</v>
      </c>
      <c r="F21" s="26">
        <v>55153230.079999998</v>
      </c>
      <c r="G21" s="26">
        <v>0</v>
      </c>
      <c r="H21" s="26">
        <v>0</v>
      </c>
      <c r="I21" s="26">
        <v>0</v>
      </c>
      <c r="J21" s="26">
        <v>0</v>
      </c>
      <c r="K21" s="26">
        <v>55856870.369999997</v>
      </c>
      <c r="L21" s="26">
        <v>50488127.049999997</v>
      </c>
      <c r="M21" s="26">
        <v>5368743.3200000003</v>
      </c>
      <c r="N21" s="26">
        <v>0</v>
      </c>
      <c r="O21" s="26">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26">
        <v>93878644.280000001</v>
      </c>
      <c r="E22" s="26">
        <v>92947308.269999996</v>
      </c>
      <c r="F22" s="26">
        <v>92947308.269999996</v>
      </c>
      <c r="G22" s="26">
        <v>0</v>
      </c>
      <c r="H22" s="26">
        <v>0</v>
      </c>
      <c r="I22" s="26">
        <v>0</v>
      </c>
      <c r="J22" s="26">
        <v>0</v>
      </c>
      <c r="K22" s="26">
        <v>93878644.280000001</v>
      </c>
      <c r="L22" s="26">
        <v>88121138.010000005</v>
      </c>
      <c r="M22" s="26">
        <v>5757506.2699999996</v>
      </c>
      <c r="N22" s="26">
        <v>0</v>
      </c>
      <c r="O22" s="26">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26">
        <v>125340267.61</v>
      </c>
      <c r="E23" s="26">
        <v>125115187.70999999</v>
      </c>
      <c r="F23" s="26">
        <v>124777087.70999999</v>
      </c>
      <c r="G23" s="26">
        <v>338100</v>
      </c>
      <c r="H23" s="26">
        <v>0</v>
      </c>
      <c r="I23" s="26">
        <v>0</v>
      </c>
      <c r="J23" s="26">
        <v>0</v>
      </c>
      <c r="K23" s="26">
        <v>125340267.61</v>
      </c>
      <c r="L23" s="26">
        <v>116701506.70999999</v>
      </c>
      <c r="M23" s="26">
        <v>8638760.9000000004</v>
      </c>
      <c r="N23" s="26">
        <v>0</v>
      </c>
      <c r="O23" s="26">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26">
        <v>29478336.699999999</v>
      </c>
      <c r="E24" s="26">
        <v>27147326.66</v>
      </c>
      <c r="F24" s="26">
        <v>27147326.66</v>
      </c>
      <c r="G24" s="26">
        <v>0</v>
      </c>
      <c r="H24" s="26">
        <v>0</v>
      </c>
      <c r="I24" s="26">
        <v>0</v>
      </c>
      <c r="J24" s="26">
        <v>0</v>
      </c>
      <c r="K24" s="26">
        <v>29428336.699999999</v>
      </c>
      <c r="L24" s="26">
        <v>22929105.260000002</v>
      </c>
      <c r="M24" s="26">
        <v>6499231.4400000004</v>
      </c>
      <c r="N24" s="26">
        <v>0</v>
      </c>
      <c r="O24" s="26">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26">
        <v>69739842.739999995</v>
      </c>
      <c r="E25" s="26">
        <v>68304828.219999999</v>
      </c>
      <c r="F25" s="26">
        <v>68304828.219999999</v>
      </c>
      <c r="G25" s="26">
        <v>0</v>
      </c>
      <c r="H25" s="26">
        <v>0</v>
      </c>
      <c r="I25" s="26">
        <v>0</v>
      </c>
      <c r="J25" s="26">
        <v>0</v>
      </c>
      <c r="K25" s="26">
        <v>69693742.739999995</v>
      </c>
      <c r="L25" s="26">
        <v>51384454.979999997</v>
      </c>
      <c r="M25" s="26">
        <v>18309287.760000002</v>
      </c>
      <c r="N25" s="26">
        <v>0</v>
      </c>
      <c r="O25" s="26">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26">
        <v>76890417.489999995</v>
      </c>
      <c r="E26" s="26">
        <v>76361075.930000007</v>
      </c>
      <c r="F26" s="26">
        <v>76361075.930000007</v>
      </c>
      <c r="G26" s="26">
        <v>0</v>
      </c>
      <c r="H26" s="26">
        <v>0</v>
      </c>
      <c r="I26" s="26">
        <v>0</v>
      </c>
      <c r="J26" s="26">
        <v>0</v>
      </c>
      <c r="K26" s="26">
        <v>76890417.489999995</v>
      </c>
      <c r="L26" s="26">
        <v>65070603.649999999</v>
      </c>
      <c r="M26" s="26">
        <v>11819813.84</v>
      </c>
      <c r="N26" s="26">
        <v>0</v>
      </c>
      <c r="O26" s="26">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26">
        <v>145321107.83000001</v>
      </c>
      <c r="E27" s="26">
        <v>145321107.83000001</v>
      </c>
      <c r="F27" s="26">
        <v>144221107.83000001</v>
      </c>
      <c r="G27" s="26">
        <v>1100000</v>
      </c>
      <c r="H27" s="26">
        <v>0</v>
      </c>
      <c r="I27" s="26">
        <v>0</v>
      </c>
      <c r="J27" s="26">
        <v>0</v>
      </c>
      <c r="K27" s="26">
        <v>145321107.83000001</v>
      </c>
      <c r="L27" s="26">
        <v>134997943.71000001</v>
      </c>
      <c r="M27" s="26">
        <v>10323164.119999999</v>
      </c>
      <c r="N27" s="26">
        <v>0</v>
      </c>
      <c r="O27" s="26">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26">
        <v>146757285.12</v>
      </c>
      <c r="E28" s="26">
        <v>144836787.81</v>
      </c>
      <c r="F28" s="26">
        <v>144037051.40000001</v>
      </c>
      <c r="G28" s="26">
        <v>799736.41</v>
      </c>
      <c r="H28" s="26">
        <v>0</v>
      </c>
      <c r="I28" s="26">
        <v>0</v>
      </c>
      <c r="J28" s="26">
        <v>0</v>
      </c>
      <c r="K28" s="26">
        <v>146381919.78999999</v>
      </c>
      <c r="L28" s="26">
        <v>128741071.84999999</v>
      </c>
      <c r="M28" s="26">
        <v>17640847.940000001</v>
      </c>
      <c r="N28" s="26">
        <v>0</v>
      </c>
      <c r="O28" s="26">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26">
        <v>47899065.079999998</v>
      </c>
      <c r="E29" s="26">
        <v>47102404.57</v>
      </c>
      <c r="F29" s="26">
        <v>47102404.57</v>
      </c>
      <c r="G29" s="26">
        <v>0</v>
      </c>
      <c r="H29" s="26">
        <v>0</v>
      </c>
      <c r="I29" s="26">
        <v>0</v>
      </c>
      <c r="J29" s="26">
        <v>0</v>
      </c>
      <c r="K29" s="26">
        <v>47389911.840000004</v>
      </c>
      <c r="L29" s="26">
        <v>43290180.57</v>
      </c>
      <c r="M29" s="26">
        <v>4099731.27</v>
      </c>
      <c r="N29" s="26">
        <v>0</v>
      </c>
      <c r="O29" s="26">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26">
        <v>28356539.059999999</v>
      </c>
      <c r="E30" s="26">
        <v>28356539.059999999</v>
      </c>
      <c r="F30" s="26">
        <v>28356539.059999999</v>
      </c>
      <c r="G30" s="26">
        <v>0</v>
      </c>
      <c r="H30" s="26">
        <v>0</v>
      </c>
      <c r="I30" s="26">
        <v>0</v>
      </c>
      <c r="J30" s="26">
        <v>0</v>
      </c>
      <c r="K30" s="26">
        <v>28305167.809999999</v>
      </c>
      <c r="L30" s="26">
        <v>26088109.059999999</v>
      </c>
      <c r="M30" s="26">
        <v>2217058.75</v>
      </c>
      <c r="N30" s="26">
        <v>0</v>
      </c>
      <c r="O30" s="26">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26">
        <v>16938571.129999999</v>
      </c>
      <c r="E31" s="26">
        <v>16879497.82</v>
      </c>
      <c r="F31" s="26">
        <v>16879497.82</v>
      </c>
      <c r="G31" s="26">
        <v>0</v>
      </c>
      <c r="H31" s="26">
        <v>0</v>
      </c>
      <c r="I31" s="26">
        <v>0</v>
      </c>
      <c r="J31" s="26">
        <v>0</v>
      </c>
      <c r="K31" s="26">
        <v>16934671.129999999</v>
      </c>
      <c r="L31" s="26">
        <v>15818212.33</v>
      </c>
      <c r="M31" s="26">
        <v>1116458.8</v>
      </c>
      <c r="N31" s="26">
        <v>0</v>
      </c>
      <c r="O31" s="26">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26">
        <v>30559104.859999999</v>
      </c>
      <c r="E32" s="26">
        <v>30297159.09</v>
      </c>
      <c r="F32" s="26">
        <v>30297159.09</v>
      </c>
      <c r="G32" s="26">
        <v>0</v>
      </c>
      <c r="H32" s="26">
        <v>0</v>
      </c>
      <c r="I32" s="26">
        <v>0</v>
      </c>
      <c r="J32" s="26">
        <v>0</v>
      </c>
      <c r="K32" s="26">
        <v>30462623.600000001</v>
      </c>
      <c r="L32" s="26">
        <v>28542920.699999999</v>
      </c>
      <c r="M32" s="26">
        <v>1919702.9</v>
      </c>
      <c r="N32" s="26">
        <v>0</v>
      </c>
      <c r="O32" s="26">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26">
        <v>23570252.210000001</v>
      </c>
      <c r="E33" s="26">
        <v>23346260.309999999</v>
      </c>
      <c r="F33" s="26">
        <v>23346260.309999999</v>
      </c>
      <c r="G33" s="26">
        <v>0</v>
      </c>
      <c r="H33" s="26">
        <v>0</v>
      </c>
      <c r="I33" s="26">
        <v>0</v>
      </c>
      <c r="J33" s="26">
        <v>0</v>
      </c>
      <c r="K33" s="26">
        <v>23570252.210000001</v>
      </c>
      <c r="L33" s="26">
        <v>20216025.289999999</v>
      </c>
      <c r="M33" s="26">
        <v>3354226.92</v>
      </c>
      <c r="N33" s="26">
        <v>0</v>
      </c>
      <c r="O33" s="26">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26">
        <v>24375379.059999999</v>
      </c>
      <c r="E34" s="26">
        <v>24351883.190000001</v>
      </c>
      <c r="F34" s="26">
        <v>24351883.190000001</v>
      </c>
      <c r="G34" s="26">
        <v>0</v>
      </c>
      <c r="H34" s="26">
        <v>0</v>
      </c>
      <c r="I34" s="26">
        <v>0</v>
      </c>
      <c r="J34" s="26">
        <v>0</v>
      </c>
      <c r="K34" s="26">
        <v>24375379.059999999</v>
      </c>
      <c r="L34" s="26">
        <v>22099142.5</v>
      </c>
      <c r="M34" s="26">
        <v>2276236.56</v>
      </c>
      <c r="N34" s="26">
        <v>0</v>
      </c>
      <c r="O34" s="26">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26">
        <v>139189944.33000001</v>
      </c>
      <c r="E35" s="26">
        <v>138637758.88999999</v>
      </c>
      <c r="F35" s="26">
        <v>138637758.88999999</v>
      </c>
      <c r="G35" s="26">
        <v>0</v>
      </c>
      <c r="H35" s="26">
        <v>0</v>
      </c>
      <c r="I35" s="26">
        <v>0</v>
      </c>
      <c r="J35" s="26">
        <v>0</v>
      </c>
      <c r="K35" s="26">
        <v>138431732.33000001</v>
      </c>
      <c r="L35" s="26">
        <v>133569526.84999999</v>
      </c>
      <c r="M35" s="26">
        <v>4862205.4800000004</v>
      </c>
      <c r="N35" s="26">
        <v>0</v>
      </c>
      <c r="O35" s="26">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26">
        <v>17989245.34</v>
      </c>
      <c r="E36" s="26">
        <v>17989245.34</v>
      </c>
      <c r="F36" s="26">
        <v>17989245.34</v>
      </c>
      <c r="G36" s="26">
        <v>0</v>
      </c>
      <c r="H36" s="26">
        <v>0</v>
      </c>
      <c r="I36" s="26">
        <v>0</v>
      </c>
      <c r="J36" s="26">
        <v>0</v>
      </c>
      <c r="K36" s="26">
        <v>17989245.34</v>
      </c>
      <c r="L36" s="26">
        <v>15440949.34</v>
      </c>
      <c r="M36" s="26">
        <v>2548296</v>
      </c>
      <c r="N36" s="26">
        <v>0</v>
      </c>
      <c r="O36" s="26">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26">
        <v>47484359.060000002</v>
      </c>
      <c r="E37" s="26">
        <v>47464880.560000002</v>
      </c>
      <c r="F37" s="26">
        <v>47464880.560000002</v>
      </c>
      <c r="G37" s="26">
        <v>0</v>
      </c>
      <c r="H37" s="26">
        <v>0</v>
      </c>
      <c r="I37" s="26">
        <v>0</v>
      </c>
      <c r="J37" s="26">
        <v>0</v>
      </c>
      <c r="K37" s="26">
        <v>47484359.060000002</v>
      </c>
      <c r="L37" s="26">
        <v>44717996.009999998</v>
      </c>
      <c r="M37" s="26">
        <v>2766363.05</v>
      </c>
      <c r="N37" s="26">
        <v>0</v>
      </c>
      <c r="O37" s="26">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26">
        <v>55654408.479999997</v>
      </c>
      <c r="E38" s="26">
        <v>55129993.75</v>
      </c>
      <c r="F38" s="26">
        <v>55129993.75</v>
      </c>
      <c r="G38" s="26">
        <v>0</v>
      </c>
      <c r="H38" s="26">
        <v>0</v>
      </c>
      <c r="I38" s="26">
        <v>0</v>
      </c>
      <c r="J38" s="26">
        <v>0</v>
      </c>
      <c r="K38" s="26">
        <v>55621706.759999998</v>
      </c>
      <c r="L38" s="26">
        <v>46471185.75</v>
      </c>
      <c r="M38" s="26">
        <v>9150521.0099999998</v>
      </c>
      <c r="N38" s="26">
        <v>0</v>
      </c>
      <c r="O38" s="26">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26">
        <v>119015509.15000001</v>
      </c>
      <c r="E39" s="26">
        <v>118164134.11</v>
      </c>
      <c r="F39" s="26">
        <v>118164134.11</v>
      </c>
      <c r="G39" s="26">
        <v>0</v>
      </c>
      <c r="H39" s="26">
        <v>0</v>
      </c>
      <c r="I39" s="26">
        <v>0</v>
      </c>
      <c r="J39" s="26">
        <v>0</v>
      </c>
      <c r="K39" s="26">
        <v>119009018.41</v>
      </c>
      <c r="L39" s="26">
        <v>105022512.66</v>
      </c>
      <c r="M39" s="26">
        <v>13986505.75</v>
      </c>
      <c r="N39" s="26">
        <v>0</v>
      </c>
      <c r="O39" s="26">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26">
        <v>30046805.690000001</v>
      </c>
      <c r="E40" s="26">
        <v>29681099.690000001</v>
      </c>
      <c r="F40" s="26">
        <v>29681099.690000001</v>
      </c>
      <c r="G40" s="26">
        <v>0</v>
      </c>
      <c r="H40" s="26">
        <v>0</v>
      </c>
      <c r="I40" s="26">
        <v>0</v>
      </c>
      <c r="J40" s="26">
        <v>0</v>
      </c>
      <c r="K40" s="26">
        <v>29964320.489999998</v>
      </c>
      <c r="L40" s="26">
        <v>27986977.59</v>
      </c>
      <c r="M40" s="26">
        <v>1977342.9</v>
      </c>
      <c r="N40" s="26">
        <v>0</v>
      </c>
      <c r="O40" s="26">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26">
        <v>42123765.670000002</v>
      </c>
      <c r="E41" s="26">
        <v>41678493.079999998</v>
      </c>
      <c r="F41" s="26">
        <v>41678493.079999998</v>
      </c>
      <c r="G41" s="26">
        <v>0</v>
      </c>
      <c r="H41" s="26">
        <v>0</v>
      </c>
      <c r="I41" s="26">
        <v>0</v>
      </c>
      <c r="J41" s="26">
        <v>0</v>
      </c>
      <c r="K41" s="26">
        <v>42041178.280000001</v>
      </c>
      <c r="L41" s="26">
        <v>39397433.280000001</v>
      </c>
      <c r="M41" s="26">
        <v>2643745</v>
      </c>
      <c r="N41" s="26">
        <v>0</v>
      </c>
      <c r="O41" s="26">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26">
        <v>29142286.539999999</v>
      </c>
      <c r="E42" s="26">
        <v>29049155.800000001</v>
      </c>
      <c r="F42" s="26">
        <v>29049155.800000001</v>
      </c>
      <c r="G42" s="26">
        <v>0</v>
      </c>
      <c r="H42" s="26">
        <v>0</v>
      </c>
      <c r="I42" s="26">
        <v>0</v>
      </c>
      <c r="J42" s="26">
        <v>0</v>
      </c>
      <c r="K42" s="26">
        <v>29100125.75</v>
      </c>
      <c r="L42" s="26">
        <v>25816292.370000001</v>
      </c>
      <c r="M42" s="26">
        <v>3283833.38</v>
      </c>
      <c r="N42" s="26">
        <v>0</v>
      </c>
      <c r="O42" s="26">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26">
        <v>50892382.189999998</v>
      </c>
      <c r="E43" s="26">
        <v>50176843.32</v>
      </c>
      <c r="F43" s="26">
        <v>50176843.32</v>
      </c>
      <c r="G43" s="26">
        <v>0</v>
      </c>
      <c r="H43" s="26">
        <v>0</v>
      </c>
      <c r="I43" s="26">
        <v>0</v>
      </c>
      <c r="J43" s="26">
        <v>0</v>
      </c>
      <c r="K43" s="26">
        <v>50892382.189999998</v>
      </c>
      <c r="L43" s="26">
        <v>42053660.450000003</v>
      </c>
      <c r="M43" s="26">
        <v>8838721.7400000002</v>
      </c>
      <c r="N43" s="26">
        <v>0</v>
      </c>
      <c r="O43" s="26">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26">
        <v>60401349.350000001</v>
      </c>
      <c r="E44" s="26">
        <v>60260802.240000002</v>
      </c>
      <c r="F44" s="26">
        <v>60260802.240000002</v>
      </c>
      <c r="G44" s="26">
        <v>0</v>
      </c>
      <c r="H44" s="26">
        <v>0</v>
      </c>
      <c r="I44" s="26">
        <v>0</v>
      </c>
      <c r="J44" s="26">
        <v>0</v>
      </c>
      <c r="K44" s="26">
        <v>60378646</v>
      </c>
      <c r="L44" s="26">
        <v>53133104.560000002</v>
      </c>
      <c r="M44" s="26">
        <v>7245541.4400000004</v>
      </c>
      <c r="N44" s="26">
        <v>0</v>
      </c>
      <c r="O44" s="26">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26">
        <v>35590902.079999998</v>
      </c>
      <c r="E45" s="26">
        <v>35589102.079999998</v>
      </c>
      <c r="F45" s="26">
        <v>35589102.079999998</v>
      </c>
      <c r="G45" s="26">
        <v>0</v>
      </c>
      <c r="H45" s="26">
        <v>0</v>
      </c>
      <c r="I45" s="26">
        <v>0</v>
      </c>
      <c r="J45" s="26">
        <v>0</v>
      </c>
      <c r="K45" s="26">
        <v>35578367.789999999</v>
      </c>
      <c r="L45" s="26">
        <v>31244596.620000001</v>
      </c>
      <c r="M45" s="26">
        <v>4333771.17</v>
      </c>
      <c r="N45" s="26">
        <v>0</v>
      </c>
      <c r="O45" s="26">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26">
        <v>55127604.049999997</v>
      </c>
      <c r="E46" s="26">
        <v>55127604.049999997</v>
      </c>
      <c r="F46" s="26">
        <v>55127604.049999997</v>
      </c>
      <c r="G46" s="26">
        <v>0</v>
      </c>
      <c r="H46" s="26">
        <v>0</v>
      </c>
      <c r="I46" s="26">
        <v>0</v>
      </c>
      <c r="J46" s="26">
        <v>0</v>
      </c>
      <c r="K46" s="26">
        <v>55127604.049999997</v>
      </c>
      <c r="L46" s="26">
        <v>51453981.840000004</v>
      </c>
      <c r="M46" s="26">
        <v>3673622.21</v>
      </c>
      <c r="N46" s="26">
        <v>0</v>
      </c>
      <c r="O46" s="26">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26">
        <v>26899009.789999999</v>
      </c>
      <c r="E47" s="26">
        <v>26889619.789999999</v>
      </c>
      <c r="F47" s="26">
        <v>26889619.789999999</v>
      </c>
      <c r="G47" s="26">
        <v>0</v>
      </c>
      <c r="H47" s="26">
        <v>0</v>
      </c>
      <c r="I47" s="26">
        <v>0</v>
      </c>
      <c r="J47" s="26">
        <v>0</v>
      </c>
      <c r="K47" s="26">
        <v>26899009.789999999</v>
      </c>
      <c r="L47" s="26">
        <v>23931028.010000002</v>
      </c>
      <c r="M47" s="26">
        <v>2967981.78</v>
      </c>
      <c r="N47" s="26">
        <v>0</v>
      </c>
      <c r="O47" s="26">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26">
        <v>29383565.859999999</v>
      </c>
      <c r="E48" s="26">
        <v>28971463.600000001</v>
      </c>
      <c r="F48" s="26">
        <v>28971463.600000001</v>
      </c>
      <c r="G48" s="26">
        <v>0</v>
      </c>
      <c r="H48" s="26">
        <v>0</v>
      </c>
      <c r="I48" s="26">
        <v>0</v>
      </c>
      <c r="J48" s="26">
        <v>0</v>
      </c>
      <c r="K48" s="26">
        <v>29371800.140000001</v>
      </c>
      <c r="L48" s="26">
        <v>27392172.280000001</v>
      </c>
      <c r="M48" s="26">
        <v>1979627.86</v>
      </c>
      <c r="N48" s="26">
        <v>0</v>
      </c>
      <c r="O48" s="26">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26">
        <v>109596521.45</v>
      </c>
      <c r="E49" s="26">
        <v>109576881.56999999</v>
      </c>
      <c r="F49" s="26">
        <v>109576881.56999999</v>
      </c>
      <c r="G49" s="26">
        <v>0</v>
      </c>
      <c r="H49" s="26">
        <v>0</v>
      </c>
      <c r="I49" s="26">
        <v>0</v>
      </c>
      <c r="J49" s="26">
        <v>0</v>
      </c>
      <c r="K49" s="26">
        <v>109346521.45</v>
      </c>
      <c r="L49" s="26">
        <v>91832517.299999997</v>
      </c>
      <c r="M49" s="26">
        <v>17514004.149999999</v>
      </c>
      <c r="N49" s="26">
        <v>0</v>
      </c>
      <c r="O49" s="26">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26">
        <v>196443883.88</v>
      </c>
      <c r="E50" s="26">
        <v>194827316.24000001</v>
      </c>
      <c r="F50" s="26">
        <v>194827316.24000001</v>
      </c>
      <c r="G50" s="26">
        <v>0</v>
      </c>
      <c r="H50" s="26">
        <v>0</v>
      </c>
      <c r="I50" s="26">
        <v>0</v>
      </c>
      <c r="J50" s="26">
        <v>0</v>
      </c>
      <c r="K50" s="26">
        <v>195693883.88</v>
      </c>
      <c r="L50" s="26">
        <v>180840941.27000001</v>
      </c>
      <c r="M50" s="26">
        <v>14852942.609999999</v>
      </c>
      <c r="N50" s="26">
        <v>0</v>
      </c>
      <c r="O50" s="26">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26">
        <v>21807721.140000001</v>
      </c>
      <c r="E51" s="26">
        <v>21719357.690000001</v>
      </c>
      <c r="F51" s="26">
        <v>21719357.690000001</v>
      </c>
      <c r="G51" s="26">
        <v>0</v>
      </c>
      <c r="H51" s="26">
        <v>0</v>
      </c>
      <c r="I51" s="26">
        <v>0</v>
      </c>
      <c r="J51" s="26">
        <v>0</v>
      </c>
      <c r="K51" s="26">
        <v>21755307.859999999</v>
      </c>
      <c r="L51" s="26">
        <v>20028247.199999999</v>
      </c>
      <c r="M51" s="26">
        <v>1727060.66</v>
      </c>
      <c r="N51" s="26">
        <v>0</v>
      </c>
      <c r="O51" s="26">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26">
        <v>67692552.680000007</v>
      </c>
      <c r="E52" s="26">
        <v>67437520.480000004</v>
      </c>
      <c r="F52" s="26">
        <v>67437520.480000004</v>
      </c>
      <c r="G52" s="26">
        <v>0</v>
      </c>
      <c r="H52" s="26">
        <v>0</v>
      </c>
      <c r="I52" s="26">
        <v>0</v>
      </c>
      <c r="J52" s="26">
        <v>0</v>
      </c>
      <c r="K52" s="26">
        <v>67582890.090000004</v>
      </c>
      <c r="L52" s="26">
        <v>61646941.07</v>
      </c>
      <c r="M52" s="26">
        <v>5935949.0199999996</v>
      </c>
      <c r="N52" s="26">
        <v>0</v>
      </c>
      <c r="O52" s="26">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26">
        <v>67097344.07</v>
      </c>
      <c r="E53" s="26">
        <v>66917251.200000003</v>
      </c>
      <c r="F53" s="26">
        <v>66917251.200000003</v>
      </c>
      <c r="G53" s="26">
        <v>0</v>
      </c>
      <c r="H53" s="26">
        <v>0</v>
      </c>
      <c r="I53" s="26">
        <v>0</v>
      </c>
      <c r="J53" s="26">
        <v>0</v>
      </c>
      <c r="K53" s="26">
        <v>66458417.030000001</v>
      </c>
      <c r="L53" s="26">
        <v>63529119.299999997</v>
      </c>
      <c r="M53" s="26">
        <v>2929297.73</v>
      </c>
      <c r="N53" s="26">
        <v>0</v>
      </c>
      <c r="O53" s="26">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26">
        <v>73883586.109999999</v>
      </c>
      <c r="E54" s="26">
        <v>73670207</v>
      </c>
      <c r="F54" s="26">
        <v>73670207</v>
      </c>
      <c r="G54" s="26">
        <v>0</v>
      </c>
      <c r="H54" s="26">
        <v>0</v>
      </c>
      <c r="I54" s="26">
        <v>0</v>
      </c>
      <c r="J54" s="26">
        <v>0</v>
      </c>
      <c r="K54" s="26">
        <v>73818101.579999998</v>
      </c>
      <c r="L54" s="26">
        <v>63645564.409999996</v>
      </c>
      <c r="M54" s="26">
        <v>10172537.17</v>
      </c>
      <c r="N54" s="26">
        <v>0</v>
      </c>
      <c r="O54" s="26">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26">
        <v>85080209.379999995</v>
      </c>
      <c r="E55" s="26">
        <v>83831319.739999995</v>
      </c>
      <c r="F55" s="26">
        <v>83831319.739999995</v>
      </c>
      <c r="G55" s="26">
        <v>0</v>
      </c>
      <c r="H55" s="26">
        <v>0</v>
      </c>
      <c r="I55" s="26">
        <v>0</v>
      </c>
      <c r="J55" s="26">
        <v>0</v>
      </c>
      <c r="K55" s="26">
        <v>84478762.140000001</v>
      </c>
      <c r="L55" s="26">
        <v>69376377.989999995</v>
      </c>
      <c r="M55" s="26">
        <v>15102384.15</v>
      </c>
      <c r="N55" s="26">
        <v>0</v>
      </c>
      <c r="O55" s="26">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26">
        <v>37661425.890000001</v>
      </c>
      <c r="E56" s="26">
        <v>37127277.700000003</v>
      </c>
      <c r="F56" s="26">
        <v>37127277.700000003</v>
      </c>
      <c r="G56" s="26">
        <v>0</v>
      </c>
      <c r="H56" s="26">
        <v>0</v>
      </c>
      <c r="I56" s="26">
        <v>0</v>
      </c>
      <c r="J56" s="26">
        <v>0</v>
      </c>
      <c r="K56" s="26">
        <v>37661425.890000001</v>
      </c>
      <c r="L56" s="26">
        <v>35220390.700000003</v>
      </c>
      <c r="M56" s="26">
        <v>2441035.19</v>
      </c>
      <c r="N56" s="26">
        <v>0</v>
      </c>
      <c r="O56" s="26">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26">
        <v>34385863.439999998</v>
      </c>
      <c r="E57" s="26">
        <v>33960363.439999998</v>
      </c>
      <c r="F57" s="26">
        <v>33960363.439999998</v>
      </c>
      <c r="G57" s="26">
        <v>0</v>
      </c>
      <c r="H57" s="26">
        <v>0</v>
      </c>
      <c r="I57" s="26">
        <v>0</v>
      </c>
      <c r="J57" s="26">
        <v>0</v>
      </c>
      <c r="K57" s="26">
        <v>34385863.439999998</v>
      </c>
      <c r="L57" s="26">
        <v>31917297.789999999</v>
      </c>
      <c r="M57" s="26">
        <v>2468565.65</v>
      </c>
      <c r="N57" s="26">
        <v>0</v>
      </c>
      <c r="O57" s="26">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26">
        <v>69381523.739999995</v>
      </c>
      <c r="E58" s="26">
        <v>68335435.859999999</v>
      </c>
      <c r="F58" s="26">
        <v>68335435.859999999</v>
      </c>
      <c r="G58" s="26">
        <v>0</v>
      </c>
      <c r="H58" s="26">
        <v>0</v>
      </c>
      <c r="I58" s="26">
        <v>0</v>
      </c>
      <c r="J58" s="26">
        <v>0</v>
      </c>
      <c r="K58" s="26">
        <v>69264323.739999995</v>
      </c>
      <c r="L58" s="26">
        <v>64937828.240000002</v>
      </c>
      <c r="M58" s="26">
        <v>4326495.5</v>
      </c>
      <c r="N58" s="26">
        <v>0</v>
      </c>
      <c r="O58" s="26">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26">
        <v>26092799.629999999</v>
      </c>
      <c r="E59" s="26">
        <v>25624377.870000001</v>
      </c>
      <c r="F59" s="26">
        <v>25624377.870000001</v>
      </c>
      <c r="G59" s="26">
        <v>0</v>
      </c>
      <c r="H59" s="26">
        <v>0</v>
      </c>
      <c r="I59" s="26">
        <v>0</v>
      </c>
      <c r="J59" s="26">
        <v>0</v>
      </c>
      <c r="K59" s="26">
        <v>26061000.98</v>
      </c>
      <c r="L59" s="26">
        <v>23653458.27</v>
      </c>
      <c r="M59" s="26">
        <v>2407542.71</v>
      </c>
      <c r="N59" s="26">
        <v>0</v>
      </c>
      <c r="O59" s="26">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26">
        <v>35547787.07</v>
      </c>
      <c r="E60" s="26">
        <v>35329349.880000003</v>
      </c>
      <c r="F60" s="26">
        <v>35329349.880000003</v>
      </c>
      <c r="G60" s="26">
        <v>0</v>
      </c>
      <c r="H60" s="26">
        <v>0</v>
      </c>
      <c r="I60" s="26">
        <v>0</v>
      </c>
      <c r="J60" s="26">
        <v>0</v>
      </c>
      <c r="K60" s="26">
        <v>35494387.07</v>
      </c>
      <c r="L60" s="26">
        <v>32046630.559999999</v>
      </c>
      <c r="M60" s="26">
        <v>3447756.51</v>
      </c>
      <c r="N60" s="26">
        <v>0</v>
      </c>
      <c r="O60" s="26">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26">
        <v>49066121.890000001</v>
      </c>
      <c r="E61" s="26">
        <v>48913011.149999999</v>
      </c>
      <c r="F61" s="26">
        <v>48913011.149999999</v>
      </c>
      <c r="G61" s="26">
        <v>0</v>
      </c>
      <c r="H61" s="26">
        <v>0</v>
      </c>
      <c r="I61" s="26">
        <v>0</v>
      </c>
      <c r="J61" s="26">
        <v>0</v>
      </c>
      <c r="K61" s="26">
        <v>49021009.689999998</v>
      </c>
      <c r="L61" s="26">
        <v>43859258.770000003</v>
      </c>
      <c r="M61" s="26">
        <v>5161750.92</v>
      </c>
      <c r="N61" s="26">
        <v>0</v>
      </c>
      <c r="O61" s="26">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26">
        <v>60079603.299999997</v>
      </c>
      <c r="E62" s="26">
        <v>60079603.299999997</v>
      </c>
      <c r="F62" s="26">
        <v>60079603.299999997</v>
      </c>
      <c r="G62" s="26">
        <v>0</v>
      </c>
      <c r="H62" s="26">
        <v>0</v>
      </c>
      <c r="I62" s="26">
        <v>0</v>
      </c>
      <c r="J62" s="26">
        <v>0</v>
      </c>
      <c r="K62" s="26">
        <v>60079603.299999997</v>
      </c>
      <c r="L62" s="26">
        <v>57813449.359999999</v>
      </c>
      <c r="M62" s="26">
        <v>2266153.94</v>
      </c>
      <c r="N62" s="26">
        <v>0</v>
      </c>
      <c r="O62" s="26">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26">
        <v>28796799.600000001</v>
      </c>
      <c r="E63" s="26">
        <v>28666967.600000001</v>
      </c>
      <c r="F63" s="26">
        <v>28666967.600000001</v>
      </c>
      <c r="G63" s="26">
        <v>0</v>
      </c>
      <c r="H63" s="26">
        <v>0</v>
      </c>
      <c r="I63" s="26">
        <v>0</v>
      </c>
      <c r="J63" s="26">
        <v>0</v>
      </c>
      <c r="K63" s="26">
        <v>28796799.600000001</v>
      </c>
      <c r="L63" s="26">
        <v>27350683.449999999</v>
      </c>
      <c r="M63" s="26">
        <v>1446116.15</v>
      </c>
      <c r="N63" s="26">
        <v>0</v>
      </c>
      <c r="O63" s="26">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26">
        <v>58807722.960000001</v>
      </c>
      <c r="E64" s="26">
        <v>58749337.960000001</v>
      </c>
      <c r="F64" s="26">
        <v>58749337.960000001</v>
      </c>
      <c r="G64" s="26">
        <v>0</v>
      </c>
      <c r="H64" s="26">
        <v>0</v>
      </c>
      <c r="I64" s="26">
        <v>0</v>
      </c>
      <c r="J64" s="26">
        <v>0</v>
      </c>
      <c r="K64" s="26">
        <v>58807722.960000001</v>
      </c>
      <c r="L64" s="26">
        <v>54940811.340000004</v>
      </c>
      <c r="M64" s="26">
        <v>3866911.62</v>
      </c>
      <c r="N64" s="26">
        <v>0</v>
      </c>
      <c r="O64" s="26">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26">
        <v>21071051.489999998</v>
      </c>
      <c r="E65" s="26">
        <v>19571051.489999998</v>
      </c>
      <c r="F65" s="26">
        <v>19571051.489999998</v>
      </c>
      <c r="G65" s="26">
        <v>0</v>
      </c>
      <c r="H65" s="26">
        <v>0</v>
      </c>
      <c r="I65" s="26">
        <v>0</v>
      </c>
      <c r="J65" s="26">
        <v>0</v>
      </c>
      <c r="K65" s="26">
        <v>21071051.489999998</v>
      </c>
      <c r="L65" s="26">
        <v>18374699.98</v>
      </c>
      <c r="M65" s="26">
        <v>2696351.51</v>
      </c>
      <c r="N65" s="26">
        <v>0</v>
      </c>
      <c r="O65" s="26">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26">
        <v>30709285.309999999</v>
      </c>
      <c r="E66" s="26">
        <v>30669960.309999999</v>
      </c>
      <c r="F66" s="26">
        <v>30669960.309999999</v>
      </c>
      <c r="G66" s="26">
        <v>0</v>
      </c>
      <c r="H66" s="26">
        <v>0</v>
      </c>
      <c r="I66" s="26">
        <v>0</v>
      </c>
      <c r="J66" s="26">
        <v>0</v>
      </c>
      <c r="K66" s="26">
        <v>30709285.309999999</v>
      </c>
      <c r="L66" s="26">
        <v>28562620.309999999</v>
      </c>
      <c r="M66" s="26">
        <v>2146665</v>
      </c>
      <c r="N66" s="26">
        <v>0</v>
      </c>
      <c r="O66" s="26">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26">
        <v>25991849.91</v>
      </c>
      <c r="E67" s="26">
        <v>25971849.91</v>
      </c>
      <c r="F67" s="26">
        <v>25971849.91</v>
      </c>
      <c r="G67" s="26">
        <v>0</v>
      </c>
      <c r="H67" s="26">
        <v>0</v>
      </c>
      <c r="I67" s="26">
        <v>0</v>
      </c>
      <c r="J67" s="26">
        <v>0</v>
      </c>
      <c r="K67" s="26">
        <v>25991849.91</v>
      </c>
      <c r="L67" s="26">
        <v>24046490.390000001</v>
      </c>
      <c r="M67" s="26">
        <v>1945359.52</v>
      </c>
      <c r="N67" s="26">
        <v>0</v>
      </c>
      <c r="O67" s="26">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26">
        <v>20276423.629999999</v>
      </c>
      <c r="E68" s="26">
        <v>20276423.629999999</v>
      </c>
      <c r="F68" s="26">
        <v>20276423.629999999</v>
      </c>
      <c r="G68" s="26">
        <v>0</v>
      </c>
      <c r="H68" s="26">
        <v>0</v>
      </c>
      <c r="I68" s="26">
        <v>0</v>
      </c>
      <c r="J68" s="26">
        <v>0</v>
      </c>
      <c r="K68" s="26">
        <v>20276423.629999999</v>
      </c>
      <c r="L68" s="26">
        <v>18847471.050000001</v>
      </c>
      <c r="M68" s="26">
        <v>1428952.58</v>
      </c>
      <c r="N68" s="26">
        <v>0</v>
      </c>
      <c r="O68" s="26">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26">
        <v>24758909.829999998</v>
      </c>
      <c r="E69" s="26">
        <v>24758909.829999998</v>
      </c>
      <c r="F69" s="26">
        <v>24758909.829999998</v>
      </c>
      <c r="G69" s="26">
        <v>0</v>
      </c>
      <c r="H69" s="26">
        <v>0</v>
      </c>
      <c r="I69" s="26">
        <v>0</v>
      </c>
      <c r="J69" s="26">
        <v>0</v>
      </c>
      <c r="K69" s="26">
        <v>24758909.829999998</v>
      </c>
      <c r="L69" s="26">
        <v>22738879.93</v>
      </c>
      <c r="M69" s="26">
        <v>2020029.9</v>
      </c>
      <c r="N69" s="26">
        <v>0</v>
      </c>
      <c r="O69" s="26">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26">
        <v>137881</v>
      </c>
      <c r="E70" s="26">
        <v>137881</v>
      </c>
      <c r="F70" s="26">
        <v>137881</v>
      </c>
      <c r="G70" s="26">
        <v>0</v>
      </c>
      <c r="H70" s="26">
        <v>0</v>
      </c>
      <c r="I70" s="26">
        <v>0</v>
      </c>
      <c r="J70" s="26">
        <v>0</v>
      </c>
      <c r="K70" s="26">
        <v>137881</v>
      </c>
      <c r="L70" s="26">
        <v>137881</v>
      </c>
      <c r="M70" s="26">
        <v>0</v>
      </c>
      <c r="N70" s="26">
        <v>0</v>
      </c>
      <c r="O70" s="26">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26">
        <v>58395798.710000001</v>
      </c>
      <c r="E71" s="26">
        <v>58108731.689999998</v>
      </c>
      <c r="F71" s="26">
        <v>58108731.689999998</v>
      </c>
      <c r="G71" s="26">
        <v>0</v>
      </c>
      <c r="H71" s="26">
        <v>0</v>
      </c>
      <c r="I71" s="26">
        <v>0</v>
      </c>
      <c r="J71" s="26">
        <v>0</v>
      </c>
      <c r="K71" s="26">
        <v>58345798.710000001</v>
      </c>
      <c r="L71" s="26">
        <v>50776990.539999999</v>
      </c>
      <c r="M71" s="26">
        <v>7568808.1699999999</v>
      </c>
      <c r="N71" s="26">
        <v>0</v>
      </c>
      <c r="O71" s="26">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26">
        <v>59264405.159999996</v>
      </c>
      <c r="E72" s="26">
        <v>58788650.159999996</v>
      </c>
      <c r="F72" s="26">
        <v>58788650.159999996</v>
      </c>
      <c r="G72" s="26">
        <v>0</v>
      </c>
      <c r="H72" s="26">
        <v>0</v>
      </c>
      <c r="I72" s="26">
        <v>0</v>
      </c>
      <c r="J72" s="26">
        <v>0</v>
      </c>
      <c r="K72" s="26">
        <v>59264405.159999996</v>
      </c>
      <c r="L72" s="26">
        <v>51421198.649999999</v>
      </c>
      <c r="M72" s="26">
        <v>7843206.5099999998</v>
      </c>
      <c r="N72" s="26">
        <v>0</v>
      </c>
      <c r="O72" s="26">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26">
        <v>18613226.77</v>
      </c>
      <c r="E73" s="26">
        <v>18610676.77</v>
      </c>
      <c r="F73" s="26">
        <v>18610676.77</v>
      </c>
      <c r="G73" s="26">
        <v>0</v>
      </c>
      <c r="H73" s="26">
        <v>0</v>
      </c>
      <c r="I73" s="26">
        <v>0</v>
      </c>
      <c r="J73" s="26">
        <v>0</v>
      </c>
      <c r="K73" s="26">
        <v>18613226.77</v>
      </c>
      <c r="L73" s="26">
        <v>17495414.77</v>
      </c>
      <c r="M73" s="26">
        <v>1117812</v>
      </c>
      <c r="N73" s="26">
        <v>0</v>
      </c>
      <c r="O73" s="26">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26">
        <v>20456495.050000001</v>
      </c>
      <c r="E74" s="26">
        <v>20454495.050000001</v>
      </c>
      <c r="F74" s="26">
        <v>20454495.050000001</v>
      </c>
      <c r="G74" s="26">
        <v>0</v>
      </c>
      <c r="H74" s="26">
        <v>0</v>
      </c>
      <c r="I74" s="26">
        <v>0</v>
      </c>
      <c r="J74" s="26">
        <v>0</v>
      </c>
      <c r="K74" s="26">
        <v>20456495.050000001</v>
      </c>
      <c r="L74" s="26">
        <v>16987679.059999999</v>
      </c>
      <c r="M74" s="26">
        <v>3468815.99</v>
      </c>
      <c r="N74" s="26">
        <v>0</v>
      </c>
      <c r="O74" s="26">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26">
        <v>17721527.07</v>
      </c>
      <c r="E75" s="26">
        <v>17519272.98</v>
      </c>
      <c r="F75" s="26">
        <v>17519272.98</v>
      </c>
      <c r="G75" s="26">
        <v>0</v>
      </c>
      <c r="H75" s="26">
        <v>0</v>
      </c>
      <c r="I75" s="26">
        <v>0</v>
      </c>
      <c r="J75" s="26">
        <v>0</v>
      </c>
      <c r="K75" s="26">
        <v>17221527.07</v>
      </c>
      <c r="L75" s="26">
        <v>12336895.08</v>
      </c>
      <c r="M75" s="26">
        <v>4884631.99</v>
      </c>
      <c r="N75" s="26">
        <v>0</v>
      </c>
      <c r="O75" s="26">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26">
        <v>8081978.5099999998</v>
      </c>
      <c r="E76" s="26">
        <v>8081978.5099999998</v>
      </c>
      <c r="F76" s="26">
        <v>8081978.5099999998</v>
      </c>
      <c r="G76" s="26">
        <v>0</v>
      </c>
      <c r="H76" s="26">
        <v>0</v>
      </c>
      <c r="I76" s="26">
        <v>0</v>
      </c>
      <c r="J76" s="26">
        <v>0</v>
      </c>
      <c r="K76" s="26">
        <v>8081978.5099999998</v>
      </c>
      <c r="L76" s="26">
        <v>6650778.5099999998</v>
      </c>
      <c r="M76" s="26">
        <v>1431200</v>
      </c>
      <c r="N76" s="26">
        <v>0</v>
      </c>
      <c r="O76" s="26">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26">
        <v>10866721.4</v>
      </c>
      <c r="E77" s="26">
        <v>10866721.4</v>
      </c>
      <c r="F77" s="26">
        <v>10866721.4</v>
      </c>
      <c r="G77" s="26">
        <v>0</v>
      </c>
      <c r="H77" s="26">
        <v>0</v>
      </c>
      <c r="I77" s="26">
        <v>0</v>
      </c>
      <c r="J77" s="26">
        <v>0</v>
      </c>
      <c r="K77" s="26">
        <v>10866721.4</v>
      </c>
      <c r="L77" s="26">
        <v>8830036.4499999993</v>
      </c>
      <c r="M77" s="26">
        <v>2036684.95</v>
      </c>
      <c r="N77" s="26">
        <v>0</v>
      </c>
      <c r="O77" s="26">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26">
        <v>8457327.1799999997</v>
      </c>
      <c r="E78" s="26">
        <v>8457112.1799999997</v>
      </c>
      <c r="F78" s="26">
        <v>8457112.1799999997</v>
      </c>
      <c r="G78" s="26">
        <v>0</v>
      </c>
      <c r="H78" s="26">
        <v>0</v>
      </c>
      <c r="I78" s="26">
        <v>0</v>
      </c>
      <c r="J78" s="26">
        <v>0</v>
      </c>
      <c r="K78" s="26">
        <v>8457327.1799999997</v>
      </c>
      <c r="L78" s="26">
        <v>6276726.1900000004</v>
      </c>
      <c r="M78" s="26">
        <v>2180600.9900000002</v>
      </c>
      <c r="N78" s="26">
        <v>0</v>
      </c>
      <c r="O78" s="26">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26">
        <v>8883959.9100000001</v>
      </c>
      <c r="E79" s="26">
        <v>8883959.9100000001</v>
      </c>
      <c r="F79" s="26">
        <v>8883959.9100000001</v>
      </c>
      <c r="G79" s="26">
        <v>0</v>
      </c>
      <c r="H79" s="26">
        <v>0</v>
      </c>
      <c r="I79" s="26">
        <v>0</v>
      </c>
      <c r="J79" s="26">
        <v>0</v>
      </c>
      <c r="K79" s="26">
        <v>8883959.9100000001</v>
      </c>
      <c r="L79" s="26">
        <v>7420415.4100000001</v>
      </c>
      <c r="M79" s="26">
        <v>1463544.5</v>
      </c>
      <c r="N79" s="26">
        <v>0</v>
      </c>
      <c r="O79" s="26">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26">
        <v>17846181.140000001</v>
      </c>
      <c r="E80" s="26">
        <v>17846181.140000001</v>
      </c>
      <c r="F80" s="26">
        <v>17846181.140000001</v>
      </c>
      <c r="G80" s="26">
        <v>0</v>
      </c>
      <c r="H80" s="26">
        <v>0</v>
      </c>
      <c r="I80" s="26">
        <v>0</v>
      </c>
      <c r="J80" s="26">
        <v>0</v>
      </c>
      <c r="K80" s="26">
        <v>17846181.140000001</v>
      </c>
      <c r="L80" s="26">
        <v>9396261.7599999998</v>
      </c>
      <c r="M80" s="26">
        <v>8449919.3800000008</v>
      </c>
      <c r="N80" s="26">
        <v>0</v>
      </c>
      <c r="O80" s="26">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26">
        <v>99943944.989999995</v>
      </c>
      <c r="E81" s="26">
        <v>98505568.510000005</v>
      </c>
      <c r="F81" s="26">
        <v>98505568.510000005</v>
      </c>
      <c r="G81" s="26">
        <v>0</v>
      </c>
      <c r="H81" s="26">
        <v>0</v>
      </c>
      <c r="I81" s="26">
        <v>0</v>
      </c>
      <c r="J81" s="26">
        <v>0</v>
      </c>
      <c r="K81" s="26">
        <v>98615768.510000005</v>
      </c>
      <c r="L81" s="26">
        <v>88800218.150000006</v>
      </c>
      <c r="M81" s="26">
        <v>9815550.3599999994</v>
      </c>
      <c r="N81" s="26">
        <v>0</v>
      </c>
      <c r="O81" s="26">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26">
        <v>23469090.440000001</v>
      </c>
      <c r="E82" s="26">
        <v>23469090.440000001</v>
      </c>
      <c r="F82" s="26">
        <v>23464659.289999999</v>
      </c>
      <c r="G82" s="26">
        <v>0</v>
      </c>
      <c r="H82" s="26">
        <v>0</v>
      </c>
      <c r="I82" s="26">
        <v>0</v>
      </c>
      <c r="J82" s="26">
        <v>4431.1499999999996</v>
      </c>
      <c r="K82" s="26">
        <v>23469090.440000001</v>
      </c>
      <c r="L82" s="26">
        <v>17411688.07</v>
      </c>
      <c r="M82" s="26">
        <v>6057402.3700000001</v>
      </c>
      <c r="N82" s="26">
        <v>0</v>
      </c>
      <c r="O82" s="26">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26">
        <v>104022987.29000001</v>
      </c>
      <c r="E83" s="26">
        <v>104022987.29000001</v>
      </c>
      <c r="F83" s="26">
        <v>104021477.98</v>
      </c>
      <c r="G83" s="26">
        <v>0</v>
      </c>
      <c r="H83" s="26">
        <v>0</v>
      </c>
      <c r="I83" s="26">
        <v>0</v>
      </c>
      <c r="J83" s="26">
        <v>1509.31</v>
      </c>
      <c r="K83" s="26">
        <v>104022987.29000001</v>
      </c>
      <c r="L83" s="26">
        <v>6944384.04</v>
      </c>
      <c r="M83" s="26">
        <v>97078603.25</v>
      </c>
      <c r="N83" s="26">
        <v>0</v>
      </c>
      <c r="O83" s="26">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26">
        <v>28746821.66</v>
      </c>
      <c r="E84" s="26">
        <v>28746821.66</v>
      </c>
      <c r="F84" s="26">
        <v>28746821.66</v>
      </c>
      <c r="G84" s="26">
        <v>0</v>
      </c>
      <c r="H84" s="26">
        <v>0</v>
      </c>
      <c r="I84" s="26">
        <v>0</v>
      </c>
      <c r="J84" s="26">
        <v>0</v>
      </c>
      <c r="K84" s="26">
        <v>28746821.66</v>
      </c>
      <c r="L84" s="26">
        <v>19752156.239999998</v>
      </c>
      <c r="M84" s="26">
        <v>8994665.4199999999</v>
      </c>
      <c r="N84" s="26">
        <v>0</v>
      </c>
      <c r="O84" s="26">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26">
        <v>18398003.140000001</v>
      </c>
      <c r="E85" s="26">
        <v>18398003.140000001</v>
      </c>
      <c r="F85" s="26">
        <v>18398003.140000001</v>
      </c>
      <c r="G85" s="26">
        <v>0</v>
      </c>
      <c r="H85" s="26">
        <v>0</v>
      </c>
      <c r="I85" s="26">
        <v>0</v>
      </c>
      <c r="J85" s="26">
        <v>0</v>
      </c>
      <c r="K85" s="26">
        <v>18398003.140000001</v>
      </c>
      <c r="L85" s="26">
        <v>15994363.119999999</v>
      </c>
      <c r="M85" s="26">
        <v>2403640.02</v>
      </c>
      <c r="N85" s="26">
        <v>0</v>
      </c>
      <c r="O85" s="26">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26">
        <v>6140903.5499999998</v>
      </c>
      <c r="E86" s="26">
        <v>6140903.5499999998</v>
      </c>
      <c r="F86" s="26">
        <v>6140903.5499999998</v>
      </c>
      <c r="G86" s="26">
        <v>0</v>
      </c>
      <c r="H86" s="26">
        <v>0</v>
      </c>
      <c r="I86" s="26">
        <v>0</v>
      </c>
      <c r="J86" s="26">
        <v>0</v>
      </c>
      <c r="K86" s="26">
        <v>5832573.5499999998</v>
      </c>
      <c r="L86" s="26">
        <v>5832573.5499999998</v>
      </c>
      <c r="M86" s="26">
        <v>0</v>
      </c>
      <c r="N86" s="26">
        <v>0</v>
      </c>
      <c r="O86" s="26">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26">
        <v>2747658.21</v>
      </c>
      <c r="E87" s="26">
        <v>2747658.21</v>
      </c>
      <c r="F87" s="26">
        <v>2747658.21</v>
      </c>
      <c r="G87" s="26">
        <v>0</v>
      </c>
      <c r="H87" s="26">
        <v>0</v>
      </c>
      <c r="I87" s="26">
        <v>0</v>
      </c>
      <c r="J87" s="26">
        <v>0</v>
      </c>
      <c r="K87" s="26">
        <v>2747658.21</v>
      </c>
      <c r="L87" s="26">
        <v>2747658.21</v>
      </c>
      <c r="M87" s="26">
        <v>0</v>
      </c>
      <c r="N87" s="26">
        <v>0</v>
      </c>
      <c r="O87" s="26">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26">
        <v>54337451.560000002</v>
      </c>
      <c r="E88" s="26">
        <v>52554998.240000002</v>
      </c>
      <c r="F88" s="26">
        <v>50328969.590000004</v>
      </c>
      <c r="G88" s="26">
        <v>772470</v>
      </c>
      <c r="H88" s="26">
        <v>0</v>
      </c>
      <c r="I88" s="26">
        <v>0</v>
      </c>
      <c r="J88" s="26">
        <v>1453558.65</v>
      </c>
      <c r="K88" s="26">
        <v>54337451.560000002</v>
      </c>
      <c r="L88" s="26">
        <v>15595668.789999999</v>
      </c>
      <c r="M88" s="26">
        <v>38741782.770000003</v>
      </c>
      <c r="N88" s="26">
        <v>0</v>
      </c>
      <c r="O88" s="26">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26">
        <v>13735812.890000001</v>
      </c>
      <c r="E89" s="26">
        <v>13735812.890000001</v>
      </c>
      <c r="F89" s="26">
        <v>13735812.890000001</v>
      </c>
      <c r="G89" s="26">
        <v>0</v>
      </c>
      <c r="H89" s="26">
        <v>0</v>
      </c>
      <c r="I89" s="26">
        <v>0</v>
      </c>
      <c r="J89" s="26">
        <v>0</v>
      </c>
      <c r="K89" s="26">
        <v>13735812.890000001</v>
      </c>
      <c r="L89" s="26">
        <v>13059275.630000001</v>
      </c>
      <c r="M89" s="26">
        <v>676537.26</v>
      </c>
      <c r="N89" s="26">
        <v>0</v>
      </c>
      <c r="O89" s="26">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26">
        <v>25338917</v>
      </c>
      <c r="E90" s="26">
        <v>25338917</v>
      </c>
      <c r="F90" s="26">
        <v>25338917</v>
      </c>
      <c r="G90" s="26">
        <v>0</v>
      </c>
      <c r="H90" s="26">
        <v>0</v>
      </c>
      <c r="I90" s="26">
        <v>0</v>
      </c>
      <c r="J90" s="26">
        <v>0</v>
      </c>
      <c r="K90" s="26">
        <v>25338917</v>
      </c>
      <c r="L90" s="26">
        <v>23014681.859999999</v>
      </c>
      <c r="M90" s="26">
        <v>2324235.14</v>
      </c>
      <c r="N90" s="26">
        <v>0</v>
      </c>
      <c r="O90" s="26">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26">
        <v>135724378.99000001</v>
      </c>
      <c r="E91" s="26">
        <v>135596723.63</v>
      </c>
      <c r="F91" s="26">
        <v>135596723.63</v>
      </c>
      <c r="G91" s="26">
        <v>0</v>
      </c>
      <c r="H91" s="26">
        <v>0</v>
      </c>
      <c r="I91" s="26">
        <v>0</v>
      </c>
      <c r="J91" s="26">
        <v>0</v>
      </c>
      <c r="K91" s="26">
        <v>135531879.06</v>
      </c>
      <c r="L91" s="26">
        <v>116084746.53</v>
      </c>
      <c r="M91" s="26">
        <v>19447132.530000001</v>
      </c>
      <c r="N91" s="26">
        <v>0</v>
      </c>
      <c r="O91" s="26">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26">
        <v>7981625.6600000001</v>
      </c>
      <c r="E92" s="26">
        <v>7931625.6600000001</v>
      </c>
      <c r="F92" s="26">
        <v>7931625.6600000001</v>
      </c>
      <c r="G92" s="26">
        <v>0</v>
      </c>
      <c r="H92" s="26">
        <v>0</v>
      </c>
      <c r="I92" s="26">
        <v>0</v>
      </c>
      <c r="J92" s="26">
        <v>0</v>
      </c>
      <c r="K92" s="26">
        <v>7981625.6600000001</v>
      </c>
      <c r="L92" s="26">
        <v>5632253.1399999997</v>
      </c>
      <c r="M92" s="26">
        <v>2349372.52</v>
      </c>
      <c r="N92" s="26">
        <v>0</v>
      </c>
      <c r="O92" s="26">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26">
        <v>155450326.99000001</v>
      </c>
      <c r="E93" s="26">
        <v>154077553.13</v>
      </c>
      <c r="F93" s="26">
        <v>152996303.13</v>
      </c>
      <c r="G93" s="26">
        <v>1081250</v>
      </c>
      <c r="H93" s="26">
        <v>0</v>
      </c>
      <c r="I93" s="26">
        <v>0</v>
      </c>
      <c r="J93" s="26">
        <v>0</v>
      </c>
      <c r="K93" s="26">
        <v>155328413.18000001</v>
      </c>
      <c r="L93" s="26">
        <v>124228803.2</v>
      </c>
      <c r="M93" s="26">
        <v>31099609.98</v>
      </c>
      <c r="N93" s="26">
        <v>0</v>
      </c>
      <c r="O93" s="26">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26">
        <v>167997772.06999999</v>
      </c>
      <c r="E94" s="26">
        <v>167242775.56999999</v>
      </c>
      <c r="F94" s="26">
        <v>165966871.13999999</v>
      </c>
      <c r="G94" s="26">
        <v>1275904.43</v>
      </c>
      <c r="H94" s="26">
        <v>0</v>
      </c>
      <c r="I94" s="26">
        <v>0</v>
      </c>
      <c r="J94" s="26">
        <v>0</v>
      </c>
      <c r="K94" s="26">
        <v>167924772.06999999</v>
      </c>
      <c r="L94" s="26">
        <v>149071227.59</v>
      </c>
      <c r="M94" s="26">
        <v>18853544.48</v>
      </c>
      <c r="N94" s="26">
        <v>0</v>
      </c>
      <c r="O94" s="26">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26">
        <v>55241514.409999996</v>
      </c>
      <c r="E95" s="26">
        <v>55035971.859999999</v>
      </c>
      <c r="F95" s="26">
        <v>54851521.859999999</v>
      </c>
      <c r="G95" s="26">
        <v>184450</v>
      </c>
      <c r="H95" s="26">
        <v>0</v>
      </c>
      <c r="I95" s="26">
        <v>0</v>
      </c>
      <c r="J95" s="26">
        <v>0</v>
      </c>
      <c r="K95" s="26">
        <v>55211733.530000001</v>
      </c>
      <c r="L95" s="26">
        <v>51089116.509999998</v>
      </c>
      <c r="M95" s="26">
        <v>4122617.02</v>
      </c>
      <c r="N95" s="26">
        <v>0</v>
      </c>
      <c r="O95" s="26">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26">
        <v>52027667.060000002</v>
      </c>
      <c r="E96" s="26">
        <v>51963892.060000002</v>
      </c>
      <c r="F96" s="26">
        <v>51963892.060000002</v>
      </c>
      <c r="G96" s="26">
        <v>0</v>
      </c>
      <c r="H96" s="26">
        <v>0</v>
      </c>
      <c r="I96" s="26">
        <v>0</v>
      </c>
      <c r="J96" s="26">
        <v>0</v>
      </c>
      <c r="K96" s="26">
        <v>52027667.060000002</v>
      </c>
      <c r="L96" s="26">
        <v>47233340.560000002</v>
      </c>
      <c r="M96" s="26">
        <v>4794326.5</v>
      </c>
      <c r="N96" s="26">
        <v>0</v>
      </c>
      <c r="O96" s="26">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26">
        <v>119740390.65000001</v>
      </c>
      <c r="E97" s="26">
        <v>119420495.95999999</v>
      </c>
      <c r="F97" s="26">
        <v>118513223.95999999</v>
      </c>
      <c r="G97" s="26">
        <v>907272</v>
      </c>
      <c r="H97" s="26">
        <v>0</v>
      </c>
      <c r="I97" s="26">
        <v>0</v>
      </c>
      <c r="J97" s="26">
        <v>0</v>
      </c>
      <c r="K97" s="26">
        <v>119348290.65000001</v>
      </c>
      <c r="L97" s="26">
        <v>113096549.8</v>
      </c>
      <c r="M97" s="26">
        <v>6251740.8499999996</v>
      </c>
      <c r="N97" s="26">
        <v>0</v>
      </c>
      <c r="O97" s="26">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26">
        <v>43337709.82</v>
      </c>
      <c r="E98" s="26">
        <v>43159284.390000001</v>
      </c>
      <c r="F98" s="26">
        <v>43159284.390000001</v>
      </c>
      <c r="G98" s="26">
        <v>0</v>
      </c>
      <c r="H98" s="26">
        <v>0</v>
      </c>
      <c r="I98" s="26">
        <v>0</v>
      </c>
      <c r="J98" s="26">
        <v>0</v>
      </c>
      <c r="K98" s="26">
        <v>43337709.82</v>
      </c>
      <c r="L98" s="26">
        <v>39585390.649999999</v>
      </c>
      <c r="M98" s="26">
        <v>3752319.17</v>
      </c>
      <c r="N98" s="26">
        <v>0</v>
      </c>
      <c r="O98" s="26">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26">
        <v>25860445.370000001</v>
      </c>
      <c r="E99" s="26">
        <v>25632334.370000001</v>
      </c>
      <c r="F99" s="26">
        <v>25632334.370000001</v>
      </c>
      <c r="G99" s="26">
        <v>0</v>
      </c>
      <c r="H99" s="26">
        <v>0</v>
      </c>
      <c r="I99" s="26">
        <v>0</v>
      </c>
      <c r="J99" s="26">
        <v>0</v>
      </c>
      <c r="K99" s="26">
        <v>25858421.370000001</v>
      </c>
      <c r="L99" s="26">
        <v>24027150.370000001</v>
      </c>
      <c r="M99" s="26">
        <v>1831271</v>
      </c>
      <c r="N99" s="26">
        <v>0</v>
      </c>
      <c r="O99" s="26">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26">
        <v>110197225.94</v>
      </c>
      <c r="E100" s="26">
        <v>108284253.73</v>
      </c>
      <c r="F100" s="26">
        <v>107282125.01000001</v>
      </c>
      <c r="G100" s="26">
        <v>1002128.72</v>
      </c>
      <c r="H100" s="26">
        <v>0</v>
      </c>
      <c r="I100" s="26">
        <v>0</v>
      </c>
      <c r="J100" s="26">
        <v>0</v>
      </c>
      <c r="K100" s="26">
        <v>110086625.25</v>
      </c>
      <c r="L100" s="26">
        <v>99089076.700000003</v>
      </c>
      <c r="M100" s="26">
        <v>10997548.550000001</v>
      </c>
      <c r="N100" s="26">
        <v>0</v>
      </c>
      <c r="O100" s="26">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26">
        <v>60175344.270000003</v>
      </c>
      <c r="E101" s="26">
        <v>59762561.57</v>
      </c>
      <c r="F101" s="26">
        <v>59585811.57</v>
      </c>
      <c r="G101" s="26">
        <v>176750</v>
      </c>
      <c r="H101" s="26">
        <v>0</v>
      </c>
      <c r="I101" s="26">
        <v>0</v>
      </c>
      <c r="J101" s="26">
        <v>0</v>
      </c>
      <c r="K101" s="26">
        <v>60168244.600000001</v>
      </c>
      <c r="L101" s="26">
        <v>56853723.600000001</v>
      </c>
      <c r="M101" s="26">
        <v>3314521</v>
      </c>
      <c r="N101" s="26">
        <v>0</v>
      </c>
      <c r="O101" s="26">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26">
        <v>266448206.41999999</v>
      </c>
      <c r="E102" s="26">
        <v>262720602.97999999</v>
      </c>
      <c r="F102" s="26">
        <v>259755878.97999999</v>
      </c>
      <c r="G102" s="26">
        <v>954500</v>
      </c>
      <c r="H102" s="26">
        <v>2010224</v>
      </c>
      <c r="I102" s="26">
        <v>0</v>
      </c>
      <c r="J102" s="26">
        <v>0</v>
      </c>
      <c r="K102" s="26">
        <v>265381808.86000001</v>
      </c>
      <c r="L102" s="26">
        <v>245755575.36000001</v>
      </c>
      <c r="M102" s="26">
        <v>18338433.600000001</v>
      </c>
      <c r="N102" s="26">
        <v>1287799.8999999999</v>
      </c>
      <c r="O102" s="26">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26">
        <v>85986090.109999999</v>
      </c>
      <c r="E103" s="26">
        <v>85239175.670000002</v>
      </c>
      <c r="F103" s="26">
        <v>85239175.670000002</v>
      </c>
      <c r="G103" s="26">
        <v>0</v>
      </c>
      <c r="H103" s="26">
        <v>0</v>
      </c>
      <c r="I103" s="26">
        <v>0</v>
      </c>
      <c r="J103" s="26">
        <v>0</v>
      </c>
      <c r="K103" s="26">
        <v>85986020.109999999</v>
      </c>
      <c r="L103" s="26">
        <v>76997403.040000007</v>
      </c>
      <c r="M103" s="26">
        <v>8988617.0700000003</v>
      </c>
      <c r="N103" s="26">
        <v>0</v>
      </c>
      <c r="O103" s="26">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26">
        <v>52123115.909999996</v>
      </c>
      <c r="E104" s="26">
        <v>50895512.649999999</v>
      </c>
      <c r="F104" s="26">
        <v>50895512.649999999</v>
      </c>
      <c r="G104" s="26">
        <v>0</v>
      </c>
      <c r="H104" s="26">
        <v>0</v>
      </c>
      <c r="I104" s="26">
        <v>0</v>
      </c>
      <c r="J104" s="26">
        <v>0</v>
      </c>
      <c r="K104" s="26">
        <v>51875575.850000001</v>
      </c>
      <c r="L104" s="26">
        <v>46475371.100000001</v>
      </c>
      <c r="M104" s="26">
        <v>5400204.75</v>
      </c>
      <c r="N104" s="26">
        <v>0</v>
      </c>
      <c r="O104" s="26">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26">
        <v>105535342.26000001</v>
      </c>
      <c r="E105" s="26">
        <v>105113291.28</v>
      </c>
      <c r="F105" s="26">
        <v>105113291.28</v>
      </c>
      <c r="G105" s="26">
        <v>0</v>
      </c>
      <c r="H105" s="26">
        <v>0</v>
      </c>
      <c r="I105" s="26">
        <v>0</v>
      </c>
      <c r="J105" s="26">
        <v>0</v>
      </c>
      <c r="K105" s="26">
        <v>104785342.26000001</v>
      </c>
      <c r="L105" s="26">
        <v>95157503.200000003</v>
      </c>
      <c r="M105" s="26">
        <v>9627839.0600000005</v>
      </c>
      <c r="N105" s="26">
        <v>0</v>
      </c>
      <c r="O105" s="26">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26">
        <v>41951713.719999999</v>
      </c>
      <c r="E106" s="26">
        <v>41311157.350000001</v>
      </c>
      <c r="F106" s="26">
        <v>41311157.350000001</v>
      </c>
      <c r="G106" s="26">
        <v>0</v>
      </c>
      <c r="H106" s="26">
        <v>0</v>
      </c>
      <c r="I106" s="26">
        <v>0</v>
      </c>
      <c r="J106" s="26">
        <v>0</v>
      </c>
      <c r="K106" s="26">
        <v>41951713.719999999</v>
      </c>
      <c r="L106" s="26">
        <v>35861852.530000001</v>
      </c>
      <c r="M106" s="26">
        <v>6089861.1900000004</v>
      </c>
      <c r="N106" s="26">
        <v>0</v>
      </c>
      <c r="O106" s="26">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26">
        <v>103560624.91</v>
      </c>
      <c r="E107" s="26">
        <v>103560624.91</v>
      </c>
      <c r="F107" s="26">
        <v>103560624.91</v>
      </c>
      <c r="G107" s="26">
        <v>0</v>
      </c>
      <c r="H107" s="26">
        <v>0</v>
      </c>
      <c r="I107" s="26">
        <v>0</v>
      </c>
      <c r="J107" s="26">
        <v>0</v>
      </c>
      <c r="K107" s="26">
        <v>103560624.91</v>
      </c>
      <c r="L107" s="26">
        <v>93830297.409999996</v>
      </c>
      <c r="M107" s="26">
        <v>9730327.5</v>
      </c>
      <c r="N107" s="26">
        <v>0</v>
      </c>
      <c r="O107" s="26">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26">
        <v>25922935.84</v>
      </c>
      <c r="E108" s="26">
        <v>25838658.100000001</v>
      </c>
      <c r="F108" s="26">
        <v>25838658.100000001</v>
      </c>
      <c r="G108" s="26">
        <v>0</v>
      </c>
      <c r="H108" s="26">
        <v>0</v>
      </c>
      <c r="I108" s="26">
        <v>0</v>
      </c>
      <c r="J108" s="26">
        <v>0</v>
      </c>
      <c r="K108" s="26">
        <v>25887790.210000001</v>
      </c>
      <c r="L108" s="26">
        <v>22236194.309999999</v>
      </c>
      <c r="M108" s="26">
        <v>3651595.9</v>
      </c>
      <c r="N108" s="26">
        <v>0</v>
      </c>
      <c r="O108" s="26">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26">
        <v>31553750.75</v>
      </c>
      <c r="E109" s="26">
        <v>31177556.23</v>
      </c>
      <c r="F109" s="26">
        <v>31177556.23</v>
      </c>
      <c r="G109" s="26">
        <v>0</v>
      </c>
      <c r="H109" s="26">
        <v>0</v>
      </c>
      <c r="I109" s="26">
        <v>0</v>
      </c>
      <c r="J109" s="26">
        <v>0</v>
      </c>
      <c r="K109" s="26">
        <v>31507859.780000001</v>
      </c>
      <c r="L109" s="26">
        <v>28507704.75</v>
      </c>
      <c r="M109" s="26">
        <v>3000155.03</v>
      </c>
      <c r="N109" s="26">
        <v>0</v>
      </c>
      <c r="O109" s="26">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26">
        <v>23721423.780000001</v>
      </c>
      <c r="E110" s="26">
        <v>23462045.670000002</v>
      </c>
      <c r="F110" s="26">
        <v>23462045.670000002</v>
      </c>
      <c r="G110" s="26">
        <v>0</v>
      </c>
      <c r="H110" s="26">
        <v>0</v>
      </c>
      <c r="I110" s="26">
        <v>0</v>
      </c>
      <c r="J110" s="26">
        <v>0</v>
      </c>
      <c r="K110" s="26">
        <v>23721423.780000001</v>
      </c>
      <c r="L110" s="26">
        <v>21452045.789999999</v>
      </c>
      <c r="M110" s="26">
        <v>2269377.9900000002</v>
      </c>
      <c r="N110" s="26">
        <v>0</v>
      </c>
      <c r="O110" s="26">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26">
        <v>29520188.059999999</v>
      </c>
      <c r="E111" s="26">
        <v>29421772.210000001</v>
      </c>
      <c r="F111" s="26">
        <v>29421772.210000001</v>
      </c>
      <c r="G111" s="26">
        <v>0</v>
      </c>
      <c r="H111" s="26">
        <v>0</v>
      </c>
      <c r="I111" s="26">
        <v>0</v>
      </c>
      <c r="J111" s="26">
        <v>0</v>
      </c>
      <c r="K111" s="26">
        <v>29495879.329999998</v>
      </c>
      <c r="L111" s="26">
        <v>28349743.960000001</v>
      </c>
      <c r="M111" s="26">
        <v>1146135.3700000001</v>
      </c>
      <c r="N111" s="26">
        <v>0</v>
      </c>
      <c r="O111" s="26">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26">
        <v>106816358.27</v>
      </c>
      <c r="E112" s="26">
        <v>105992333.22</v>
      </c>
      <c r="F112" s="26">
        <v>105992333.22</v>
      </c>
      <c r="G112" s="26">
        <v>0</v>
      </c>
      <c r="H112" s="26">
        <v>0</v>
      </c>
      <c r="I112" s="26">
        <v>0</v>
      </c>
      <c r="J112" s="26">
        <v>0</v>
      </c>
      <c r="K112" s="26">
        <v>106815009.92</v>
      </c>
      <c r="L112" s="26">
        <v>99602347.519999996</v>
      </c>
      <c r="M112" s="26">
        <v>7212662.4000000004</v>
      </c>
      <c r="N112" s="26">
        <v>0</v>
      </c>
      <c r="O112" s="26">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26">
        <v>26422509.940000001</v>
      </c>
      <c r="E113" s="26">
        <v>26178413</v>
      </c>
      <c r="F113" s="26">
        <v>26178413</v>
      </c>
      <c r="G113" s="26">
        <v>0</v>
      </c>
      <c r="H113" s="26">
        <v>0</v>
      </c>
      <c r="I113" s="26">
        <v>0</v>
      </c>
      <c r="J113" s="26">
        <v>0</v>
      </c>
      <c r="K113" s="26">
        <v>26422509.940000001</v>
      </c>
      <c r="L113" s="26">
        <v>22654887.059999999</v>
      </c>
      <c r="M113" s="26">
        <v>3767622.88</v>
      </c>
      <c r="N113" s="26">
        <v>0</v>
      </c>
      <c r="O113" s="26">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26">
        <v>34258987.359999999</v>
      </c>
      <c r="E114" s="26">
        <v>33687649.270000003</v>
      </c>
      <c r="F114" s="26">
        <v>33687649.270000003</v>
      </c>
      <c r="G114" s="26">
        <v>0</v>
      </c>
      <c r="H114" s="26">
        <v>0</v>
      </c>
      <c r="I114" s="26">
        <v>0</v>
      </c>
      <c r="J114" s="26">
        <v>0</v>
      </c>
      <c r="K114" s="26">
        <v>34258987.359999999</v>
      </c>
      <c r="L114" s="26">
        <v>31579969.399999999</v>
      </c>
      <c r="M114" s="26">
        <v>2679017.96</v>
      </c>
      <c r="N114" s="26">
        <v>0</v>
      </c>
      <c r="O114" s="26">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26">
        <v>74680244.730000004</v>
      </c>
      <c r="E115" s="26">
        <v>74091848.200000003</v>
      </c>
      <c r="F115" s="26">
        <v>74091848.200000003</v>
      </c>
      <c r="G115" s="26">
        <v>0</v>
      </c>
      <c r="H115" s="26">
        <v>0</v>
      </c>
      <c r="I115" s="26">
        <v>0</v>
      </c>
      <c r="J115" s="26">
        <v>0</v>
      </c>
      <c r="K115" s="26">
        <v>74209644.730000004</v>
      </c>
      <c r="L115" s="26">
        <v>65705414.729999997</v>
      </c>
      <c r="M115" s="26">
        <v>8504230</v>
      </c>
      <c r="N115" s="26">
        <v>0</v>
      </c>
      <c r="O115" s="26">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26">
        <v>28815090.5</v>
      </c>
      <c r="E116" s="26">
        <v>28660255.23</v>
      </c>
      <c r="F116" s="26">
        <v>28660255.23</v>
      </c>
      <c r="G116" s="26">
        <v>0</v>
      </c>
      <c r="H116" s="26">
        <v>0</v>
      </c>
      <c r="I116" s="26">
        <v>0</v>
      </c>
      <c r="J116" s="26">
        <v>0</v>
      </c>
      <c r="K116" s="26">
        <v>28809213.710000001</v>
      </c>
      <c r="L116" s="26">
        <v>26823715.850000001</v>
      </c>
      <c r="M116" s="26">
        <v>1985497.86</v>
      </c>
      <c r="N116" s="26">
        <v>0</v>
      </c>
      <c r="O116" s="26">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26">
        <v>47382386.109999999</v>
      </c>
      <c r="E117" s="26">
        <v>47019642.380000003</v>
      </c>
      <c r="F117" s="26">
        <v>47019642.380000003</v>
      </c>
      <c r="G117" s="26">
        <v>0</v>
      </c>
      <c r="H117" s="26">
        <v>0</v>
      </c>
      <c r="I117" s="26">
        <v>0</v>
      </c>
      <c r="J117" s="26">
        <v>0</v>
      </c>
      <c r="K117" s="26">
        <v>47382386.109999999</v>
      </c>
      <c r="L117" s="26">
        <v>42640543.149999999</v>
      </c>
      <c r="M117" s="26">
        <v>4741842.96</v>
      </c>
      <c r="N117" s="26">
        <v>0</v>
      </c>
      <c r="O117" s="26">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26">
        <v>29216573.09</v>
      </c>
      <c r="E118" s="26">
        <v>29035563.25</v>
      </c>
      <c r="F118" s="26">
        <v>29035563.25</v>
      </c>
      <c r="G118" s="26">
        <v>0</v>
      </c>
      <c r="H118" s="26">
        <v>0</v>
      </c>
      <c r="I118" s="26">
        <v>0</v>
      </c>
      <c r="J118" s="26">
        <v>0</v>
      </c>
      <c r="K118" s="26">
        <v>29166573.09</v>
      </c>
      <c r="L118" s="26">
        <v>26314960.129999999</v>
      </c>
      <c r="M118" s="26">
        <v>2851612.96</v>
      </c>
      <c r="N118" s="26">
        <v>0</v>
      </c>
      <c r="O118" s="26">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26">
        <v>59113164.859999999</v>
      </c>
      <c r="E119" s="26">
        <v>58993441.960000001</v>
      </c>
      <c r="F119" s="26">
        <v>58993441.960000001</v>
      </c>
      <c r="G119" s="26">
        <v>0</v>
      </c>
      <c r="H119" s="26">
        <v>0</v>
      </c>
      <c r="I119" s="26">
        <v>0</v>
      </c>
      <c r="J119" s="26">
        <v>0</v>
      </c>
      <c r="K119" s="26">
        <v>59113164.859999999</v>
      </c>
      <c r="L119" s="26">
        <v>55513945.619999997</v>
      </c>
      <c r="M119" s="26">
        <v>3599219.24</v>
      </c>
      <c r="N119" s="26">
        <v>0</v>
      </c>
      <c r="O119" s="26">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26">
        <v>48568478.380000003</v>
      </c>
      <c r="E120" s="26">
        <v>48135415.549999997</v>
      </c>
      <c r="F120" s="26">
        <v>48135415.549999997</v>
      </c>
      <c r="G120" s="26">
        <v>0</v>
      </c>
      <c r="H120" s="26">
        <v>0</v>
      </c>
      <c r="I120" s="26">
        <v>0</v>
      </c>
      <c r="J120" s="26">
        <v>0</v>
      </c>
      <c r="K120" s="26">
        <v>48567711.789999999</v>
      </c>
      <c r="L120" s="26">
        <v>45137010.07</v>
      </c>
      <c r="M120" s="26">
        <v>3430701.72</v>
      </c>
      <c r="N120" s="26">
        <v>0</v>
      </c>
      <c r="O120" s="26">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26">
        <v>22431743.140000001</v>
      </c>
      <c r="E121" s="26">
        <v>22285483.73</v>
      </c>
      <c r="F121" s="26">
        <v>22285483.73</v>
      </c>
      <c r="G121" s="26">
        <v>0</v>
      </c>
      <c r="H121" s="26">
        <v>0</v>
      </c>
      <c r="I121" s="26">
        <v>0</v>
      </c>
      <c r="J121" s="26">
        <v>0</v>
      </c>
      <c r="K121" s="26">
        <v>22431743.140000001</v>
      </c>
      <c r="L121" s="26">
        <v>20358158.079999998</v>
      </c>
      <c r="M121" s="26">
        <v>2073585.06</v>
      </c>
      <c r="N121" s="26">
        <v>0</v>
      </c>
      <c r="O121" s="26">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26">
        <v>27742747.199999999</v>
      </c>
      <c r="E122" s="26">
        <v>27437771.809999999</v>
      </c>
      <c r="F122" s="26">
        <v>27437771.809999999</v>
      </c>
      <c r="G122" s="26">
        <v>0</v>
      </c>
      <c r="H122" s="26">
        <v>0</v>
      </c>
      <c r="I122" s="26">
        <v>0</v>
      </c>
      <c r="J122" s="26">
        <v>0</v>
      </c>
      <c r="K122" s="26">
        <v>27707147.199999999</v>
      </c>
      <c r="L122" s="26">
        <v>25221442.640000001</v>
      </c>
      <c r="M122" s="26">
        <v>2485704.56</v>
      </c>
      <c r="N122" s="26">
        <v>0</v>
      </c>
      <c r="O122" s="26">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26">
        <v>34476483.979999997</v>
      </c>
      <c r="E123" s="26">
        <v>34469598.82</v>
      </c>
      <c r="F123" s="26">
        <v>34469598.82</v>
      </c>
      <c r="G123" s="26">
        <v>0</v>
      </c>
      <c r="H123" s="26">
        <v>0</v>
      </c>
      <c r="I123" s="26">
        <v>0</v>
      </c>
      <c r="J123" s="26">
        <v>0</v>
      </c>
      <c r="K123" s="26">
        <v>34356483.979999997</v>
      </c>
      <c r="L123" s="26">
        <v>32495841.079999998</v>
      </c>
      <c r="M123" s="26">
        <v>1860642.9</v>
      </c>
      <c r="N123" s="26">
        <v>0</v>
      </c>
      <c r="O123" s="26">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26">
        <v>25638547.91</v>
      </c>
      <c r="E124" s="26">
        <v>24968406.350000001</v>
      </c>
      <c r="F124" s="26">
        <v>24968406.350000001</v>
      </c>
      <c r="G124" s="26">
        <v>0</v>
      </c>
      <c r="H124" s="26">
        <v>0</v>
      </c>
      <c r="I124" s="26">
        <v>0</v>
      </c>
      <c r="J124" s="26">
        <v>0</v>
      </c>
      <c r="K124" s="26">
        <v>25188919.039999999</v>
      </c>
      <c r="L124" s="26">
        <v>23840946.350000001</v>
      </c>
      <c r="M124" s="26">
        <v>1347972.69</v>
      </c>
      <c r="N124" s="26">
        <v>0</v>
      </c>
      <c r="O124" s="26">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26">
        <v>34197536.049999997</v>
      </c>
      <c r="E125" s="26">
        <v>34118036.049999997</v>
      </c>
      <c r="F125" s="26">
        <v>34118036.049999997</v>
      </c>
      <c r="G125" s="26">
        <v>0</v>
      </c>
      <c r="H125" s="26">
        <v>0</v>
      </c>
      <c r="I125" s="26">
        <v>0</v>
      </c>
      <c r="J125" s="26">
        <v>0</v>
      </c>
      <c r="K125" s="26">
        <v>34197536.049999997</v>
      </c>
      <c r="L125" s="26">
        <v>26356509.920000002</v>
      </c>
      <c r="M125" s="26">
        <v>7841026.1299999999</v>
      </c>
      <c r="N125" s="26">
        <v>0</v>
      </c>
      <c r="O125" s="26">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26">
        <v>34490638.880000003</v>
      </c>
      <c r="E126" s="26">
        <v>34490638.880000003</v>
      </c>
      <c r="F126" s="26">
        <v>34490638.880000003</v>
      </c>
      <c r="G126" s="26">
        <v>0</v>
      </c>
      <c r="H126" s="26">
        <v>0</v>
      </c>
      <c r="I126" s="26">
        <v>0</v>
      </c>
      <c r="J126" s="26">
        <v>0</v>
      </c>
      <c r="K126" s="26">
        <v>34490638.880000003</v>
      </c>
      <c r="L126" s="26">
        <v>32074453.98</v>
      </c>
      <c r="M126" s="26">
        <v>2416184.9</v>
      </c>
      <c r="N126" s="26">
        <v>0</v>
      </c>
      <c r="O126" s="26">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26">
        <v>27981948.34</v>
      </c>
      <c r="E127" s="26">
        <v>27881948.34</v>
      </c>
      <c r="F127" s="26">
        <v>27881948.34</v>
      </c>
      <c r="G127" s="26">
        <v>0</v>
      </c>
      <c r="H127" s="26">
        <v>0</v>
      </c>
      <c r="I127" s="26">
        <v>0</v>
      </c>
      <c r="J127" s="26">
        <v>0</v>
      </c>
      <c r="K127" s="26">
        <v>27981948.34</v>
      </c>
      <c r="L127" s="26">
        <v>26490747.34</v>
      </c>
      <c r="M127" s="26">
        <v>1491201</v>
      </c>
      <c r="N127" s="26">
        <v>0</v>
      </c>
      <c r="O127" s="26">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26">
        <v>22925147.82</v>
      </c>
      <c r="E128" s="26">
        <v>22025147.82</v>
      </c>
      <c r="F128" s="26">
        <v>22025147.82</v>
      </c>
      <c r="G128" s="26">
        <v>0</v>
      </c>
      <c r="H128" s="26">
        <v>0</v>
      </c>
      <c r="I128" s="26">
        <v>0</v>
      </c>
      <c r="J128" s="26">
        <v>0</v>
      </c>
      <c r="K128" s="26">
        <v>22925147.82</v>
      </c>
      <c r="L128" s="26">
        <v>20605962.82</v>
      </c>
      <c r="M128" s="26">
        <v>2319185</v>
      </c>
      <c r="N128" s="26">
        <v>0</v>
      </c>
      <c r="O128" s="26">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26">
        <v>25875567.760000002</v>
      </c>
      <c r="E129" s="26">
        <v>25875567.760000002</v>
      </c>
      <c r="F129" s="26">
        <v>25875567.760000002</v>
      </c>
      <c r="G129" s="26">
        <v>0</v>
      </c>
      <c r="H129" s="26">
        <v>0</v>
      </c>
      <c r="I129" s="26">
        <v>0</v>
      </c>
      <c r="J129" s="26">
        <v>0</v>
      </c>
      <c r="K129" s="26">
        <v>25875567.760000002</v>
      </c>
      <c r="L129" s="26">
        <v>23329892.370000001</v>
      </c>
      <c r="M129" s="26">
        <v>2545675.39</v>
      </c>
      <c r="N129" s="26">
        <v>0</v>
      </c>
      <c r="O129" s="26">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26">
        <v>22629275.809999999</v>
      </c>
      <c r="E130" s="26">
        <v>22509275.809999999</v>
      </c>
      <c r="F130" s="26">
        <v>22509275.809999999</v>
      </c>
      <c r="G130" s="26">
        <v>0</v>
      </c>
      <c r="H130" s="26">
        <v>0</v>
      </c>
      <c r="I130" s="26">
        <v>0</v>
      </c>
      <c r="J130" s="26">
        <v>0</v>
      </c>
      <c r="K130" s="26">
        <v>22629275.809999999</v>
      </c>
      <c r="L130" s="26">
        <v>21193213.809999999</v>
      </c>
      <c r="M130" s="26">
        <v>1436062</v>
      </c>
      <c r="N130" s="26">
        <v>0</v>
      </c>
      <c r="O130" s="26">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26">
        <v>26408897.870000001</v>
      </c>
      <c r="E131" s="26">
        <v>26408897.870000001</v>
      </c>
      <c r="F131" s="26">
        <v>26408897.870000001</v>
      </c>
      <c r="G131" s="26">
        <v>0</v>
      </c>
      <c r="H131" s="26">
        <v>0</v>
      </c>
      <c r="I131" s="26">
        <v>0</v>
      </c>
      <c r="J131" s="26">
        <v>0</v>
      </c>
      <c r="K131" s="26">
        <v>26408897.870000001</v>
      </c>
      <c r="L131" s="26">
        <v>22064985.379999999</v>
      </c>
      <c r="M131" s="26">
        <v>4343912.49</v>
      </c>
      <c r="N131" s="26">
        <v>0</v>
      </c>
      <c r="O131" s="26">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26">
        <v>33552166.989999998</v>
      </c>
      <c r="E132" s="26">
        <v>33425551.93</v>
      </c>
      <c r="F132" s="26">
        <v>33425551.93</v>
      </c>
      <c r="G132" s="26">
        <v>0</v>
      </c>
      <c r="H132" s="26">
        <v>0</v>
      </c>
      <c r="I132" s="26">
        <v>0</v>
      </c>
      <c r="J132" s="26">
        <v>0</v>
      </c>
      <c r="K132" s="26">
        <v>33552166.989999998</v>
      </c>
      <c r="L132" s="26">
        <v>27837942.870000001</v>
      </c>
      <c r="M132" s="26">
        <v>5714224.1200000001</v>
      </c>
      <c r="N132" s="26">
        <v>0</v>
      </c>
      <c r="O132" s="26">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26">
        <v>19078690.039999999</v>
      </c>
      <c r="E133" s="26">
        <v>19078690.039999999</v>
      </c>
      <c r="F133" s="26">
        <v>19078690.039999999</v>
      </c>
      <c r="G133" s="26">
        <v>0</v>
      </c>
      <c r="H133" s="26">
        <v>0</v>
      </c>
      <c r="I133" s="26">
        <v>0</v>
      </c>
      <c r="J133" s="26">
        <v>0</v>
      </c>
      <c r="K133" s="26">
        <v>19078690.039999999</v>
      </c>
      <c r="L133" s="26">
        <v>14308904.58</v>
      </c>
      <c r="M133" s="26">
        <v>4769785.46</v>
      </c>
      <c r="N133" s="26">
        <v>0</v>
      </c>
      <c r="O133" s="26">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26">
        <v>42447232.030000001</v>
      </c>
      <c r="E134" s="26">
        <v>41564332.030000001</v>
      </c>
      <c r="F134" s="26">
        <v>41564332.030000001</v>
      </c>
      <c r="G134" s="26">
        <v>0</v>
      </c>
      <c r="H134" s="26">
        <v>0</v>
      </c>
      <c r="I134" s="26">
        <v>0</v>
      </c>
      <c r="J134" s="26">
        <v>0</v>
      </c>
      <c r="K134" s="26">
        <v>42447232.030000001</v>
      </c>
      <c r="L134" s="26">
        <v>24895249.870000001</v>
      </c>
      <c r="M134" s="26">
        <v>17551982.16</v>
      </c>
      <c r="N134" s="26">
        <v>0</v>
      </c>
      <c r="O134" s="26">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26">
        <v>13014173.789999999</v>
      </c>
      <c r="E135" s="26">
        <v>13014173.789999999</v>
      </c>
      <c r="F135" s="26">
        <v>13014173.789999999</v>
      </c>
      <c r="G135" s="26">
        <v>0</v>
      </c>
      <c r="H135" s="26">
        <v>0</v>
      </c>
      <c r="I135" s="26">
        <v>0</v>
      </c>
      <c r="J135" s="26">
        <v>0</v>
      </c>
      <c r="K135" s="26">
        <v>13014173.789999999</v>
      </c>
      <c r="L135" s="26">
        <v>12245895.6</v>
      </c>
      <c r="M135" s="26">
        <v>768278.19</v>
      </c>
      <c r="N135" s="26">
        <v>0</v>
      </c>
      <c r="O135" s="26">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26">
        <v>13811647.4</v>
      </c>
      <c r="E136" s="26">
        <v>13811647.4</v>
      </c>
      <c r="F136" s="26">
        <v>13811647.4</v>
      </c>
      <c r="G136" s="26">
        <v>0</v>
      </c>
      <c r="H136" s="26">
        <v>0</v>
      </c>
      <c r="I136" s="26">
        <v>0</v>
      </c>
      <c r="J136" s="26">
        <v>0</v>
      </c>
      <c r="K136" s="26">
        <v>13811647.4</v>
      </c>
      <c r="L136" s="26">
        <v>12612412.99</v>
      </c>
      <c r="M136" s="26">
        <v>1199234.4099999999</v>
      </c>
      <c r="N136" s="26">
        <v>0</v>
      </c>
      <c r="O136" s="26">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26">
        <v>11842605.939999999</v>
      </c>
      <c r="E137" s="26">
        <v>11842605.939999999</v>
      </c>
      <c r="F137" s="26">
        <v>11842605.939999999</v>
      </c>
      <c r="G137" s="26">
        <v>0</v>
      </c>
      <c r="H137" s="26">
        <v>0</v>
      </c>
      <c r="I137" s="26">
        <v>0</v>
      </c>
      <c r="J137" s="26">
        <v>0</v>
      </c>
      <c r="K137" s="26">
        <v>11842605.939999999</v>
      </c>
      <c r="L137" s="26">
        <v>10972642.83</v>
      </c>
      <c r="M137" s="26">
        <v>869963.11</v>
      </c>
      <c r="N137" s="26">
        <v>0</v>
      </c>
      <c r="O137" s="26">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26">
        <v>29183786.52</v>
      </c>
      <c r="E138" s="26">
        <v>29038969.890000001</v>
      </c>
      <c r="F138" s="26">
        <v>28071393.129999999</v>
      </c>
      <c r="G138" s="26">
        <v>690836</v>
      </c>
      <c r="H138" s="26">
        <v>0</v>
      </c>
      <c r="I138" s="26">
        <v>0</v>
      </c>
      <c r="J138" s="26">
        <v>276740.76</v>
      </c>
      <c r="K138" s="26">
        <v>29183786.52</v>
      </c>
      <c r="L138" s="26">
        <v>26974364.289999999</v>
      </c>
      <c r="M138" s="26">
        <v>2209422.23</v>
      </c>
      <c r="N138" s="26">
        <v>0</v>
      </c>
      <c r="O138" s="26">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26">
        <v>11049702.810000001</v>
      </c>
      <c r="E139" s="26">
        <v>11049702.810000001</v>
      </c>
      <c r="F139" s="26">
        <v>10437922.75</v>
      </c>
      <c r="G139" s="26">
        <v>578954.80000000005</v>
      </c>
      <c r="H139" s="26">
        <v>0</v>
      </c>
      <c r="I139" s="26">
        <v>0</v>
      </c>
      <c r="J139" s="26">
        <v>32825.26</v>
      </c>
      <c r="K139" s="26">
        <v>11049702.810000001</v>
      </c>
      <c r="L139" s="26">
        <v>8999257.3200000003</v>
      </c>
      <c r="M139" s="26">
        <v>2050445.49</v>
      </c>
      <c r="N139" s="26">
        <v>0</v>
      </c>
      <c r="O139" s="26">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26">
        <v>38187466.770000003</v>
      </c>
      <c r="E140" s="26">
        <v>38187466.770000003</v>
      </c>
      <c r="F140" s="26">
        <v>38187466.770000003</v>
      </c>
      <c r="G140" s="26">
        <v>0</v>
      </c>
      <c r="H140" s="26">
        <v>0</v>
      </c>
      <c r="I140" s="26">
        <v>0</v>
      </c>
      <c r="J140" s="26">
        <v>0</v>
      </c>
      <c r="K140" s="26">
        <v>38187466.770000003</v>
      </c>
      <c r="L140" s="26">
        <v>31771686.789999999</v>
      </c>
      <c r="M140" s="26">
        <v>6415779.9800000004</v>
      </c>
      <c r="N140" s="26">
        <v>0</v>
      </c>
      <c r="O140" s="26">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26">
        <v>21159845.43</v>
      </c>
      <c r="E141" s="26">
        <v>21025811.43</v>
      </c>
      <c r="F141" s="26">
        <v>21025811.43</v>
      </c>
      <c r="G141" s="26">
        <v>0</v>
      </c>
      <c r="H141" s="26">
        <v>0</v>
      </c>
      <c r="I141" s="26">
        <v>0</v>
      </c>
      <c r="J141" s="26">
        <v>0</v>
      </c>
      <c r="K141" s="26">
        <v>21159845.43</v>
      </c>
      <c r="L141" s="26">
        <v>16447814.449999999</v>
      </c>
      <c r="M141" s="26">
        <v>4712030.9800000004</v>
      </c>
      <c r="N141" s="26">
        <v>0</v>
      </c>
      <c r="O141" s="26">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26">
        <v>22529148.890000001</v>
      </c>
      <c r="E142" s="26">
        <v>22527315.969999999</v>
      </c>
      <c r="F142" s="26">
        <v>22527315.969999999</v>
      </c>
      <c r="G142" s="26">
        <v>0</v>
      </c>
      <c r="H142" s="26">
        <v>0</v>
      </c>
      <c r="I142" s="26">
        <v>0</v>
      </c>
      <c r="J142" s="26">
        <v>0</v>
      </c>
      <c r="K142" s="26">
        <v>21729148.890000001</v>
      </c>
      <c r="L142" s="26">
        <v>15259631.890000001</v>
      </c>
      <c r="M142" s="26">
        <v>6469517</v>
      </c>
      <c r="N142" s="26">
        <v>0</v>
      </c>
      <c r="O142" s="26">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26">
        <v>13181978.67</v>
      </c>
      <c r="E143" s="26">
        <v>13181978.67</v>
      </c>
      <c r="F143" s="26">
        <v>13181978.67</v>
      </c>
      <c r="G143" s="26">
        <v>0</v>
      </c>
      <c r="H143" s="26">
        <v>0</v>
      </c>
      <c r="I143" s="26">
        <v>0</v>
      </c>
      <c r="J143" s="26">
        <v>0</v>
      </c>
      <c r="K143" s="26">
        <v>13181978.67</v>
      </c>
      <c r="L143" s="26">
        <v>11200974.17</v>
      </c>
      <c r="M143" s="26">
        <v>1981004.5</v>
      </c>
      <c r="N143" s="26">
        <v>0</v>
      </c>
      <c r="O143" s="26">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26">
        <v>7789429.5599999996</v>
      </c>
      <c r="E144" s="26">
        <v>7789429.5599999996</v>
      </c>
      <c r="F144" s="26">
        <v>7789429.5599999996</v>
      </c>
      <c r="G144" s="26">
        <v>0</v>
      </c>
      <c r="H144" s="26">
        <v>0</v>
      </c>
      <c r="I144" s="26">
        <v>0</v>
      </c>
      <c r="J144" s="26">
        <v>0</v>
      </c>
      <c r="K144" s="26">
        <v>7789429.5599999996</v>
      </c>
      <c r="L144" s="26">
        <v>6435274.9699999997</v>
      </c>
      <c r="M144" s="26">
        <v>1354154.59</v>
      </c>
      <c r="N144" s="26">
        <v>0</v>
      </c>
      <c r="O144" s="26">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26">
        <v>889188954.75</v>
      </c>
      <c r="E145" s="26">
        <v>889188954.75</v>
      </c>
      <c r="F145" s="26">
        <v>875814900.45000005</v>
      </c>
      <c r="G145" s="26">
        <v>0</v>
      </c>
      <c r="H145" s="26">
        <v>0</v>
      </c>
      <c r="I145" s="26">
        <v>0</v>
      </c>
      <c r="J145" s="26">
        <v>13374054.300000001</v>
      </c>
      <c r="K145" s="26">
        <v>840265397.87</v>
      </c>
      <c r="L145" s="26">
        <v>35573702.109999999</v>
      </c>
      <c r="M145" s="26">
        <v>804691695.75999999</v>
      </c>
      <c r="N145" s="26">
        <v>0</v>
      </c>
      <c r="O145" s="26">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26">
        <v>67941300.219999999</v>
      </c>
      <c r="E146" s="26">
        <v>67941300.219999999</v>
      </c>
      <c r="F146" s="26">
        <v>67941300.219999999</v>
      </c>
      <c r="G146" s="26">
        <v>0</v>
      </c>
      <c r="H146" s="26">
        <v>0</v>
      </c>
      <c r="I146" s="26">
        <v>0</v>
      </c>
      <c r="J146" s="26">
        <v>0</v>
      </c>
      <c r="K146" s="26">
        <v>67941300.219999999</v>
      </c>
      <c r="L146" s="26">
        <v>66179493.159999996</v>
      </c>
      <c r="M146" s="26">
        <v>1761807.06</v>
      </c>
      <c r="N146" s="26">
        <v>0</v>
      </c>
      <c r="O146" s="26">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26">
        <v>46456477.57</v>
      </c>
      <c r="E147" s="26">
        <v>46237237.310000002</v>
      </c>
      <c r="F147" s="26">
        <v>46145445.310000002</v>
      </c>
      <c r="G147" s="26">
        <v>91792</v>
      </c>
      <c r="H147" s="26">
        <v>0</v>
      </c>
      <c r="I147" s="26">
        <v>0</v>
      </c>
      <c r="J147" s="26">
        <v>0</v>
      </c>
      <c r="K147" s="26">
        <v>46448428</v>
      </c>
      <c r="L147" s="26">
        <v>41942050.869999997</v>
      </c>
      <c r="M147" s="26">
        <v>4506377.13</v>
      </c>
      <c r="N147" s="26">
        <v>0</v>
      </c>
      <c r="O147" s="26">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26">
        <v>45356359.909999996</v>
      </c>
      <c r="E148" s="26">
        <v>45217472.960000001</v>
      </c>
      <c r="F148" s="26">
        <v>44998502.960000001</v>
      </c>
      <c r="G148" s="26">
        <v>218970</v>
      </c>
      <c r="H148" s="26">
        <v>0</v>
      </c>
      <c r="I148" s="26">
        <v>0</v>
      </c>
      <c r="J148" s="26">
        <v>0</v>
      </c>
      <c r="K148" s="26">
        <v>45356359.909999996</v>
      </c>
      <c r="L148" s="26">
        <v>42036276.689999998</v>
      </c>
      <c r="M148" s="26">
        <v>3320083.22</v>
      </c>
      <c r="N148" s="26">
        <v>0</v>
      </c>
      <c r="O148" s="26">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26">
        <v>59007017.460000001</v>
      </c>
      <c r="E149" s="26">
        <v>59007017.460000001</v>
      </c>
      <c r="F149" s="26">
        <v>59007017.460000001</v>
      </c>
      <c r="G149" s="26">
        <v>0</v>
      </c>
      <c r="H149" s="26">
        <v>0</v>
      </c>
      <c r="I149" s="26">
        <v>0</v>
      </c>
      <c r="J149" s="26">
        <v>0</v>
      </c>
      <c r="K149" s="26">
        <v>59007017.460000001</v>
      </c>
      <c r="L149" s="26">
        <v>13008574.67</v>
      </c>
      <c r="M149" s="26">
        <v>45998442.789999999</v>
      </c>
      <c r="N149" s="26">
        <v>0</v>
      </c>
      <c r="O149" s="26">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26">
        <v>18354605.129999999</v>
      </c>
      <c r="E150" s="26">
        <v>18354605.129999999</v>
      </c>
      <c r="F150" s="26">
        <v>18354605.129999999</v>
      </c>
      <c r="G150" s="26">
        <v>0</v>
      </c>
      <c r="H150" s="26">
        <v>0</v>
      </c>
      <c r="I150" s="26">
        <v>0</v>
      </c>
      <c r="J150" s="26">
        <v>0</v>
      </c>
      <c r="K150" s="26">
        <v>18354605.129999999</v>
      </c>
      <c r="L150" s="26">
        <v>17251058.02</v>
      </c>
      <c r="M150" s="26">
        <v>1103547.1100000001</v>
      </c>
      <c r="N150" s="26">
        <v>0</v>
      </c>
      <c r="O150" s="26">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26">
        <v>13029864.33</v>
      </c>
      <c r="E151" s="26">
        <v>13029864.33</v>
      </c>
      <c r="F151" s="26">
        <v>13029864.33</v>
      </c>
      <c r="G151" s="26">
        <v>0</v>
      </c>
      <c r="H151" s="26">
        <v>0</v>
      </c>
      <c r="I151" s="26">
        <v>0</v>
      </c>
      <c r="J151" s="26">
        <v>0</v>
      </c>
      <c r="K151" s="26">
        <v>13029864.33</v>
      </c>
      <c r="L151" s="26">
        <v>12288689.58</v>
      </c>
      <c r="M151" s="26">
        <v>741174.75</v>
      </c>
      <c r="N151" s="26">
        <v>0</v>
      </c>
      <c r="O151" s="26">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26">
        <v>28281224.190000001</v>
      </c>
      <c r="E152" s="26">
        <v>28193487.120000001</v>
      </c>
      <c r="F152" s="26">
        <v>28193487.120000001</v>
      </c>
      <c r="G152" s="26">
        <v>0</v>
      </c>
      <c r="H152" s="26">
        <v>0</v>
      </c>
      <c r="I152" s="26">
        <v>0</v>
      </c>
      <c r="J152" s="26">
        <v>0</v>
      </c>
      <c r="K152" s="26">
        <v>28281205.190000001</v>
      </c>
      <c r="L152" s="26">
        <v>25727302.530000001</v>
      </c>
      <c r="M152" s="26">
        <v>2553902.66</v>
      </c>
      <c r="N152" s="26">
        <v>0</v>
      </c>
      <c r="O152" s="26">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26">
        <v>22370924.09</v>
      </c>
      <c r="E153" s="26">
        <v>22320924.09</v>
      </c>
      <c r="F153" s="26">
        <v>22320924.09</v>
      </c>
      <c r="G153" s="26">
        <v>0</v>
      </c>
      <c r="H153" s="26">
        <v>0</v>
      </c>
      <c r="I153" s="26">
        <v>0</v>
      </c>
      <c r="J153" s="26">
        <v>0</v>
      </c>
      <c r="K153" s="26">
        <v>22370924.09</v>
      </c>
      <c r="L153" s="26">
        <v>21255723.66</v>
      </c>
      <c r="M153" s="26">
        <v>1115200.43</v>
      </c>
      <c r="N153" s="26">
        <v>0</v>
      </c>
      <c r="O153" s="26">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26">
        <v>12181177.050000001</v>
      </c>
      <c r="E154" s="26">
        <v>12120177.050000001</v>
      </c>
      <c r="F154" s="26">
        <v>12120177.050000001</v>
      </c>
      <c r="G154" s="26">
        <v>0</v>
      </c>
      <c r="H154" s="26">
        <v>0</v>
      </c>
      <c r="I154" s="26">
        <v>0</v>
      </c>
      <c r="J154" s="26">
        <v>0</v>
      </c>
      <c r="K154" s="26">
        <v>12181177.050000001</v>
      </c>
      <c r="L154" s="26">
        <v>11215947.050000001</v>
      </c>
      <c r="M154" s="26">
        <v>965230</v>
      </c>
      <c r="N154" s="26">
        <v>0</v>
      </c>
      <c r="O154" s="26">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26">
        <v>10693843.289999999</v>
      </c>
      <c r="E155" s="26">
        <v>10483897.689999999</v>
      </c>
      <c r="F155" s="26">
        <v>10483897.689999999</v>
      </c>
      <c r="G155" s="26">
        <v>0</v>
      </c>
      <c r="H155" s="26">
        <v>0</v>
      </c>
      <c r="I155" s="26">
        <v>0</v>
      </c>
      <c r="J155" s="26">
        <v>0</v>
      </c>
      <c r="K155" s="26">
        <v>10693843.289999999</v>
      </c>
      <c r="L155" s="26">
        <v>9554326.6899999995</v>
      </c>
      <c r="M155" s="26">
        <v>1139516.6000000001</v>
      </c>
      <c r="N155" s="26">
        <v>0</v>
      </c>
      <c r="O155" s="26">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26">
        <v>7500126.6299999999</v>
      </c>
      <c r="E156" s="26">
        <v>6475398.6299999999</v>
      </c>
      <c r="F156" s="26">
        <v>6475398.6299999999</v>
      </c>
      <c r="G156" s="26">
        <v>0</v>
      </c>
      <c r="H156" s="26">
        <v>0</v>
      </c>
      <c r="I156" s="26">
        <v>0</v>
      </c>
      <c r="J156" s="26">
        <v>0</v>
      </c>
      <c r="K156" s="26">
        <v>7500126.6299999999</v>
      </c>
      <c r="L156" s="26">
        <v>5043097.45</v>
      </c>
      <c r="M156" s="26">
        <v>2457029.1800000002</v>
      </c>
      <c r="N156" s="26">
        <v>0</v>
      </c>
      <c r="O156" s="26">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26">
        <v>9971971.4600000009</v>
      </c>
      <c r="E157" s="26">
        <v>8171971.46</v>
      </c>
      <c r="F157" s="26">
        <v>8171971.46</v>
      </c>
      <c r="G157" s="26">
        <v>0</v>
      </c>
      <c r="H157" s="26">
        <v>0</v>
      </c>
      <c r="I157" s="26">
        <v>0</v>
      </c>
      <c r="J157" s="26">
        <v>0</v>
      </c>
      <c r="K157" s="26">
        <v>9971971.4600000009</v>
      </c>
      <c r="L157" s="26">
        <v>7593491.8200000003</v>
      </c>
      <c r="M157" s="26">
        <v>2378479.64</v>
      </c>
      <c r="N157" s="26">
        <v>0</v>
      </c>
      <c r="O157" s="26">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26">
        <v>2835175.33</v>
      </c>
      <c r="E158" s="26">
        <v>2835175.33</v>
      </c>
      <c r="F158" s="26">
        <v>2835175.33</v>
      </c>
      <c r="G158" s="26">
        <v>0</v>
      </c>
      <c r="H158" s="26">
        <v>0</v>
      </c>
      <c r="I158" s="26">
        <v>0</v>
      </c>
      <c r="J158" s="26">
        <v>0</v>
      </c>
      <c r="K158" s="26">
        <v>2835175.33</v>
      </c>
      <c r="L158" s="26">
        <v>2717542.77</v>
      </c>
      <c r="M158" s="26">
        <v>117632.56</v>
      </c>
      <c r="N158" s="26">
        <v>0</v>
      </c>
      <c r="O158" s="26">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26">
        <v>146566.88</v>
      </c>
      <c r="E159" s="26">
        <v>146566.88</v>
      </c>
      <c r="F159" s="26">
        <v>146566.88</v>
      </c>
      <c r="G159" s="26">
        <v>0</v>
      </c>
      <c r="H159" s="26">
        <v>0</v>
      </c>
      <c r="I159" s="26">
        <v>0</v>
      </c>
      <c r="J159" s="26">
        <v>0</v>
      </c>
      <c r="K159" s="26">
        <v>146566.88</v>
      </c>
      <c r="L159" s="26">
        <v>146566.88</v>
      </c>
      <c r="M159" s="26">
        <v>0</v>
      </c>
      <c r="N159" s="26">
        <v>0</v>
      </c>
      <c r="O159" s="26">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26">
        <v>4034167.53</v>
      </c>
      <c r="E160" s="26">
        <v>4034167.53</v>
      </c>
      <c r="F160" s="26">
        <v>4034167.53</v>
      </c>
      <c r="G160" s="26">
        <v>0</v>
      </c>
      <c r="H160" s="26">
        <v>0</v>
      </c>
      <c r="I160" s="26">
        <v>0</v>
      </c>
      <c r="J160" s="26">
        <v>0</v>
      </c>
      <c r="K160" s="26">
        <v>4034167.53</v>
      </c>
      <c r="L160" s="26">
        <v>2611962.4300000002</v>
      </c>
      <c r="M160" s="26">
        <v>1422205.1</v>
      </c>
      <c r="N160" s="26">
        <v>0</v>
      </c>
      <c r="O160" s="26">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26">
        <v>4665551.51</v>
      </c>
      <c r="E161" s="26">
        <v>4657318.51</v>
      </c>
      <c r="F161" s="26">
        <v>4657318.51</v>
      </c>
      <c r="G161" s="26">
        <v>0</v>
      </c>
      <c r="H161" s="26">
        <v>0</v>
      </c>
      <c r="I161" s="26">
        <v>0</v>
      </c>
      <c r="J161" s="26">
        <v>0</v>
      </c>
      <c r="K161" s="26">
        <v>4665551.51</v>
      </c>
      <c r="L161" s="26">
        <v>3309475.73</v>
      </c>
      <c r="M161" s="26">
        <v>1356075.78</v>
      </c>
      <c r="N161" s="26">
        <v>0</v>
      </c>
      <c r="O161" s="26">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349</v>
      </c>
      <c r="C162" s="26">
        <v>17373</v>
      </c>
      <c r="D162" s="26">
        <v>9486011584.9200001</v>
      </c>
      <c r="E162" s="26">
        <v>9404812669.4899998</v>
      </c>
      <c r="F162" s="26">
        <v>9297927747.8600006</v>
      </c>
      <c r="G162" s="26">
        <v>20655365.800000001</v>
      </c>
      <c r="H162" s="26">
        <v>60265793.43</v>
      </c>
      <c r="I162" s="26">
        <v>4600000</v>
      </c>
      <c r="J162" s="26">
        <v>21363762.399999999</v>
      </c>
      <c r="K162" s="26">
        <v>9409592020.7999992</v>
      </c>
      <c r="L162" s="26">
        <v>7206005275.6700001</v>
      </c>
      <c r="M162" s="26">
        <v>2145026138.8399999</v>
      </c>
      <c r="N162" s="26">
        <v>58560606.289999999</v>
      </c>
      <c r="O162" s="26">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295</v>
      </c>
      <c r="B1" s="22" t="s">
        <v>296</v>
      </c>
      <c r="C1" s="22" t="s">
        <v>350</v>
      </c>
      <c r="D1" s="22" t="s">
        <v>351</v>
      </c>
      <c r="E1" s="22" t="s">
        <v>352</v>
      </c>
      <c r="F1" s="22" t="s">
        <v>353</v>
      </c>
    </row>
    <row r="2" spans="1:6">
      <c r="A2" s="24">
        <v>255001</v>
      </c>
      <c r="B2" s="25" t="s">
        <v>347</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354</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355</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356</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357</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9" width="8.625" style="47"/>
    <col min="20" max="22" width="8.75" style="47" customWidth="1"/>
    <col min="23" max="16384" width="8.625" style="47"/>
  </cols>
  <sheetData>
    <row r="1" spans="1:42" s="42" customFormat="1" ht="60">
      <c r="A1" s="42" t="s">
        <v>367</v>
      </c>
      <c r="B1" s="42" t="s">
        <v>404</v>
      </c>
      <c r="C1" s="42" t="s">
        <v>405</v>
      </c>
      <c r="D1" s="42" t="s">
        <v>406</v>
      </c>
      <c r="E1" s="42" t="s">
        <v>407</v>
      </c>
      <c r="F1" s="42" t="s">
        <v>408</v>
      </c>
      <c r="G1" s="42" t="s">
        <v>409</v>
      </c>
      <c r="H1" s="42" t="s">
        <v>410</v>
      </c>
      <c r="I1" s="42" t="s">
        <v>411</v>
      </c>
      <c r="J1" s="42" t="s">
        <v>412</v>
      </c>
      <c r="K1" s="42" t="s">
        <v>413</v>
      </c>
      <c r="L1" s="42" t="s">
        <v>414</v>
      </c>
      <c r="M1" s="42" t="s">
        <v>415</v>
      </c>
      <c r="N1" s="42" t="s">
        <v>416</v>
      </c>
      <c r="O1" s="42" t="s">
        <v>417</v>
      </c>
      <c r="P1" s="42" t="s">
        <v>418</v>
      </c>
      <c r="Q1" s="42" t="s">
        <v>419</v>
      </c>
      <c r="R1" s="42" t="s">
        <v>420</v>
      </c>
      <c r="S1" s="42" t="s">
        <v>421</v>
      </c>
      <c r="T1" s="42" t="s">
        <v>422</v>
      </c>
      <c r="U1" s="42" t="s">
        <v>423</v>
      </c>
      <c r="V1" s="42" t="s">
        <v>424</v>
      </c>
      <c r="W1" s="42" t="s">
        <v>425</v>
      </c>
      <c r="X1" s="42" t="s">
        <v>426</v>
      </c>
      <c r="Y1" s="42" t="s">
        <v>427</v>
      </c>
      <c r="Z1" s="42" t="s">
        <v>428</v>
      </c>
      <c r="AA1" s="42" t="s">
        <v>429</v>
      </c>
      <c r="AB1" s="42" t="s">
        <v>430</v>
      </c>
      <c r="AC1" s="42" t="s">
        <v>431</v>
      </c>
      <c r="AD1" s="42" t="s">
        <v>432</v>
      </c>
      <c r="AE1" s="42" t="s">
        <v>433</v>
      </c>
      <c r="AF1" s="42" t="s">
        <v>434</v>
      </c>
      <c r="AG1" s="42" t="s">
        <v>435</v>
      </c>
      <c r="AH1" s="42" t="s">
        <v>436</v>
      </c>
      <c r="AI1" s="42" t="s">
        <v>437</v>
      </c>
      <c r="AJ1" s="42" t="s">
        <v>438</v>
      </c>
      <c r="AK1" s="42" t="s">
        <v>439</v>
      </c>
      <c r="AL1" s="42" t="s">
        <v>440</v>
      </c>
      <c r="AM1" s="42" t="s">
        <v>441</v>
      </c>
      <c r="AN1" s="42" t="s">
        <v>442</v>
      </c>
      <c r="AO1" s="42" t="s">
        <v>443</v>
      </c>
      <c r="AP1" s="42" t="s">
        <v>444</v>
      </c>
    </row>
    <row r="2" spans="1:42">
      <c r="A2" s="43">
        <v>255001</v>
      </c>
      <c r="B2" s="44" t="s">
        <v>347</v>
      </c>
      <c r="C2" s="45">
        <f>SUMIFS('07导出'!$G$2:$G$1860,'07导出'!$A$2:$A$1860,A2,'07导出'!$C$2:$C$1860,"205")</f>
        <v>307668084.52999997</v>
      </c>
      <c r="D2" s="45">
        <f>SUMIFS('07导出'!$H$2:$H$1860,'07导出'!$A$2:$A$1860,A2,'07导出'!$C$2:$C$1860,"205")</f>
        <v>819014423.61000001</v>
      </c>
      <c r="E2" s="46">
        <f>SUMIFS('07导出'!$G$2:$G$1860,'07导出'!$A$2:$A$1860,A2,'07导出'!$D$2:$D$1860,"20502")</f>
        <v>307668084.52999997</v>
      </c>
      <c r="F2" s="46">
        <f>SUMIFS('07导出'!$H$2:$H$1860,'07导出'!$A$2:$A$1860,A2,'07导出'!$D$2:$D$1860,"20502")</f>
        <v>819014423.61000001</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SUMIFS('07导出'!$G$2:$G$1860,'07导出'!$A$2:$A$1860,A2,'07导出'!$D$2:$D$1860,"20607")</f>
        <v>0</v>
      </c>
      <c r="T2" s="46">
        <f>SUMIFS('07导出'!$H$2:$H$1860,'07导出'!$A$2:$A$1860,A2,'07导出'!$D$2:$D$1860,"20607")</f>
        <v>0</v>
      </c>
      <c r="U2" s="46">
        <f>SUMIFS('07导出'!$G$2:$G$1860,'07导出'!$A$2:$A$1860,A2,'07导出'!$C$2:$C$1860,"208")</f>
        <v>0</v>
      </c>
      <c r="V2" s="46">
        <f>SUMIFS('07导出'!$H$2:$H$1860,'07导出'!$A$2:$A$1860,A2,'07导出'!$C$2:$C$1860,"208")</f>
        <v>0</v>
      </c>
      <c r="W2" s="46">
        <f>SUMIFS('07导出'!$G$2:$G$1860,'07导出'!$A$2:$A$1860,A2,'07导出'!$D$2:$D$1860,"20805")</f>
        <v>0</v>
      </c>
      <c r="X2" s="46">
        <f>SUMIFS('07导出'!$H$2:$H$1860,'07导出'!$A$2:$A$1860,A2,'07导出'!$D$2:$D$1860,"20805")</f>
        <v>0</v>
      </c>
      <c r="Y2" s="46">
        <f>SUMIFS('07导出'!$G$2:$G$1860,'07导出'!$A$2:$A$1860,A2,'07导出'!$D$2:$D$1860,"20808")</f>
        <v>0</v>
      </c>
      <c r="Z2" s="46">
        <f>SUMIFS('07导出'!$H$2:$H$1860,'07导出'!$A$2:$A$1860,A2,'07导出'!$D$2:$D$1860,"20808")</f>
        <v>0</v>
      </c>
      <c r="AA2" s="46">
        <f>SUMIFS('07导出'!$G$2:$G$1860,'07导出'!$A$2:$A$1860,A2,'07导出'!$C$2:$C$1860,"210")</f>
        <v>0</v>
      </c>
      <c r="AB2" s="46">
        <f>SUMIFS('07导出'!$H$2:$H$1860,'07导出'!$A$2:$A$1860,A2,'07导出'!$C$2:$C$1860,"210")</f>
        <v>0</v>
      </c>
      <c r="AC2" s="46">
        <f>SUMIFS('07导出'!$G$2:$G$1860,'07导出'!$A$2:$A$1860,A2,'07导出'!$D$2:$D$1860,"21011")</f>
        <v>0</v>
      </c>
      <c r="AD2" s="46">
        <f>SUMIFS('07导出'!$H$2:$H$1860,'07导出'!$A$2:$A$1860,A2,'07导出'!$D$2:$D$1860,"21011")</f>
        <v>0</v>
      </c>
      <c r="AE2" s="46">
        <f>SUMIFS('07导出'!$G$2:$G$1860,'07导出'!$A$2:$A$1860,A2,'07导出'!$C$2:$C$1860,"212")</f>
        <v>0</v>
      </c>
      <c r="AF2" s="46">
        <f>SUMIFS('07导出'!$H$2:$H$1860,'07导出'!$A$2:$A$1860,A2,'07导出'!$C$2:$C$1860,"212")</f>
        <v>0</v>
      </c>
      <c r="AG2" s="46">
        <f>SUMIFS('07导出'!$G$2:$G$1860,'07导出'!$A$2:$A$1860,A2,'07导出'!$D$2:$D$1860,"21203")</f>
        <v>0</v>
      </c>
      <c r="AH2" s="46">
        <f>SUMIFS('07导出'!$H$2:$H$1860,'07导出'!$A$2:$A$1860,A2,'07导出'!$D$2:$D$1860,"21203")</f>
        <v>0</v>
      </c>
      <c r="AI2" s="46">
        <f>SUMIFS('07导出'!$G$2:$G$1860,'07导出'!$A$2:$A$1860,A2,'07导出'!$C$2:$C$1860,"213")</f>
        <v>0</v>
      </c>
      <c r="AJ2" s="46">
        <f>SUMIFS('07导出'!$H$2:$H$1860,'07导出'!$A$2:$A$1860,A2,'07导出'!$C$2:$C$1860,"213")</f>
        <v>0</v>
      </c>
      <c r="AK2" s="46">
        <f>SUMIFS('07导出'!$G$2:$G$1860,'07导出'!$A$2:$A$1860,A2,'07导出'!$D$2:$D$1860,"21305")</f>
        <v>0</v>
      </c>
      <c r="AL2" s="46">
        <f>SUMIFS('07导出'!$H$2:$H$1860,'07导出'!$A$2:$A$1860,A2,'07导出'!$D$2:$D$1860,"21305")</f>
        <v>0</v>
      </c>
      <c r="AM2" s="46">
        <f>SUMIFS('07导出'!$G$2:$G$1860,'07导出'!$A$2:$A$1860,A2,'07导出'!$C$2:$C$1860,"221")</f>
        <v>0</v>
      </c>
      <c r="AN2" s="46">
        <f>SUMIFS('07导出'!$H$2:$H$1860,'07导出'!$A$2:$A$1860,A2,'07导出'!$C$2:$C$1860,"221")</f>
        <v>0</v>
      </c>
      <c r="AO2" s="46">
        <f>SUMIFS('07导出'!$G$2:$G$1860,'07导出'!$A$2:$A$1860,A2,'07导出'!$D$2:$D$1860,"22102")</f>
        <v>0</v>
      </c>
      <c r="AP2" s="46">
        <f>SUMIFS('07导出'!$H$2:$H$1860,'07导出'!$A$2:$A$1860,A2,'07导出'!$D$2:$D$1860,"22102")</f>
        <v>0</v>
      </c>
    </row>
    <row r="3" spans="1:42">
      <c r="A3" s="43">
        <v>255002</v>
      </c>
      <c r="B3" s="44" t="s">
        <v>2</v>
      </c>
      <c r="C3" s="45">
        <f>SUMIFS('07导出'!$G$2:$G$1860,'07导出'!$A$2:$A$1860,A3,'07导出'!$C$2:$C$1860,"205")</f>
        <v>52699562.57</v>
      </c>
      <c r="D3" s="45">
        <f>SUMIFS('07导出'!$H$2:$H$1860,'07导出'!$A$2:$A$1860,A3,'07导出'!$C$2:$C$1860,"205")</f>
        <v>45914867.020000003</v>
      </c>
      <c r="E3" s="46">
        <f>SUMIFS('07导出'!$G$2:$G$1860,'07导出'!$A$2:$A$1860,A3,'07导出'!$D$2:$D$1860,"20502")</f>
        <v>48155195.469999999</v>
      </c>
      <c r="F3" s="46">
        <f>SUMIFS('07导出'!$H$2:$H$1860,'07导出'!$A$2:$A$1860,A3,'07导出'!$D$2:$D$1860,"20502")</f>
        <v>41249407.020000003</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11182</v>
      </c>
      <c r="N3" s="46">
        <f>SUMIFS('07导出'!$H$2:$H$1860,'07导出'!$A$2:$A$1860,A3,'07导出'!$D$2:$D$1860,"20508")</f>
        <v>129600</v>
      </c>
      <c r="O3" s="46">
        <f>SUMIFS('07导出'!$G$2:$G$1860,'07导出'!$A$2:$A$1860,A3,'07导出'!$D$2:$D$1860,"20509")</f>
        <v>4533185.0999999996</v>
      </c>
      <c r="P3" s="46">
        <f>SUMIFS('07导出'!$H$2:$H$1860,'07导出'!$A$2:$A$1860,A3,'07导出'!$D$2:$D$1860,"20509")</f>
        <v>4535860</v>
      </c>
      <c r="Q3" s="46">
        <f>SUMIFS('07导出'!$G$2:$G$1860,'07导出'!$A$2:$A$1860,A3,'07导出'!$C$2:$C$1860,"206")</f>
        <v>0</v>
      </c>
      <c r="R3" s="46">
        <f>SUMIFS('07导出'!$H$2:$H$1860,'07导出'!$A$2:$A$1860,A3,'07导出'!$C$2:$C$1860,"206")</f>
        <v>0</v>
      </c>
      <c r="S3" s="46">
        <f>SUMIFS('07导出'!$G$2:$G$1860,'07导出'!$A$2:$A$1860,A3,'07导出'!$D$2:$D$1860,"20607")</f>
        <v>0</v>
      </c>
      <c r="T3" s="46">
        <f>SUMIFS('07导出'!$H$2:$H$1860,'07导出'!$A$2:$A$1860,A3,'07导出'!$D$2:$D$1860,"20607")</f>
        <v>0</v>
      </c>
      <c r="U3" s="46">
        <f>SUMIFS('07导出'!$G$2:$G$1860,'07导出'!$A$2:$A$1860,A3,'07导出'!$C$2:$C$1860,"208")</f>
        <v>11462930</v>
      </c>
      <c r="V3" s="46">
        <f>SUMIFS('07导出'!$H$2:$H$1860,'07导出'!$A$2:$A$1860,A3,'07导出'!$C$2:$C$1860,"208")</f>
        <v>10026575.699999999</v>
      </c>
      <c r="W3" s="46">
        <f>SUMIFS('07导出'!$G$2:$G$1860,'07导出'!$A$2:$A$1860,A3,'07导出'!$D$2:$D$1860,"20805")</f>
        <v>11235268</v>
      </c>
      <c r="X3" s="46">
        <f>SUMIFS('07导出'!$H$2:$H$1860,'07导出'!$A$2:$A$1860,A3,'07导出'!$D$2:$D$1860,"20805")</f>
        <v>10026575.699999999</v>
      </c>
      <c r="Y3" s="46">
        <f>SUMIFS('07导出'!$G$2:$G$1860,'07导出'!$A$2:$A$1860,A3,'07导出'!$D$2:$D$1860,"20808")</f>
        <v>227662</v>
      </c>
      <c r="Z3" s="46">
        <f>SUMIFS('07导出'!$H$2:$H$1860,'07导出'!$A$2:$A$1860,A3,'07导出'!$D$2:$D$1860,"20808")</f>
        <v>0</v>
      </c>
      <c r="AA3" s="46">
        <f>SUMIFS('07导出'!$G$2:$G$1860,'07导出'!$A$2:$A$1860,A3,'07导出'!$C$2:$C$1860,"210")</f>
        <v>4122817.24</v>
      </c>
      <c r="AB3" s="46">
        <f>SUMIFS('07导出'!$H$2:$H$1860,'07导出'!$A$2:$A$1860,A3,'07导出'!$C$2:$C$1860,"210")</f>
        <v>3535015</v>
      </c>
      <c r="AC3" s="46">
        <f>SUMIFS('07导出'!$G$2:$G$1860,'07导出'!$A$2:$A$1860,A3,'07导出'!$D$2:$D$1860,"21011")</f>
        <v>4122817.24</v>
      </c>
      <c r="AD3" s="46">
        <f>SUMIFS('07导出'!$H$2:$H$1860,'07导出'!$A$2:$A$1860,A3,'07导出'!$D$2:$D$1860,"21011")</f>
        <v>3535015</v>
      </c>
      <c r="AE3" s="46">
        <f>SUMIFS('07导出'!$G$2:$G$1860,'07导出'!$A$2:$A$1860,A3,'07导出'!$C$2:$C$1860,"212")</f>
        <v>0</v>
      </c>
      <c r="AF3" s="46">
        <f>SUMIFS('07导出'!$H$2:$H$1860,'07导出'!$A$2:$A$1860,A3,'07导出'!$C$2:$C$1860,"212")</f>
        <v>0</v>
      </c>
      <c r="AG3" s="46">
        <f>SUMIFS('07导出'!$G$2:$G$1860,'07导出'!$A$2:$A$1860,A3,'07导出'!$D$2:$D$1860,"21203")</f>
        <v>0</v>
      </c>
      <c r="AH3" s="46">
        <f>SUMIFS('07导出'!$H$2:$H$1860,'07导出'!$A$2:$A$1860,A3,'07导出'!$D$2:$D$1860,"21203")</f>
        <v>0</v>
      </c>
      <c r="AI3" s="46">
        <f>SUMIFS('07导出'!$G$2:$G$1860,'07导出'!$A$2:$A$1860,A3,'07导出'!$C$2:$C$1860,"213")</f>
        <v>0</v>
      </c>
      <c r="AJ3" s="46">
        <f>SUMIFS('07导出'!$H$2:$H$1860,'07导出'!$A$2:$A$1860,A3,'07导出'!$C$2:$C$1860,"213")</f>
        <v>0</v>
      </c>
      <c r="AK3" s="46">
        <f>SUMIFS('07导出'!$G$2:$G$1860,'07导出'!$A$2:$A$1860,A3,'07导出'!$D$2:$D$1860,"21305")</f>
        <v>0</v>
      </c>
      <c r="AL3" s="46">
        <f>SUMIFS('07导出'!$H$2:$H$1860,'07导出'!$A$2:$A$1860,A3,'07导出'!$D$2:$D$1860,"21305")</f>
        <v>0</v>
      </c>
      <c r="AM3" s="46">
        <f>SUMIFS('07导出'!$G$2:$G$1860,'07导出'!$A$2:$A$1860,A3,'07导出'!$C$2:$C$1860,"221")</f>
        <v>8241621</v>
      </c>
      <c r="AN3" s="46">
        <f>SUMIFS('07导出'!$H$2:$H$1860,'07导出'!$A$2:$A$1860,A3,'07导出'!$C$2:$C$1860,"221")</f>
        <v>7974780</v>
      </c>
      <c r="AO3" s="46">
        <f>SUMIFS('07导出'!$G$2:$G$1860,'07导出'!$A$2:$A$1860,A3,'07导出'!$D$2:$D$1860,"22102")</f>
        <v>8241621</v>
      </c>
      <c r="AP3" s="46">
        <f>SUMIFS('07导出'!$H$2:$H$1860,'07导出'!$A$2:$A$1860,A3,'07导出'!$D$2:$D$1860,"22102")</f>
        <v>7974780</v>
      </c>
    </row>
    <row r="4" spans="1:42">
      <c r="A4" s="43">
        <v>255003</v>
      </c>
      <c r="B4" s="44" t="s">
        <v>3</v>
      </c>
      <c r="C4" s="45">
        <f>SUMIFS('07导出'!$G$2:$G$1860,'07导出'!$A$2:$A$1860,A4,'07导出'!$C$2:$C$1860,"205")</f>
        <v>164498312.56999999</v>
      </c>
      <c r="D4" s="45">
        <f>SUMIFS('07导出'!$H$2:$H$1860,'07导出'!$A$2:$A$1860,A4,'07导出'!$C$2:$C$1860,"205")</f>
        <v>132970857.34999999</v>
      </c>
      <c r="E4" s="46">
        <f>SUMIFS('07导出'!$G$2:$G$1860,'07导出'!$A$2:$A$1860,A4,'07导出'!$D$2:$D$1860,"20502")</f>
        <v>152822613.97999999</v>
      </c>
      <c r="F4" s="46">
        <f>SUMIFS('07导出'!$H$2:$H$1860,'07导出'!$A$2:$A$1860,A4,'07导出'!$D$2:$D$1860,"20502")</f>
        <v>120419845.34999999</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52600</v>
      </c>
      <c r="N4" s="46">
        <f>SUMIFS('07导出'!$H$2:$H$1860,'07导出'!$A$2:$A$1860,A4,'07导出'!$D$2:$D$1860,"20508")</f>
        <v>341600</v>
      </c>
      <c r="O4" s="46">
        <f>SUMIFS('07导出'!$G$2:$G$1860,'07导出'!$A$2:$A$1860,A4,'07导出'!$D$2:$D$1860,"20509")</f>
        <v>11623098.59</v>
      </c>
      <c r="P4" s="46">
        <f>SUMIFS('07导出'!$H$2:$H$1860,'07导出'!$A$2:$A$1860,A4,'07导出'!$D$2:$D$1860,"20509")</f>
        <v>12209412</v>
      </c>
      <c r="Q4" s="46">
        <f>SUMIFS('07导出'!$G$2:$G$1860,'07导出'!$A$2:$A$1860,A4,'07导出'!$C$2:$C$1860,"206")</f>
        <v>0</v>
      </c>
      <c r="R4" s="46">
        <f>SUMIFS('07导出'!$H$2:$H$1860,'07导出'!$A$2:$A$1860,A4,'07导出'!$C$2:$C$1860,"206")</f>
        <v>0</v>
      </c>
      <c r="S4" s="46">
        <f>SUMIFS('07导出'!$G$2:$G$1860,'07导出'!$A$2:$A$1860,A4,'07导出'!$D$2:$D$1860,"20607")</f>
        <v>0</v>
      </c>
      <c r="T4" s="46">
        <f>SUMIFS('07导出'!$H$2:$H$1860,'07导出'!$A$2:$A$1860,A4,'07导出'!$D$2:$D$1860,"20607")</f>
        <v>0</v>
      </c>
      <c r="U4" s="46">
        <f>SUMIFS('07导出'!$G$2:$G$1860,'07导出'!$A$2:$A$1860,A4,'07导出'!$C$2:$C$1860,"208")</f>
        <v>24428866.350000001</v>
      </c>
      <c r="V4" s="46">
        <f>SUMIFS('07导出'!$H$2:$H$1860,'07导出'!$A$2:$A$1860,A4,'07导出'!$C$2:$C$1860,"208")</f>
        <v>22974649.399999999</v>
      </c>
      <c r="W4" s="46">
        <f>SUMIFS('07导出'!$G$2:$G$1860,'07导出'!$A$2:$A$1860,A4,'07导出'!$D$2:$D$1860,"20805")</f>
        <v>24428866.350000001</v>
      </c>
      <c r="X4" s="46">
        <f>SUMIFS('07导出'!$H$2:$H$1860,'07导出'!$A$2:$A$1860,A4,'07导出'!$D$2:$D$1860,"20805")</f>
        <v>22974649.399999999</v>
      </c>
      <c r="Y4" s="46">
        <f>SUMIFS('07导出'!$G$2:$G$1860,'07导出'!$A$2:$A$1860,A4,'07导出'!$D$2:$D$1860,"20808")</f>
        <v>0</v>
      </c>
      <c r="Z4" s="46">
        <f>SUMIFS('07导出'!$H$2:$H$1860,'07导出'!$A$2:$A$1860,A4,'07导出'!$D$2:$D$1860,"20808")</f>
        <v>0</v>
      </c>
      <c r="AA4" s="46">
        <f>SUMIFS('07导出'!$G$2:$G$1860,'07导出'!$A$2:$A$1860,A4,'07导出'!$C$2:$C$1860,"210")</f>
        <v>12082757.25</v>
      </c>
      <c r="AB4" s="46">
        <f>SUMIFS('07导出'!$H$2:$H$1860,'07导出'!$A$2:$A$1860,A4,'07导出'!$C$2:$C$1860,"210")</f>
        <v>9500806.6500000004</v>
      </c>
      <c r="AC4" s="46">
        <f>SUMIFS('07导出'!$G$2:$G$1860,'07导出'!$A$2:$A$1860,A4,'07导出'!$D$2:$D$1860,"21011")</f>
        <v>12082757.25</v>
      </c>
      <c r="AD4" s="46">
        <f>SUMIFS('07导出'!$H$2:$H$1860,'07导出'!$A$2:$A$1860,A4,'07导出'!$D$2:$D$1860,"21011")</f>
        <v>9500806.6500000004</v>
      </c>
      <c r="AE4" s="46">
        <f>SUMIFS('07导出'!$G$2:$G$1860,'07导出'!$A$2:$A$1860,A4,'07导出'!$C$2:$C$1860,"212")</f>
        <v>0</v>
      </c>
      <c r="AF4" s="46">
        <f>SUMIFS('07导出'!$H$2:$H$1860,'07导出'!$A$2:$A$1860,A4,'07导出'!$C$2:$C$1860,"212")</f>
        <v>0</v>
      </c>
      <c r="AG4" s="46">
        <f>SUMIFS('07导出'!$G$2:$G$1860,'07导出'!$A$2:$A$1860,A4,'07导出'!$D$2:$D$1860,"21203")</f>
        <v>0</v>
      </c>
      <c r="AH4" s="46">
        <f>SUMIFS('07导出'!$H$2:$H$1860,'07导出'!$A$2:$A$1860,A4,'07导出'!$D$2:$D$1860,"21203")</f>
        <v>0</v>
      </c>
      <c r="AI4" s="46">
        <f>SUMIFS('07导出'!$G$2:$G$1860,'07导出'!$A$2:$A$1860,A4,'07导出'!$C$2:$C$1860,"213")</f>
        <v>0</v>
      </c>
      <c r="AJ4" s="46">
        <f>SUMIFS('07导出'!$H$2:$H$1860,'07导出'!$A$2:$A$1860,A4,'07导出'!$C$2:$C$1860,"213")</f>
        <v>0</v>
      </c>
      <c r="AK4" s="46">
        <f>SUMIFS('07导出'!$G$2:$G$1860,'07导出'!$A$2:$A$1860,A4,'07导出'!$D$2:$D$1860,"21305")</f>
        <v>0</v>
      </c>
      <c r="AL4" s="46">
        <f>SUMIFS('07导出'!$H$2:$H$1860,'07导出'!$A$2:$A$1860,A4,'07导出'!$D$2:$D$1860,"21305")</f>
        <v>0</v>
      </c>
      <c r="AM4" s="46">
        <f>SUMIFS('07导出'!$G$2:$G$1860,'07导出'!$A$2:$A$1860,A4,'07导出'!$C$2:$C$1860,"221")</f>
        <v>25695352</v>
      </c>
      <c r="AN4" s="46">
        <f>SUMIFS('07导出'!$H$2:$H$1860,'07导出'!$A$2:$A$1860,A4,'07导出'!$C$2:$C$1860,"221")</f>
        <v>22814412.600000001</v>
      </c>
      <c r="AO4" s="46">
        <f>SUMIFS('07导出'!$G$2:$G$1860,'07导出'!$A$2:$A$1860,A4,'07导出'!$D$2:$D$1860,"22102")</f>
        <v>25695352</v>
      </c>
      <c r="AP4" s="46">
        <f>SUMIFS('07导出'!$H$2:$H$1860,'07导出'!$A$2:$A$1860,A4,'07导出'!$D$2:$D$1860,"22102")</f>
        <v>22814412.600000001</v>
      </c>
    </row>
    <row r="5" spans="1:42">
      <c r="A5" s="43">
        <v>255004</v>
      </c>
      <c r="B5" s="44" t="s">
        <v>4</v>
      </c>
      <c r="C5" s="45">
        <f>SUMIFS('07导出'!$G$2:$G$1860,'07导出'!$A$2:$A$1860,A5,'07导出'!$C$2:$C$1860,"205")</f>
        <v>41742098.670000002</v>
      </c>
      <c r="D5" s="45">
        <f>SUMIFS('07导出'!$H$2:$H$1860,'07导出'!$A$2:$A$1860,A5,'07导出'!$C$2:$C$1860,"205")</f>
        <v>34493319.359999999</v>
      </c>
      <c r="E5" s="46">
        <f>SUMIFS('07导出'!$G$2:$G$1860,'07导出'!$A$2:$A$1860,A5,'07导出'!$D$2:$D$1860,"20502")</f>
        <v>39915449.670000002</v>
      </c>
      <c r="F5" s="46">
        <f>SUMIFS('07导出'!$H$2:$H$1860,'07导出'!$A$2:$A$1860,A5,'07导出'!$D$2:$D$1860,"20502")</f>
        <v>32564139.359999999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52000</v>
      </c>
      <c r="N5" s="46">
        <f>SUMIFS('07导出'!$H$2:$H$1860,'07导出'!$A$2:$A$1860,A5,'07导出'!$D$2:$D$1860,"20508")</f>
        <v>104000</v>
      </c>
      <c r="O5" s="46">
        <f>SUMIFS('07导出'!$G$2:$G$1860,'07导出'!$A$2:$A$1860,A5,'07导出'!$D$2:$D$1860,"20509")</f>
        <v>1774649</v>
      </c>
      <c r="P5" s="46">
        <f>SUMIFS('07导出'!$H$2:$H$1860,'07导出'!$A$2:$A$1860,A5,'07导出'!$D$2:$D$1860,"20509")</f>
        <v>1825180</v>
      </c>
      <c r="Q5" s="46">
        <f>SUMIFS('07导出'!$G$2:$G$1860,'07导出'!$A$2:$A$1860,A5,'07导出'!$C$2:$C$1860,"206")</f>
        <v>0</v>
      </c>
      <c r="R5" s="46">
        <f>SUMIFS('07导出'!$H$2:$H$1860,'07导出'!$A$2:$A$1860,A5,'07导出'!$C$2:$C$1860,"206")</f>
        <v>0</v>
      </c>
      <c r="S5" s="46">
        <f>SUMIFS('07导出'!$G$2:$G$1860,'07导出'!$A$2:$A$1860,A5,'07导出'!$D$2:$D$1860,"20607")</f>
        <v>0</v>
      </c>
      <c r="T5" s="46">
        <f>SUMIFS('07导出'!$H$2:$H$1860,'07导出'!$A$2:$A$1860,A5,'07导出'!$D$2:$D$1860,"20607")</f>
        <v>0</v>
      </c>
      <c r="U5" s="46">
        <f>SUMIFS('07导出'!$G$2:$G$1860,'07导出'!$A$2:$A$1860,A5,'07导出'!$C$2:$C$1860,"208")</f>
        <v>7920204.4399999995</v>
      </c>
      <c r="V5" s="46">
        <f>SUMIFS('07导出'!$H$2:$H$1860,'07导出'!$A$2:$A$1860,A5,'07导出'!$C$2:$C$1860,"208")</f>
        <v>7230540.540000001</v>
      </c>
      <c r="W5" s="46">
        <f>SUMIFS('07导出'!$G$2:$G$1860,'07导出'!$A$2:$A$1860,A5,'07导出'!$D$2:$D$1860,"20805")</f>
        <v>7920204.4399999995</v>
      </c>
      <c r="X5" s="46">
        <f>SUMIFS('07导出'!$H$2:$H$1860,'07导出'!$A$2:$A$1860,A5,'07导出'!$D$2:$D$1860,"20805")</f>
        <v>7230540.540000001</v>
      </c>
      <c r="Y5" s="46">
        <f>SUMIFS('07导出'!$G$2:$G$1860,'07导出'!$A$2:$A$1860,A5,'07导出'!$D$2:$D$1860,"20808")</f>
        <v>0</v>
      </c>
      <c r="Z5" s="46">
        <f>SUMIFS('07导出'!$H$2:$H$1860,'07导出'!$A$2:$A$1860,A5,'07导出'!$D$2:$D$1860,"20808")</f>
        <v>0</v>
      </c>
      <c r="AA5" s="46">
        <f>SUMIFS('07导出'!$G$2:$G$1860,'07导出'!$A$2:$A$1860,A5,'07导出'!$C$2:$C$1860,"210")</f>
        <v>3457289.14</v>
      </c>
      <c r="AB5" s="46">
        <f>SUMIFS('07导出'!$H$2:$H$1860,'07导出'!$A$2:$A$1860,A5,'07导出'!$C$2:$C$1860,"210")</f>
        <v>2865502.78</v>
      </c>
      <c r="AC5" s="46">
        <f>SUMIFS('07导出'!$G$2:$G$1860,'07导出'!$A$2:$A$1860,A5,'07导出'!$D$2:$D$1860,"21011")</f>
        <v>3457289.14</v>
      </c>
      <c r="AD5" s="46">
        <f>SUMIFS('07导出'!$H$2:$H$1860,'07导出'!$A$2:$A$1860,A5,'07导出'!$D$2:$D$1860,"21011")</f>
        <v>2865502.78</v>
      </c>
      <c r="AE5" s="46">
        <f>SUMIFS('07导出'!$G$2:$G$1860,'07导出'!$A$2:$A$1860,A5,'07导出'!$C$2:$C$1860,"212")</f>
        <v>0</v>
      </c>
      <c r="AF5" s="46">
        <f>SUMIFS('07导出'!$H$2:$H$1860,'07导出'!$A$2:$A$1860,A5,'07导出'!$C$2:$C$1860,"212")</f>
        <v>0</v>
      </c>
      <c r="AG5" s="46">
        <f>SUMIFS('07导出'!$G$2:$G$1860,'07导出'!$A$2:$A$1860,A5,'07导出'!$D$2:$D$1860,"21203")</f>
        <v>0</v>
      </c>
      <c r="AH5" s="46">
        <f>SUMIFS('07导出'!$H$2:$H$1860,'07导出'!$A$2:$A$1860,A5,'07导出'!$D$2:$D$1860,"21203")</f>
        <v>0</v>
      </c>
      <c r="AI5" s="46">
        <f>SUMIFS('07导出'!$G$2:$G$1860,'07导出'!$A$2:$A$1860,A5,'07导出'!$C$2:$C$1860,"213")</f>
        <v>0</v>
      </c>
      <c r="AJ5" s="46">
        <f>SUMIFS('07导出'!$H$2:$H$1860,'07导出'!$A$2:$A$1860,A5,'07导出'!$C$2:$C$1860,"213")</f>
        <v>0</v>
      </c>
      <c r="AK5" s="46">
        <f>SUMIFS('07导出'!$G$2:$G$1860,'07导出'!$A$2:$A$1860,A5,'07导出'!$D$2:$D$1860,"21305")</f>
        <v>0</v>
      </c>
      <c r="AL5" s="46">
        <f>SUMIFS('07导出'!$H$2:$H$1860,'07导出'!$A$2:$A$1860,A5,'07导出'!$D$2:$D$1860,"21305")</f>
        <v>0</v>
      </c>
      <c r="AM5" s="46">
        <f>SUMIFS('07导出'!$G$2:$G$1860,'07导出'!$A$2:$A$1860,A5,'07导出'!$C$2:$C$1860,"221")</f>
        <v>7748975</v>
      </c>
      <c r="AN5" s="46">
        <f>SUMIFS('07导出'!$H$2:$H$1860,'07导出'!$A$2:$A$1860,A5,'07导出'!$C$2:$C$1860,"221")</f>
        <v>7235472.7200000007</v>
      </c>
      <c r="AO5" s="46">
        <f>SUMIFS('07导出'!$G$2:$G$1860,'07导出'!$A$2:$A$1860,A5,'07导出'!$D$2:$D$1860,"22102")</f>
        <v>7748975</v>
      </c>
      <c r="AP5" s="46">
        <f>SUMIFS('07导出'!$H$2:$H$1860,'07导出'!$A$2:$A$1860,A5,'07导出'!$D$2:$D$1860,"22102")</f>
        <v>7235472.7200000007</v>
      </c>
    </row>
    <row r="6" spans="1:42">
      <c r="A6" s="43">
        <v>255005</v>
      </c>
      <c r="B6" s="44" t="s">
        <v>5</v>
      </c>
      <c r="C6" s="45">
        <f>SUMIFS('07导出'!$G$2:$G$1860,'07导出'!$A$2:$A$1860,A6,'07导出'!$C$2:$C$1860,"205")</f>
        <v>196739181.53999999</v>
      </c>
      <c r="D6" s="45">
        <f>SUMIFS('07导出'!$H$2:$H$1860,'07导出'!$A$2:$A$1860,A6,'07导出'!$C$2:$C$1860,"205")</f>
        <v>157080983.69999999</v>
      </c>
      <c r="E6" s="46">
        <f>SUMIFS('07导出'!$G$2:$G$1860,'07导出'!$A$2:$A$1860,A6,'07导出'!$D$2:$D$1860,"20502")</f>
        <v>193820791.53999999</v>
      </c>
      <c r="F6" s="46">
        <f>SUMIFS('07导出'!$H$2:$H$1860,'07导出'!$A$2:$A$1860,A6,'07导出'!$D$2:$D$1860,"20502")</f>
        <v>152821728.69999999</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208000</v>
      </c>
      <c r="N6" s="46">
        <f>SUMIFS('07导出'!$H$2:$H$1860,'07导出'!$A$2:$A$1860,A6,'07导出'!$D$2:$D$1860,"20508")</f>
        <v>416000</v>
      </c>
      <c r="O6" s="46">
        <f>SUMIFS('07导出'!$G$2:$G$1860,'07导出'!$A$2:$A$1860,A6,'07导出'!$D$2:$D$1860,"20509")</f>
        <v>2710390</v>
      </c>
      <c r="P6" s="46">
        <f>SUMIFS('07导出'!$H$2:$H$1860,'07导出'!$A$2:$A$1860,A6,'07导出'!$D$2:$D$1860,"20509")</f>
        <v>3843255</v>
      </c>
      <c r="Q6" s="46">
        <f>SUMIFS('07导出'!$G$2:$G$1860,'07导出'!$A$2:$A$1860,A6,'07导出'!$C$2:$C$1860,"206")</f>
        <v>0</v>
      </c>
      <c r="R6" s="46">
        <f>SUMIFS('07导出'!$H$2:$H$1860,'07导出'!$A$2:$A$1860,A6,'07导出'!$C$2:$C$1860,"206")</f>
        <v>0</v>
      </c>
      <c r="S6" s="46">
        <f>SUMIFS('07导出'!$G$2:$G$1860,'07导出'!$A$2:$A$1860,A6,'07导出'!$D$2:$D$1860,"20607")</f>
        <v>0</v>
      </c>
      <c r="T6" s="46">
        <f>SUMIFS('07导出'!$H$2:$H$1860,'07导出'!$A$2:$A$1860,A6,'07导出'!$D$2:$D$1860,"20607")</f>
        <v>0</v>
      </c>
      <c r="U6" s="46">
        <f>SUMIFS('07导出'!$G$2:$G$1860,'07导出'!$A$2:$A$1860,A6,'07导出'!$C$2:$C$1860,"208")</f>
        <v>32060878</v>
      </c>
      <c r="V6" s="46">
        <f>SUMIFS('07导出'!$H$2:$H$1860,'07导出'!$A$2:$A$1860,A6,'07导出'!$C$2:$C$1860,"208")</f>
        <v>29389731.359999999</v>
      </c>
      <c r="W6" s="46">
        <f>SUMIFS('07导出'!$G$2:$G$1860,'07导出'!$A$2:$A$1860,A6,'07导出'!$D$2:$D$1860,"20805")</f>
        <v>32060878</v>
      </c>
      <c r="X6" s="46">
        <f>SUMIFS('07导出'!$H$2:$H$1860,'07导出'!$A$2:$A$1860,A6,'07导出'!$D$2:$D$1860,"20805")</f>
        <v>29389731.359999999</v>
      </c>
      <c r="Y6" s="46">
        <f>SUMIFS('07导出'!$G$2:$G$1860,'07导出'!$A$2:$A$1860,A6,'07导出'!$D$2:$D$1860,"20808")</f>
        <v>0</v>
      </c>
      <c r="Z6" s="46">
        <f>SUMIFS('07导出'!$H$2:$H$1860,'07导出'!$A$2:$A$1860,A6,'07导出'!$D$2:$D$1860,"20808")</f>
        <v>0</v>
      </c>
      <c r="AA6" s="46">
        <f>SUMIFS('07导出'!$G$2:$G$1860,'07导出'!$A$2:$A$1860,A6,'07导出'!$C$2:$C$1860,"210")</f>
        <v>14468582.369999999</v>
      </c>
      <c r="AB6" s="46">
        <f>SUMIFS('07导出'!$H$2:$H$1860,'07导出'!$A$2:$A$1860,A6,'07导出'!$C$2:$C$1860,"210")</f>
        <v>12352370.52</v>
      </c>
      <c r="AC6" s="46">
        <f>SUMIFS('07导出'!$G$2:$G$1860,'07导出'!$A$2:$A$1860,A6,'07导出'!$D$2:$D$1860,"21011")</f>
        <v>14468582.369999999</v>
      </c>
      <c r="AD6" s="46">
        <f>SUMIFS('07导出'!$H$2:$H$1860,'07导出'!$A$2:$A$1860,A6,'07导出'!$D$2:$D$1860,"21011")</f>
        <v>12352370.52</v>
      </c>
      <c r="AE6" s="46">
        <f>SUMIFS('07导出'!$G$2:$G$1860,'07导出'!$A$2:$A$1860,A6,'07导出'!$C$2:$C$1860,"212")</f>
        <v>0</v>
      </c>
      <c r="AF6" s="46">
        <f>SUMIFS('07导出'!$H$2:$H$1860,'07导出'!$A$2:$A$1860,A6,'07导出'!$C$2:$C$1860,"212")</f>
        <v>0</v>
      </c>
      <c r="AG6" s="46">
        <f>SUMIFS('07导出'!$G$2:$G$1860,'07导出'!$A$2:$A$1860,A6,'07导出'!$D$2:$D$1860,"21203")</f>
        <v>0</v>
      </c>
      <c r="AH6" s="46">
        <f>SUMIFS('07导出'!$H$2:$H$1860,'07导出'!$A$2:$A$1860,A6,'07导出'!$D$2:$D$1860,"21203")</f>
        <v>0</v>
      </c>
      <c r="AI6" s="46">
        <f>SUMIFS('07导出'!$G$2:$G$1860,'07导出'!$A$2:$A$1860,A6,'07导出'!$C$2:$C$1860,"213")</f>
        <v>0</v>
      </c>
      <c r="AJ6" s="46">
        <f>SUMIFS('07导出'!$H$2:$H$1860,'07导出'!$A$2:$A$1860,A6,'07导出'!$C$2:$C$1860,"213")</f>
        <v>0</v>
      </c>
      <c r="AK6" s="46">
        <f>SUMIFS('07导出'!$G$2:$G$1860,'07导出'!$A$2:$A$1860,A6,'07导出'!$D$2:$D$1860,"21305")</f>
        <v>0</v>
      </c>
      <c r="AL6" s="46">
        <f>SUMIFS('07导出'!$H$2:$H$1860,'07导出'!$A$2:$A$1860,A6,'07导出'!$D$2:$D$1860,"21305")</f>
        <v>0</v>
      </c>
      <c r="AM6" s="46">
        <f>SUMIFS('07导出'!$G$2:$G$1860,'07导出'!$A$2:$A$1860,A6,'07导出'!$C$2:$C$1860,"221")</f>
        <v>28568825</v>
      </c>
      <c r="AN6" s="46">
        <f>SUMIFS('07导出'!$H$2:$H$1860,'07导出'!$A$2:$A$1860,A6,'07导出'!$C$2:$C$1860,"221")</f>
        <v>27793164.48</v>
      </c>
      <c r="AO6" s="46">
        <f>SUMIFS('07导出'!$G$2:$G$1860,'07导出'!$A$2:$A$1860,A6,'07导出'!$D$2:$D$1860,"22102")</f>
        <v>28568825</v>
      </c>
      <c r="AP6" s="46">
        <f>SUMIFS('07导出'!$H$2:$H$1860,'07导出'!$A$2:$A$1860,A6,'07导出'!$D$2:$D$1860,"22102")</f>
        <v>27793164.48</v>
      </c>
    </row>
    <row r="7" spans="1:42">
      <c r="A7" s="43">
        <v>255006</v>
      </c>
      <c r="B7" s="44" t="s">
        <v>6</v>
      </c>
      <c r="C7" s="45">
        <f>SUMIFS('07导出'!$G$2:$G$1860,'07导出'!$A$2:$A$1860,A7,'07导出'!$C$2:$C$1860,"205")</f>
        <v>64242355.699999996</v>
      </c>
      <c r="D7" s="45">
        <f>SUMIFS('07导出'!$H$2:$H$1860,'07导出'!$A$2:$A$1860,A7,'07导出'!$C$2:$C$1860,"205")</f>
        <v>52774573.509999998</v>
      </c>
      <c r="E7" s="46">
        <f>SUMIFS('07导出'!$G$2:$G$1860,'07导出'!$A$2:$A$1860,A7,'07导出'!$D$2:$D$1860,"20502")</f>
        <v>61620759.719999999</v>
      </c>
      <c r="F7" s="46">
        <f>SUMIFS('07导出'!$H$2:$H$1860,'07导出'!$A$2:$A$1860,A7,'07导出'!$D$2:$D$1860,"20502")</f>
        <v>50041645.509999998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75200</v>
      </c>
      <c r="N7" s="46">
        <f>SUMIFS('07导出'!$H$2:$H$1860,'07导出'!$A$2:$A$1860,A7,'07导出'!$D$2:$D$1860,"20508")</f>
        <v>150400</v>
      </c>
      <c r="O7" s="46">
        <f>SUMIFS('07导出'!$G$2:$G$1860,'07导出'!$A$2:$A$1860,A7,'07导出'!$D$2:$D$1860,"20509")</f>
        <v>2546395.98</v>
      </c>
      <c r="P7" s="46">
        <f>SUMIFS('07导出'!$H$2:$H$1860,'07导出'!$A$2:$A$1860,A7,'07导出'!$D$2:$D$1860,"20509")</f>
        <v>2582528</v>
      </c>
      <c r="Q7" s="46">
        <f>SUMIFS('07导出'!$G$2:$G$1860,'07导出'!$A$2:$A$1860,A7,'07导出'!$C$2:$C$1860,"206")</f>
        <v>0</v>
      </c>
      <c r="R7" s="46">
        <f>SUMIFS('07导出'!$H$2:$H$1860,'07导出'!$A$2:$A$1860,A7,'07导出'!$C$2:$C$1860,"206")</f>
        <v>0</v>
      </c>
      <c r="S7" s="46">
        <f>SUMIFS('07导出'!$G$2:$G$1860,'07导出'!$A$2:$A$1860,A7,'07导出'!$D$2:$D$1860,"20607")</f>
        <v>0</v>
      </c>
      <c r="T7" s="46">
        <f>SUMIFS('07导出'!$H$2:$H$1860,'07导出'!$A$2:$A$1860,A7,'07导出'!$D$2:$D$1860,"20607")</f>
        <v>0</v>
      </c>
      <c r="U7" s="46">
        <f>SUMIFS('07导出'!$G$2:$G$1860,'07导出'!$A$2:$A$1860,A7,'07导出'!$C$2:$C$1860,"208")</f>
        <v>11159386.18</v>
      </c>
      <c r="V7" s="46">
        <f>SUMIFS('07导出'!$H$2:$H$1860,'07导出'!$A$2:$A$1860,A7,'07导出'!$C$2:$C$1860,"208")</f>
        <v>10873078.76</v>
      </c>
      <c r="W7" s="46">
        <f>SUMIFS('07导出'!$G$2:$G$1860,'07导出'!$A$2:$A$1860,A7,'07导出'!$D$2:$D$1860,"20805")</f>
        <v>11159386.18</v>
      </c>
      <c r="X7" s="46">
        <f>SUMIFS('07导出'!$H$2:$H$1860,'07导出'!$A$2:$A$1860,A7,'07导出'!$D$2:$D$1860,"20805")</f>
        <v>10873078.76</v>
      </c>
      <c r="Y7" s="46">
        <f>SUMIFS('07导出'!$G$2:$G$1860,'07导出'!$A$2:$A$1860,A7,'07导出'!$D$2:$D$1860,"20808")</f>
        <v>0</v>
      </c>
      <c r="Z7" s="46">
        <f>SUMIFS('07导出'!$H$2:$H$1860,'07导出'!$A$2:$A$1860,A7,'07导出'!$D$2:$D$1860,"20808")</f>
        <v>0</v>
      </c>
      <c r="AA7" s="46">
        <f>SUMIFS('07导出'!$G$2:$G$1860,'07导出'!$A$2:$A$1860,A7,'07导出'!$C$2:$C$1860,"210")</f>
        <v>5109195.3899999997</v>
      </c>
      <c r="AB7" s="46">
        <f>SUMIFS('07导出'!$H$2:$H$1860,'07导出'!$A$2:$A$1860,A7,'07导出'!$C$2:$C$1860,"210")</f>
        <v>4298479.2200000007</v>
      </c>
      <c r="AC7" s="46">
        <f>SUMIFS('07导出'!$G$2:$G$1860,'07导出'!$A$2:$A$1860,A7,'07导出'!$D$2:$D$1860,"21011")</f>
        <v>5109195.3899999997</v>
      </c>
      <c r="AD7" s="46">
        <f>SUMIFS('07导出'!$H$2:$H$1860,'07导出'!$A$2:$A$1860,A7,'07导出'!$D$2:$D$1860,"21011")</f>
        <v>4298479.2200000007</v>
      </c>
      <c r="AE7" s="46">
        <f>SUMIFS('07导出'!$G$2:$G$1860,'07导出'!$A$2:$A$1860,A7,'07导出'!$C$2:$C$1860,"212")</f>
        <v>0</v>
      </c>
      <c r="AF7" s="46">
        <f>SUMIFS('07导出'!$H$2:$H$1860,'07导出'!$A$2:$A$1860,A7,'07导出'!$C$2:$C$1860,"212")</f>
        <v>0</v>
      </c>
      <c r="AG7" s="46">
        <f>SUMIFS('07导出'!$G$2:$G$1860,'07导出'!$A$2:$A$1860,A7,'07导出'!$D$2:$D$1860,"21203")</f>
        <v>0</v>
      </c>
      <c r="AH7" s="46">
        <f>SUMIFS('07导出'!$H$2:$H$1860,'07导出'!$A$2:$A$1860,A7,'07导出'!$D$2:$D$1860,"21203")</f>
        <v>0</v>
      </c>
      <c r="AI7" s="46">
        <f>SUMIFS('07导出'!$G$2:$G$1860,'07导出'!$A$2:$A$1860,A7,'07导出'!$C$2:$C$1860,"213")</f>
        <v>0</v>
      </c>
      <c r="AJ7" s="46">
        <f>SUMIFS('07导出'!$H$2:$H$1860,'07导出'!$A$2:$A$1860,A7,'07导出'!$C$2:$C$1860,"213")</f>
        <v>0</v>
      </c>
      <c r="AK7" s="46">
        <f>SUMIFS('07导出'!$G$2:$G$1860,'07导出'!$A$2:$A$1860,A7,'07导出'!$D$2:$D$1860,"21305")</f>
        <v>0</v>
      </c>
      <c r="AL7" s="46">
        <f>SUMIFS('07导出'!$H$2:$H$1860,'07导出'!$A$2:$A$1860,A7,'07导出'!$D$2:$D$1860,"21305")</f>
        <v>0</v>
      </c>
      <c r="AM7" s="46">
        <f>SUMIFS('07导出'!$G$2:$G$1860,'07导出'!$A$2:$A$1860,A7,'07导出'!$C$2:$C$1860,"221")</f>
        <v>10507775</v>
      </c>
      <c r="AN7" s="46">
        <f>SUMIFS('07导出'!$H$2:$H$1860,'07导出'!$A$2:$A$1860,A7,'07导出'!$C$2:$C$1860,"221")</f>
        <v>10314240.359999999</v>
      </c>
      <c r="AO7" s="46">
        <f>SUMIFS('07导出'!$G$2:$G$1860,'07导出'!$A$2:$A$1860,A7,'07导出'!$D$2:$D$1860,"22102")</f>
        <v>10507775</v>
      </c>
      <c r="AP7" s="46">
        <f>SUMIFS('07导出'!$H$2:$H$1860,'07导出'!$A$2:$A$1860,A7,'07导出'!$D$2:$D$1860,"22102")</f>
        <v>10314240.359999999</v>
      </c>
    </row>
    <row r="8" spans="1:42">
      <c r="A8" s="43">
        <v>255007</v>
      </c>
      <c r="B8" s="44" t="s">
        <v>7</v>
      </c>
      <c r="C8" s="45">
        <f>SUMIFS('07导出'!$G$2:$G$1860,'07导出'!$A$2:$A$1860,A8,'07导出'!$C$2:$C$1860,"205")</f>
        <v>40495384.289999999</v>
      </c>
      <c r="D8" s="45">
        <f>SUMIFS('07导出'!$H$2:$H$1860,'07导出'!$A$2:$A$1860,A8,'07导出'!$C$2:$C$1860,"205")</f>
        <v>34982813.630000003</v>
      </c>
      <c r="E8" s="46">
        <f>SUMIFS('07导出'!$G$2:$G$1860,'07导出'!$A$2:$A$1860,A8,'07导出'!$D$2:$D$1860,"20502")</f>
        <v>40125494.289999999</v>
      </c>
      <c r="F8" s="46">
        <f>SUMIFS('07导出'!$H$2:$H$1860,'07导出'!$A$2:$A$1860,A8,'07导出'!$D$2:$D$1860,"20502")</f>
        <v>34610753.630000003</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0</v>
      </c>
      <c r="N8" s="46">
        <f>SUMIFS('07导出'!$H$2:$H$1860,'07导出'!$A$2:$A$1860,A8,'07导出'!$D$2:$D$1860,"20508")</f>
        <v>0</v>
      </c>
      <c r="O8" s="46">
        <f>SUMIFS('07导出'!$G$2:$G$1860,'07导出'!$A$2:$A$1860,A8,'07导出'!$D$2:$D$1860,"20509")</f>
        <v>369890</v>
      </c>
      <c r="P8" s="46">
        <f>SUMIFS('07导出'!$H$2:$H$1860,'07导出'!$A$2:$A$1860,A8,'07导出'!$D$2:$D$1860,"20509")</f>
        <v>372060</v>
      </c>
      <c r="Q8" s="46">
        <f>SUMIFS('07导出'!$G$2:$G$1860,'07导出'!$A$2:$A$1860,A8,'07导出'!$C$2:$C$1860,"206")</f>
        <v>0</v>
      </c>
      <c r="R8" s="46">
        <f>SUMIFS('07导出'!$H$2:$H$1860,'07导出'!$A$2:$A$1860,A8,'07导出'!$C$2:$C$1860,"206")</f>
        <v>0</v>
      </c>
      <c r="S8" s="46">
        <f>SUMIFS('07导出'!$G$2:$G$1860,'07导出'!$A$2:$A$1860,A8,'07导出'!$D$2:$D$1860,"20607")</f>
        <v>0</v>
      </c>
      <c r="T8" s="46">
        <f>SUMIFS('07导出'!$H$2:$H$1860,'07导出'!$A$2:$A$1860,A8,'07导出'!$D$2:$D$1860,"20607")</f>
        <v>0</v>
      </c>
      <c r="U8" s="46">
        <f>SUMIFS('07导出'!$G$2:$G$1860,'07导出'!$A$2:$A$1860,A8,'07导出'!$C$2:$C$1860,"208")</f>
        <v>8078878.5600000005</v>
      </c>
      <c r="V8" s="46">
        <f>SUMIFS('07导出'!$H$2:$H$1860,'07导出'!$A$2:$A$1860,A8,'07导出'!$C$2:$C$1860,"208")</f>
        <v>6881956.5600000005</v>
      </c>
      <c r="W8" s="46">
        <f>SUMIFS('07导出'!$G$2:$G$1860,'07导出'!$A$2:$A$1860,A8,'07导出'!$D$2:$D$1860,"20805")</f>
        <v>8078878.5600000005</v>
      </c>
      <c r="X8" s="46">
        <f>SUMIFS('07导出'!$H$2:$H$1860,'07导出'!$A$2:$A$1860,A8,'07导出'!$D$2:$D$1860,"20805")</f>
        <v>6881956.5600000005</v>
      </c>
      <c r="Y8" s="46">
        <f>SUMIFS('07导出'!$G$2:$G$1860,'07导出'!$A$2:$A$1860,A8,'07导出'!$D$2:$D$1860,"20808")</f>
        <v>0</v>
      </c>
      <c r="Z8" s="46">
        <f>SUMIFS('07导出'!$H$2:$H$1860,'07导出'!$A$2:$A$1860,A8,'07导出'!$D$2:$D$1860,"20808")</f>
        <v>0</v>
      </c>
      <c r="AA8" s="46">
        <f>SUMIFS('07导出'!$G$2:$G$1860,'07导出'!$A$2:$A$1860,A8,'07导出'!$C$2:$C$1860,"210")</f>
        <v>3270415.07</v>
      </c>
      <c r="AB8" s="46">
        <f>SUMIFS('07导出'!$H$2:$H$1860,'07导出'!$A$2:$A$1860,A8,'07导出'!$C$2:$C$1860,"210")</f>
        <v>2614839.7200000002</v>
      </c>
      <c r="AC8" s="46">
        <f>SUMIFS('07导出'!$G$2:$G$1860,'07导出'!$A$2:$A$1860,A8,'07导出'!$D$2:$D$1860,"21011")</f>
        <v>3270415.07</v>
      </c>
      <c r="AD8" s="46">
        <f>SUMIFS('07导出'!$H$2:$H$1860,'07导出'!$A$2:$A$1860,A8,'07导出'!$D$2:$D$1860,"21011")</f>
        <v>2614839.7200000002</v>
      </c>
      <c r="AE8" s="46">
        <f>SUMIFS('07导出'!$G$2:$G$1860,'07导出'!$A$2:$A$1860,A8,'07导出'!$C$2:$C$1860,"212")</f>
        <v>0</v>
      </c>
      <c r="AF8" s="46">
        <f>SUMIFS('07导出'!$H$2:$H$1860,'07导出'!$A$2:$A$1860,A8,'07导出'!$C$2:$C$1860,"212")</f>
        <v>0</v>
      </c>
      <c r="AG8" s="46">
        <f>SUMIFS('07导出'!$G$2:$G$1860,'07导出'!$A$2:$A$1860,A8,'07导出'!$D$2:$D$1860,"21203")</f>
        <v>0</v>
      </c>
      <c r="AH8" s="46">
        <f>SUMIFS('07导出'!$H$2:$H$1860,'07导出'!$A$2:$A$1860,A8,'07导出'!$D$2:$D$1860,"21203")</f>
        <v>0</v>
      </c>
      <c r="AI8" s="46">
        <f>SUMIFS('07导出'!$G$2:$G$1860,'07导出'!$A$2:$A$1860,A8,'07导出'!$C$2:$C$1860,"213")</f>
        <v>0</v>
      </c>
      <c r="AJ8" s="46">
        <f>SUMIFS('07导出'!$H$2:$H$1860,'07导出'!$A$2:$A$1860,A8,'07导出'!$C$2:$C$1860,"213")</f>
        <v>0</v>
      </c>
      <c r="AK8" s="46">
        <f>SUMIFS('07导出'!$G$2:$G$1860,'07导出'!$A$2:$A$1860,A8,'07导出'!$D$2:$D$1860,"21305")</f>
        <v>0</v>
      </c>
      <c r="AL8" s="46">
        <f>SUMIFS('07导出'!$H$2:$H$1860,'07导出'!$A$2:$A$1860,A8,'07导出'!$D$2:$D$1860,"21305")</f>
        <v>0</v>
      </c>
      <c r="AM8" s="46">
        <f>SUMIFS('07导出'!$G$2:$G$1860,'07导出'!$A$2:$A$1860,A8,'07导出'!$C$2:$C$1860,"221")</f>
        <v>8311620</v>
      </c>
      <c r="AN8" s="46">
        <f>SUMIFS('07导出'!$H$2:$H$1860,'07导出'!$A$2:$A$1860,A8,'07导出'!$C$2:$C$1860,"221")</f>
        <v>7501481.2799999993</v>
      </c>
      <c r="AO8" s="46">
        <f>SUMIFS('07导出'!$G$2:$G$1860,'07导出'!$A$2:$A$1860,A8,'07导出'!$D$2:$D$1860,"22102")</f>
        <v>8311620</v>
      </c>
      <c r="AP8" s="46">
        <f>SUMIFS('07导出'!$H$2:$H$1860,'07导出'!$A$2:$A$1860,A8,'07导出'!$D$2:$D$1860,"22102")</f>
        <v>7501481.2799999993</v>
      </c>
    </row>
    <row r="9" spans="1:42">
      <c r="A9" s="43">
        <v>255009</v>
      </c>
      <c r="B9" s="44" t="s">
        <v>8</v>
      </c>
      <c r="C9" s="45">
        <f>SUMIFS('07导出'!$G$2:$G$1860,'07导出'!$A$2:$A$1860,A9,'07导出'!$C$2:$C$1860,"205")</f>
        <v>127512321.03999999</v>
      </c>
      <c r="D9" s="45">
        <f>SUMIFS('07导出'!$H$2:$H$1860,'07导出'!$A$2:$A$1860,A9,'07导出'!$C$2:$C$1860,"205")</f>
        <v>106285653.22</v>
      </c>
      <c r="E9" s="46">
        <f>SUMIFS('07导出'!$G$2:$G$1860,'07导出'!$A$2:$A$1860,A9,'07导出'!$D$2:$D$1860,"20502")</f>
        <v>124405850.47</v>
      </c>
      <c r="F9" s="46">
        <f>SUMIFS('07导出'!$H$2:$H$1860,'07导出'!$A$2:$A$1860,A9,'07导出'!$D$2:$D$1860,"20502")</f>
        <v>101289453.22</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152000</v>
      </c>
      <c r="N9" s="46">
        <f>SUMIFS('07导出'!$H$2:$H$1860,'07导出'!$A$2:$A$1860,A9,'07导出'!$D$2:$D$1860,"20508")</f>
        <v>304000</v>
      </c>
      <c r="O9" s="46">
        <f>SUMIFS('07导出'!$G$2:$G$1860,'07导出'!$A$2:$A$1860,A9,'07导出'!$D$2:$D$1860,"20509")</f>
        <v>2954470.5700000003</v>
      </c>
      <c r="P9" s="46">
        <f>SUMIFS('07导出'!$H$2:$H$1860,'07导出'!$A$2:$A$1860,A9,'07导出'!$D$2:$D$1860,"20509")</f>
        <v>4692200</v>
      </c>
      <c r="Q9" s="46">
        <f>SUMIFS('07导出'!$G$2:$G$1860,'07导出'!$A$2:$A$1860,A9,'07导出'!$C$2:$C$1860,"206")</f>
        <v>0</v>
      </c>
      <c r="R9" s="46">
        <f>SUMIFS('07导出'!$H$2:$H$1860,'07导出'!$A$2:$A$1860,A9,'07导出'!$C$2:$C$1860,"206")</f>
        <v>0</v>
      </c>
      <c r="S9" s="46">
        <f>SUMIFS('07导出'!$G$2:$G$1860,'07导出'!$A$2:$A$1860,A9,'07导出'!$D$2:$D$1860,"20607")</f>
        <v>0</v>
      </c>
      <c r="T9" s="46">
        <f>SUMIFS('07导出'!$H$2:$H$1860,'07导出'!$A$2:$A$1860,A9,'07导出'!$D$2:$D$1860,"20607")</f>
        <v>0</v>
      </c>
      <c r="U9" s="46">
        <f>SUMIFS('07导出'!$G$2:$G$1860,'07导出'!$A$2:$A$1860,A9,'07导出'!$C$2:$C$1860,"208")</f>
        <v>22664845.879999999</v>
      </c>
      <c r="V9" s="46">
        <f>SUMIFS('07导出'!$H$2:$H$1860,'07导出'!$A$2:$A$1860,A9,'07导出'!$C$2:$C$1860,"208")</f>
        <v>20100121.199999999</v>
      </c>
      <c r="W9" s="46">
        <f>SUMIFS('07导出'!$G$2:$G$1860,'07导出'!$A$2:$A$1860,A9,'07导出'!$D$2:$D$1860,"20805")</f>
        <v>22371727.879999999</v>
      </c>
      <c r="X9" s="46">
        <f>SUMIFS('07导出'!$H$2:$H$1860,'07导出'!$A$2:$A$1860,A9,'07导出'!$D$2:$D$1860,"20805")</f>
        <v>20100121.199999999</v>
      </c>
      <c r="Y9" s="46">
        <f>SUMIFS('07导出'!$G$2:$G$1860,'07导出'!$A$2:$A$1860,A9,'07导出'!$D$2:$D$1860,"20808")</f>
        <v>293118</v>
      </c>
      <c r="Z9" s="46">
        <f>SUMIFS('07导出'!$H$2:$H$1860,'07导出'!$A$2:$A$1860,A9,'07导出'!$D$2:$D$1860,"20808")</f>
        <v>0</v>
      </c>
      <c r="AA9" s="46">
        <f>SUMIFS('07导出'!$G$2:$G$1860,'07导出'!$A$2:$A$1860,A9,'07导出'!$C$2:$C$1860,"210")</f>
        <v>9613516.4700000007</v>
      </c>
      <c r="AB9" s="46">
        <f>SUMIFS('07导出'!$H$2:$H$1860,'07导出'!$A$2:$A$1860,A9,'07导出'!$C$2:$C$1860,"210")</f>
        <v>8423405.4499999993</v>
      </c>
      <c r="AC9" s="46">
        <f>SUMIFS('07导出'!$G$2:$G$1860,'07导出'!$A$2:$A$1860,A9,'07导出'!$D$2:$D$1860,"21011")</f>
        <v>9613516.4700000007</v>
      </c>
      <c r="AD9" s="46">
        <f>SUMIFS('07导出'!$H$2:$H$1860,'07导出'!$A$2:$A$1860,A9,'07导出'!$D$2:$D$1860,"21011")</f>
        <v>8423405.4499999993</v>
      </c>
      <c r="AE9" s="46">
        <f>SUMIFS('07导出'!$G$2:$G$1860,'07导出'!$A$2:$A$1860,A9,'07导出'!$C$2:$C$1860,"212")</f>
        <v>0</v>
      </c>
      <c r="AF9" s="46">
        <f>SUMIFS('07导出'!$H$2:$H$1860,'07导出'!$A$2:$A$1860,A9,'07导出'!$C$2:$C$1860,"212")</f>
        <v>0</v>
      </c>
      <c r="AG9" s="46">
        <f>SUMIFS('07导出'!$G$2:$G$1860,'07导出'!$A$2:$A$1860,A9,'07导出'!$D$2:$D$1860,"21203")</f>
        <v>0</v>
      </c>
      <c r="AH9" s="46">
        <f>SUMIFS('07导出'!$H$2:$H$1860,'07导出'!$A$2:$A$1860,A9,'07导出'!$D$2:$D$1860,"21203")</f>
        <v>0</v>
      </c>
      <c r="AI9" s="46">
        <f>SUMIFS('07导出'!$G$2:$G$1860,'07导出'!$A$2:$A$1860,A9,'07导出'!$C$2:$C$1860,"213")</f>
        <v>0</v>
      </c>
      <c r="AJ9" s="46">
        <f>SUMIFS('07导出'!$H$2:$H$1860,'07导出'!$A$2:$A$1860,A9,'07导出'!$C$2:$C$1860,"213")</f>
        <v>0</v>
      </c>
      <c r="AK9" s="46">
        <f>SUMIFS('07导出'!$G$2:$G$1860,'07导出'!$A$2:$A$1860,A9,'07导出'!$D$2:$D$1860,"21305")</f>
        <v>0</v>
      </c>
      <c r="AL9" s="46">
        <f>SUMIFS('07导出'!$H$2:$H$1860,'07导出'!$A$2:$A$1860,A9,'07导出'!$D$2:$D$1860,"21305")</f>
        <v>0</v>
      </c>
      <c r="AM9" s="46">
        <f>SUMIFS('07导出'!$G$2:$G$1860,'07导出'!$A$2:$A$1860,A9,'07导出'!$C$2:$C$1860,"221")</f>
        <v>20951757.170000002</v>
      </c>
      <c r="AN9" s="46">
        <f>SUMIFS('07导出'!$H$2:$H$1860,'07导出'!$A$2:$A$1860,A9,'07导出'!$C$2:$C$1860,"221")</f>
        <v>20516113.800000001</v>
      </c>
      <c r="AO9" s="46">
        <f>SUMIFS('07导出'!$G$2:$G$1860,'07导出'!$A$2:$A$1860,A9,'07导出'!$D$2:$D$1860,"22102")</f>
        <v>20951757.170000002</v>
      </c>
      <c r="AP9" s="46">
        <f>SUMIFS('07导出'!$H$2:$H$1860,'07导出'!$A$2:$A$1860,A9,'07导出'!$D$2:$D$1860,"22102")</f>
        <v>20516113.800000001</v>
      </c>
    </row>
    <row r="10" spans="1:42">
      <c r="A10" s="43">
        <v>255010</v>
      </c>
      <c r="B10" s="44" t="s">
        <v>9</v>
      </c>
      <c r="C10" s="45">
        <f>SUMIFS('07导出'!$G$2:$G$1860,'07导出'!$A$2:$A$1860,A10,'07导出'!$C$2:$C$1860,"205")</f>
        <v>45712729.230000004</v>
      </c>
      <c r="D10" s="45">
        <f>SUMIFS('07导出'!$H$2:$H$1860,'07导出'!$A$2:$A$1860,A10,'07导出'!$C$2:$C$1860,"205")</f>
        <v>37288669.75</v>
      </c>
      <c r="E10" s="46">
        <f>SUMIFS('07导出'!$G$2:$G$1860,'07导出'!$A$2:$A$1860,A10,'07导出'!$D$2:$D$1860,"20502")</f>
        <v>41571588.310000002</v>
      </c>
      <c r="F10" s="46">
        <f>SUMIFS('07导出'!$H$2:$H$1860,'07导出'!$A$2:$A$1860,A10,'07导出'!$D$2:$D$1860,"20502")</f>
        <v>33047919.75</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0</v>
      </c>
      <c r="N10" s="46">
        <f>SUMIFS('07导出'!$H$2:$H$1860,'07导出'!$A$2:$A$1860,A10,'07导出'!$D$2:$D$1860,"20508")</f>
        <v>95200</v>
      </c>
      <c r="O10" s="46">
        <f>SUMIFS('07导出'!$G$2:$G$1860,'07导出'!$A$2:$A$1860,A10,'07导出'!$D$2:$D$1860,"20509")</f>
        <v>4141140.92</v>
      </c>
      <c r="P10" s="46">
        <f>SUMIFS('07导出'!$H$2:$H$1860,'07导出'!$A$2:$A$1860,A10,'07导出'!$D$2:$D$1860,"20509")</f>
        <v>4145550</v>
      </c>
      <c r="Q10" s="46">
        <f>SUMIFS('07导出'!$G$2:$G$1860,'07导出'!$A$2:$A$1860,A10,'07导出'!$C$2:$C$1860,"206")</f>
        <v>0</v>
      </c>
      <c r="R10" s="46">
        <f>SUMIFS('07导出'!$H$2:$H$1860,'07导出'!$A$2:$A$1860,A10,'07导出'!$C$2:$C$1860,"206")</f>
        <v>0</v>
      </c>
      <c r="S10" s="46">
        <f>SUMIFS('07导出'!$G$2:$G$1860,'07导出'!$A$2:$A$1860,A10,'07导出'!$D$2:$D$1860,"20607")</f>
        <v>0</v>
      </c>
      <c r="T10" s="46">
        <f>SUMIFS('07导出'!$H$2:$H$1860,'07导出'!$A$2:$A$1860,A10,'07导出'!$D$2:$D$1860,"20607")</f>
        <v>0</v>
      </c>
      <c r="U10" s="46">
        <f>SUMIFS('07导出'!$G$2:$G$1860,'07导出'!$A$2:$A$1860,A10,'07导出'!$C$2:$C$1860,"208")</f>
        <v>6445719.2000000002</v>
      </c>
      <c r="V10" s="46">
        <f>SUMIFS('07导出'!$H$2:$H$1860,'07导出'!$A$2:$A$1860,A10,'07导出'!$C$2:$C$1860,"208")</f>
        <v>6279019.8599999994</v>
      </c>
      <c r="W10" s="46">
        <f>SUMIFS('07导出'!$G$2:$G$1860,'07导出'!$A$2:$A$1860,A10,'07导出'!$D$2:$D$1860,"20805")</f>
        <v>6445719.2000000002</v>
      </c>
      <c r="X10" s="46">
        <f>SUMIFS('07导出'!$H$2:$H$1860,'07导出'!$A$2:$A$1860,A10,'07导出'!$D$2:$D$1860,"20805")</f>
        <v>6279019.8599999994</v>
      </c>
      <c r="Y10" s="46">
        <f>SUMIFS('07导出'!$G$2:$G$1860,'07导出'!$A$2:$A$1860,A10,'07导出'!$D$2:$D$1860,"20808")</f>
        <v>0</v>
      </c>
      <c r="Z10" s="46">
        <f>SUMIFS('07导出'!$H$2:$H$1860,'07导出'!$A$2:$A$1860,A10,'07导出'!$D$2:$D$1860,"20808")</f>
        <v>0</v>
      </c>
      <c r="AA10" s="46">
        <f>SUMIFS('07导出'!$G$2:$G$1860,'07导出'!$A$2:$A$1860,A10,'07导出'!$C$2:$C$1860,"210")</f>
        <v>3074278.47</v>
      </c>
      <c r="AB10" s="46">
        <f>SUMIFS('07导出'!$H$2:$H$1860,'07导出'!$A$2:$A$1860,A10,'07导出'!$C$2:$C$1860,"210")</f>
        <v>2520421.64</v>
      </c>
      <c r="AC10" s="46">
        <f>SUMIFS('07导出'!$G$2:$G$1860,'07导出'!$A$2:$A$1860,A10,'07导出'!$D$2:$D$1860,"21011")</f>
        <v>3074278.47</v>
      </c>
      <c r="AD10" s="46">
        <f>SUMIFS('07导出'!$H$2:$H$1860,'07导出'!$A$2:$A$1860,A10,'07导出'!$D$2:$D$1860,"21011")</f>
        <v>2520421.64</v>
      </c>
      <c r="AE10" s="46">
        <f>SUMIFS('07导出'!$G$2:$G$1860,'07导出'!$A$2:$A$1860,A10,'07导出'!$C$2:$C$1860,"212")</f>
        <v>0</v>
      </c>
      <c r="AF10" s="46">
        <f>SUMIFS('07导出'!$H$2:$H$1860,'07导出'!$A$2:$A$1860,A10,'07导出'!$C$2:$C$1860,"212")</f>
        <v>0</v>
      </c>
      <c r="AG10" s="46">
        <f>SUMIFS('07导出'!$G$2:$G$1860,'07导出'!$A$2:$A$1860,A10,'07导出'!$D$2:$D$1860,"21203")</f>
        <v>0</v>
      </c>
      <c r="AH10" s="46">
        <f>SUMIFS('07导出'!$H$2:$H$1860,'07导出'!$A$2:$A$1860,A10,'07导出'!$D$2:$D$1860,"21203")</f>
        <v>0</v>
      </c>
      <c r="AI10" s="46">
        <f>SUMIFS('07导出'!$G$2:$G$1860,'07导出'!$A$2:$A$1860,A10,'07导出'!$C$2:$C$1860,"213")</f>
        <v>0</v>
      </c>
      <c r="AJ10" s="46">
        <f>SUMIFS('07导出'!$H$2:$H$1860,'07导出'!$A$2:$A$1860,A10,'07导出'!$C$2:$C$1860,"213")</f>
        <v>0</v>
      </c>
      <c r="AK10" s="46">
        <f>SUMIFS('07导出'!$G$2:$G$1860,'07导出'!$A$2:$A$1860,A10,'07导出'!$D$2:$D$1860,"21305")</f>
        <v>0</v>
      </c>
      <c r="AL10" s="46">
        <f>SUMIFS('07导出'!$H$2:$H$1860,'07导出'!$A$2:$A$1860,A10,'07导出'!$D$2:$D$1860,"21305")</f>
        <v>0</v>
      </c>
      <c r="AM10" s="46">
        <f>SUMIFS('07导出'!$G$2:$G$1860,'07导出'!$A$2:$A$1860,A10,'07导出'!$C$2:$C$1860,"221")</f>
        <v>7032447</v>
      </c>
      <c r="AN10" s="46">
        <f>SUMIFS('07导出'!$H$2:$H$1860,'07导出'!$A$2:$A$1860,A10,'07导出'!$C$2:$C$1860,"221")</f>
        <v>6492798.1299999999</v>
      </c>
      <c r="AO10" s="46">
        <f>SUMIFS('07导出'!$G$2:$G$1860,'07导出'!$A$2:$A$1860,A10,'07导出'!$D$2:$D$1860,"22102")</f>
        <v>7032447</v>
      </c>
      <c r="AP10" s="46">
        <f>SUMIFS('07导出'!$H$2:$H$1860,'07导出'!$A$2:$A$1860,A10,'07导出'!$D$2:$D$1860,"22102")</f>
        <v>6492798.1299999999</v>
      </c>
    </row>
    <row r="11" spans="1:42">
      <c r="A11" s="43">
        <v>255012</v>
      </c>
      <c r="B11" s="44" t="s">
        <v>10</v>
      </c>
      <c r="C11" s="45">
        <f>SUMIFS('07导出'!$G$2:$G$1860,'07导出'!$A$2:$A$1860,A11,'07导出'!$C$2:$C$1860,"205")</f>
        <v>42635420.960000001</v>
      </c>
      <c r="D11" s="45">
        <f>SUMIFS('07导出'!$H$2:$H$1860,'07导出'!$A$2:$A$1860,A11,'07导出'!$C$2:$C$1860,"205")</f>
        <v>35889875.390000001</v>
      </c>
      <c r="E11" s="46">
        <f>SUMIFS('07导出'!$G$2:$G$1860,'07导出'!$A$2:$A$1860,A11,'07导出'!$D$2:$D$1860,"20502")</f>
        <v>40313282.789999999</v>
      </c>
      <c r="F11" s="46">
        <f>SUMIFS('07导出'!$H$2:$H$1860,'07导出'!$A$2:$A$1860,A11,'07导出'!$D$2:$D$1860,"20502")</f>
        <v>33484005.390000001</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50000</v>
      </c>
      <c r="N11" s="46">
        <f>SUMIFS('07导出'!$H$2:$H$1860,'07导出'!$A$2:$A$1860,A11,'07导出'!$D$2:$D$1860,"20508")</f>
        <v>106400</v>
      </c>
      <c r="O11" s="46">
        <f>SUMIFS('07导出'!$G$2:$G$1860,'07导出'!$A$2:$A$1860,A11,'07导出'!$D$2:$D$1860,"20509")</f>
        <v>2272138.17</v>
      </c>
      <c r="P11" s="46">
        <f>SUMIFS('07导出'!$H$2:$H$1860,'07导出'!$A$2:$A$1860,A11,'07导出'!$D$2:$D$1860,"20509")</f>
        <v>2299470</v>
      </c>
      <c r="Q11" s="46">
        <f>SUMIFS('07导出'!$G$2:$G$1860,'07导出'!$A$2:$A$1860,A11,'07导出'!$C$2:$C$1860,"206")</f>
        <v>0</v>
      </c>
      <c r="R11" s="46">
        <f>SUMIFS('07导出'!$H$2:$H$1860,'07导出'!$A$2:$A$1860,A11,'07导出'!$C$2:$C$1860,"206")</f>
        <v>0</v>
      </c>
      <c r="S11" s="46">
        <f>SUMIFS('07导出'!$G$2:$G$1860,'07导出'!$A$2:$A$1860,A11,'07导出'!$D$2:$D$1860,"20607")</f>
        <v>0</v>
      </c>
      <c r="T11" s="46">
        <f>SUMIFS('07导出'!$H$2:$H$1860,'07导出'!$A$2:$A$1860,A11,'07导出'!$D$2:$D$1860,"20607")</f>
        <v>0</v>
      </c>
      <c r="U11" s="46">
        <f>SUMIFS('07导出'!$G$2:$G$1860,'07导出'!$A$2:$A$1860,A11,'07导出'!$C$2:$C$1860,"208")</f>
        <v>6842399.8599999994</v>
      </c>
      <c r="V11" s="46">
        <f>SUMIFS('07导出'!$H$2:$H$1860,'07导出'!$A$2:$A$1860,A11,'07导出'!$C$2:$C$1860,"208")</f>
        <v>6609832.2400000002</v>
      </c>
      <c r="W11" s="46">
        <f>SUMIFS('07导出'!$G$2:$G$1860,'07导出'!$A$2:$A$1860,A11,'07导出'!$D$2:$D$1860,"20805")</f>
        <v>6842399.8599999994</v>
      </c>
      <c r="X11" s="46">
        <f>SUMIFS('07导出'!$H$2:$H$1860,'07导出'!$A$2:$A$1860,A11,'07导出'!$D$2:$D$1860,"20805")</f>
        <v>6609832.2400000002</v>
      </c>
      <c r="Y11" s="46">
        <f>SUMIFS('07导出'!$G$2:$G$1860,'07导出'!$A$2:$A$1860,A11,'07导出'!$D$2:$D$1860,"20808")</f>
        <v>0</v>
      </c>
      <c r="Z11" s="46">
        <f>SUMIFS('07导出'!$H$2:$H$1860,'07导出'!$A$2:$A$1860,A11,'07导出'!$D$2:$D$1860,"20808")</f>
        <v>0</v>
      </c>
      <c r="AA11" s="46">
        <f>SUMIFS('07导出'!$G$2:$G$1860,'07导出'!$A$2:$A$1860,A11,'07导出'!$C$2:$C$1860,"210")</f>
        <v>3011969.38</v>
      </c>
      <c r="AB11" s="46">
        <f>SUMIFS('07导出'!$H$2:$H$1860,'07导出'!$A$2:$A$1860,A11,'07导出'!$C$2:$C$1860,"210")</f>
        <v>2768601.38</v>
      </c>
      <c r="AC11" s="46">
        <f>SUMIFS('07导出'!$G$2:$G$1860,'07导出'!$A$2:$A$1860,A11,'07导出'!$D$2:$D$1860,"21011")</f>
        <v>3011969.38</v>
      </c>
      <c r="AD11" s="46">
        <f>SUMIFS('07导出'!$H$2:$H$1860,'07导出'!$A$2:$A$1860,A11,'07导出'!$D$2:$D$1860,"21011")</f>
        <v>2768601.38</v>
      </c>
      <c r="AE11" s="46">
        <f>SUMIFS('07导出'!$G$2:$G$1860,'07导出'!$A$2:$A$1860,A11,'07导出'!$C$2:$C$1860,"212")</f>
        <v>0</v>
      </c>
      <c r="AF11" s="46">
        <f>SUMIFS('07导出'!$H$2:$H$1860,'07导出'!$A$2:$A$1860,A11,'07导出'!$C$2:$C$1860,"212")</f>
        <v>0</v>
      </c>
      <c r="AG11" s="46">
        <f>SUMIFS('07导出'!$G$2:$G$1860,'07导出'!$A$2:$A$1860,A11,'07导出'!$D$2:$D$1860,"21203")</f>
        <v>0</v>
      </c>
      <c r="AH11" s="46">
        <f>SUMIFS('07导出'!$H$2:$H$1860,'07导出'!$A$2:$A$1860,A11,'07导出'!$D$2:$D$1860,"21203")</f>
        <v>0</v>
      </c>
      <c r="AI11" s="46">
        <f>SUMIFS('07导出'!$G$2:$G$1860,'07导出'!$A$2:$A$1860,A11,'07导出'!$C$2:$C$1860,"213")</f>
        <v>0</v>
      </c>
      <c r="AJ11" s="46">
        <f>SUMIFS('07导出'!$H$2:$H$1860,'07导出'!$A$2:$A$1860,A11,'07导出'!$C$2:$C$1860,"213")</f>
        <v>0</v>
      </c>
      <c r="AK11" s="46">
        <f>SUMIFS('07导出'!$G$2:$G$1860,'07导出'!$A$2:$A$1860,A11,'07导出'!$D$2:$D$1860,"21305")</f>
        <v>0</v>
      </c>
      <c r="AL11" s="46">
        <f>SUMIFS('07导出'!$H$2:$H$1860,'07导出'!$A$2:$A$1860,A11,'07导出'!$D$2:$D$1860,"21305")</f>
        <v>0</v>
      </c>
      <c r="AM11" s="46">
        <f>SUMIFS('07导出'!$G$2:$G$1860,'07导出'!$A$2:$A$1860,A11,'07导出'!$C$2:$C$1860,"221")</f>
        <v>6993785</v>
      </c>
      <c r="AN11" s="46">
        <f>SUMIFS('07导出'!$H$2:$H$1860,'07导出'!$A$2:$A$1860,A11,'07导出'!$C$2:$C$1860,"221")</f>
        <v>6853587.1200000001</v>
      </c>
      <c r="AO11" s="46">
        <f>SUMIFS('07导出'!$G$2:$G$1860,'07导出'!$A$2:$A$1860,A11,'07导出'!$D$2:$D$1860,"22102")</f>
        <v>6993785</v>
      </c>
      <c r="AP11" s="46">
        <f>SUMIFS('07导出'!$H$2:$H$1860,'07导出'!$A$2:$A$1860,A11,'07导出'!$D$2:$D$1860,"22102")</f>
        <v>6853587.1200000001</v>
      </c>
    </row>
    <row r="12" spans="1:42">
      <c r="A12" s="43">
        <v>255013</v>
      </c>
      <c r="B12" s="44" t="s">
        <v>11</v>
      </c>
      <c r="C12" s="45">
        <f>SUMIFS('07导出'!$G$2:$G$1860,'07导出'!$A$2:$A$1860,A12,'07导出'!$C$2:$C$1860,"205")</f>
        <v>31888855.859999999</v>
      </c>
      <c r="D12" s="45">
        <f>SUMIFS('07导出'!$H$2:$H$1860,'07导出'!$A$2:$A$1860,A12,'07导出'!$C$2:$C$1860,"205")</f>
        <v>26941744.559999999</v>
      </c>
      <c r="E12" s="46">
        <f>SUMIFS('07导出'!$G$2:$G$1860,'07导出'!$A$2:$A$1860,A12,'07导出'!$D$2:$D$1860,"20502")</f>
        <v>30448629.859999999</v>
      </c>
      <c r="F12" s="46">
        <f>SUMIFS('07导出'!$H$2:$H$1860,'07导出'!$A$2:$A$1860,A12,'07导出'!$D$2:$D$1860,"20502")</f>
        <v>25412444.559999999</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42000</v>
      </c>
      <c r="N12" s="46">
        <f>SUMIFS('07导出'!$H$2:$H$1860,'07导出'!$A$2:$A$1860,A12,'07导出'!$D$2:$D$1860,"20508")</f>
        <v>84000</v>
      </c>
      <c r="O12" s="46">
        <f>SUMIFS('07导出'!$G$2:$G$1860,'07导出'!$A$2:$A$1860,A12,'07导出'!$D$2:$D$1860,"20509")</f>
        <v>1398226</v>
      </c>
      <c r="P12" s="46">
        <f>SUMIFS('07导出'!$H$2:$H$1860,'07导出'!$A$2:$A$1860,A12,'07导出'!$D$2:$D$1860,"20509")</f>
        <v>1445300</v>
      </c>
      <c r="Q12" s="46">
        <f>SUMIFS('07导出'!$G$2:$G$1860,'07导出'!$A$2:$A$1860,A12,'07导出'!$C$2:$C$1860,"206")</f>
        <v>0</v>
      </c>
      <c r="R12" s="46">
        <f>SUMIFS('07导出'!$H$2:$H$1860,'07导出'!$A$2:$A$1860,A12,'07导出'!$C$2:$C$1860,"206")</f>
        <v>0</v>
      </c>
      <c r="S12" s="46">
        <f>SUMIFS('07导出'!$G$2:$G$1860,'07导出'!$A$2:$A$1860,A12,'07导出'!$D$2:$D$1860,"20607")</f>
        <v>0</v>
      </c>
      <c r="T12" s="46">
        <f>SUMIFS('07导出'!$H$2:$H$1860,'07导出'!$A$2:$A$1860,A12,'07导出'!$D$2:$D$1860,"20607")</f>
        <v>0</v>
      </c>
      <c r="U12" s="46">
        <f>SUMIFS('07导出'!$G$2:$G$1860,'07导出'!$A$2:$A$1860,A12,'07导出'!$C$2:$C$1860,"208")</f>
        <v>6045593.9100000001</v>
      </c>
      <c r="V12" s="46">
        <f>SUMIFS('07导出'!$H$2:$H$1860,'07导出'!$A$2:$A$1860,A12,'07导出'!$C$2:$C$1860,"208")</f>
        <v>6178234.04</v>
      </c>
      <c r="W12" s="46">
        <f>SUMIFS('07导出'!$G$2:$G$1860,'07导出'!$A$2:$A$1860,A12,'07导出'!$D$2:$D$1860,"20805")</f>
        <v>6045593.9100000001</v>
      </c>
      <c r="X12" s="46">
        <f>SUMIFS('07导出'!$H$2:$H$1860,'07导出'!$A$2:$A$1860,A12,'07导出'!$D$2:$D$1860,"20805")</f>
        <v>6178234.04</v>
      </c>
      <c r="Y12" s="46">
        <f>SUMIFS('07导出'!$G$2:$G$1860,'07导出'!$A$2:$A$1860,A12,'07导出'!$D$2:$D$1860,"20808")</f>
        <v>0</v>
      </c>
      <c r="Z12" s="46">
        <f>SUMIFS('07导出'!$H$2:$H$1860,'07导出'!$A$2:$A$1860,A12,'07导出'!$D$2:$D$1860,"20808")</f>
        <v>0</v>
      </c>
      <c r="AA12" s="46">
        <f>SUMIFS('07导出'!$G$2:$G$1860,'07导出'!$A$2:$A$1860,A12,'07导出'!$C$2:$C$1860,"210")</f>
        <v>2465050.12</v>
      </c>
      <c r="AB12" s="46">
        <f>SUMIFS('07导出'!$H$2:$H$1860,'07导出'!$A$2:$A$1860,A12,'07导出'!$C$2:$C$1860,"210")</f>
        <v>2335898.38</v>
      </c>
      <c r="AC12" s="46">
        <f>SUMIFS('07导出'!$G$2:$G$1860,'07导出'!$A$2:$A$1860,A12,'07导出'!$D$2:$D$1860,"21011")</f>
        <v>2465050.12</v>
      </c>
      <c r="AD12" s="46">
        <f>SUMIFS('07导出'!$H$2:$H$1860,'07导出'!$A$2:$A$1860,A12,'07导出'!$D$2:$D$1860,"21011")</f>
        <v>2335898.38</v>
      </c>
      <c r="AE12" s="46">
        <f>SUMIFS('07导出'!$G$2:$G$1860,'07导出'!$A$2:$A$1860,A12,'07导出'!$C$2:$C$1860,"212")</f>
        <v>0</v>
      </c>
      <c r="AF12" s="46">
        <f>SUMIFS('07导出'!$H$2:$H$1860,'07导出'!$A$2:$A$1860,A12,'07导出'!$C$2:$C$1860,"212")</f>
        <v>0</v>
      </c>
      <c r="AG12" s="46">
        <f>SUMIFS('07导出'!$G$2:$G$1860,'07导出'!$A$2:$A$1860,A12,'07导出'!$D$2:$D$1860,"21203")</f>
        <v>0</v>
      </c>
      <c r="AH12" s="46">
        <f>SUMIFS('07导出'!$H$2:$H$1860,'07导出'!$A$2:$A$1860,A12,'07导出'!$D$2:$D$1860,"21203")</f>
        <v>0</v>
      </c>
      <c r="AI12" s="46">
        <f>SUMIFS('07导出'!$G$2:$G$1860,'07导出'!$A$2:$A$1860,A12,'07导出'!$C$2:$C$1860,"213")</f>
        <v>0</v>
      </c>
      <c r="AJ12" s="46">
        <f>SUMIFS('07导出'!$H$2:$H$1860,'07导出'!$A$2:$A$1860,A12,'07导出'!$C$2:$C$1860,"213")</f>
        <v>0</v>
      </c>
      <c r="AK12" s="46">
        <f>SUMIFS('07导出'!$G$2:$G$1860,'07导出'!$A$2:$A$1860,A12,'07导出'!$D$2:$D$1860,"21305")</f>
        <v>0</v>
      </c>
      <c r="AL12" s="46">
        <f>SUMIFS('07导出'!$H$2:$H$1860,'07导出'!$A$2:$A$1860,A12,'07导出'!$D$2:$D$1860,"21305")</f>
        <v>0</v>
      </c>
      <c r="AM12" s="46">
        <f>SUMIFS('07导出'!$G$2:$G$1860,'07导出'!$A$2:$A$1860,A12,'07导出'!$C$2:$C$1860,"221")</f>
        <v>5705415</v>
      </c>
      <c r="AN12" s="46">
        <f>SUMIFS('07导出'!$H$2:$H$1860,'07导出'!$A$2:$A$1860,A12,'07导出'!$C$2:$C$1860,"221")</f>
        <v>5343903.12</v>
      </c>
      <c r="AO12" s="46">
        <f>SUMIFS('07导出'!$G$2:$G$1860,'07导出'!$A$2:$A$1860,A12,'07导出'!$D$2:$D$1860,"22102")</f>
        <v>5705415</v>
      </c>
      <c r="AP12" s="46">
        <f>SUMIFS('07导出'!$H$2:$H$1860,'07导出'!$A$2:$A$1860,A12,'07导出'!$D$2:$D$1860,"22102")</f>
        <v>5343903.12</v>
      </c>
    </row>
    <row r="13" spans="1:42">
      <c r="A13" s="43">
        <v>255015</v>
      </c>
      <c r="B13" s="44" t="s">
        <v>12</v>
      </c>
      <c r="C13" s="45">
        <f>SUMIFS('07导出'!$G$2:$G$1860,'07导出'!$A$2:$A$1860,A13,'07导出'!$C$2:$C$1860,"205")</f>
        <v>46211705.850000001</v>
      </c>
      <c r="D13" s="45">
        <f>SUMIFS('07导出'!$H$2:$H$1860,'07导出'!$A$2:$A$1860,A13,'07导出'!$C$2:$C$1860,"205")</f>
        <v>36613288.119999997</v>
      </c>
      <c r="E13" s="46">
        <f>SUMIFS('07导出'!$G$2:$G$1860,'07导出'!$A$2:$A$1860,A13,'07导出'!$D$2:$D$1860,"20502")</f>
        <v>45046360.259999998</v>
      </c>
      <c r="F13" s="46">
        <f>SUMIFS('07导出'!$H$2:$H$1860,'07导出'!$A$2:$A$1860,A13,'07导出'!$D$2:$D$1860,"20502")</f>
        <v>35380488.119999997</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56400</v>
      </c>
      <c r="N13" s="46">
        <f>SUMIFS('07导出'!$H$2:$H$1860,'07导出'!$A$2:$A$1860,A13,'07导出'!$D$2:$D$1860,"20508")</f>
        <v>112800</v>
      </c>
      <c r="O13" s="46">
        <f>SUMIFS('07导出'!$G$2:$G$1860,'07导出'!$A$2:$A$1860,A13,'07导出'!$D$2:$D$1860,"20509")</f>
        <v>1108945.5899999999</v>
      </c>
      <c r="P13" s="46">
        <f>SUMIFS('07导出'!$H$2:$H$1860,'07导出'!$A$2:$A$1860,A13,'07导出'!$D$2:$D$1860,"20509")</f>
        <v>1120000</v>
      </c>
      <c r="Q13" s="46">
        <f>SUMIFS('07导出'!$G$2:$G$1860,'07导出'!$A$2:$A$1860,A13,'07导出'!$C$2:$C$1860,"206")</f>
        <v>0</v>
      </c>
      <c r="R13" s="46">
        <f>SUMIFS('07导出'!$H$2:$H$1860,'07导出'!$A$2:$A$1860,A13,'07导出'!$C$2:$C$1860,"206")</f>
        <v>0</v>
      </c>
      <c r="S13" s="46">
        <f>SUMIFS('07导出'!$G$2:$G$1860,'07导出'!$A$2:$A$1860,A13,'07导出'!$D$2:$D$1860,"20607")</f>
        <v>0</v>
      </c>
      <c r="T13" s="46">
        <f>SUMIFS('07导出'!$H$2:$H$1860,'07导出'!$A$2:$A$1860,A13,'07导出'!$D$2:$D$1860,"20607")</f>
        <v>0</v>
      </c>
      <c r="U13" s="46">
        <f>SUMIFS('07导出'!$G$2:$G$1860,'07导出'!$A$2:$A$1860,A13,'07导出'!$C$2:$C$1860,"208")</f>
        <v>8641171.6900000013</v>
      </c>
      <c r="V13" s="46">
        <f>SUMIFS('07导出'!$H$2:$H$1860,'07导出'!$A$2:$A$1860,A13,'07导出'!$C$2:$C$1860,"208")</f>
        <v>8730651.1999999993</v>
      </c>
      <c r="W13" s="46">
        <f>SUMIFS('07导出'!$G$2:$G$1860,'07导出'!$A$2:$A$1860,A13,'07导出'!$D$2:$D$1860,"20805")</f>
        <v>8641171.6900000013</v>
      </c>
      <c r="X13" s="46">
        <f>SUMIFS('07导出'!$H$2:$H$1860,'07导出'!$A$2:$A$1860,A13,'07导出'!$D$2:$D$1860,"20805")</f>
        <v>8730651.1999999993</v>
      </c>
      <c r="Y13" s="46">
        <f>SUMIFS('07导出'!$G$2:$G$1860,'07导出'!$A$2:$A$1860,A13,'07导出'!$D$2:$D$1860,"20808")</f>
        <v>0</v>
      </c>
      <c r="Z13" s="46">
        <f>SUMIFS('07导出'!$H$2:$H$1860,'07导出'!$A$2:$A$1860,A13,'07导出'!$D$2:$D$1860,"20808")</f>
        <v>0</v>
      </c>
      <c r="AA13" s="46">
        <f>SUMIFS('07导出'!$G$2:$G$1860,'07导出'!$A$2:$A$1860,A13,'07导出'!$C$2:$C$1860,"210")</f>
        <v>4049659.97</v>
      </c>
      <c r="AB13" s="46">
        <f>SUMIFS('07导出'!$H$2:$H$1860,'07导出'!$A$2:$A$1860,A13,'07导出'!$C$2:$C$1860,"210")</f>
        <v>3488477.18</v>
      </c>
      <c r="AC13" s="46">
        <f>SUMIFS('07导出'!$G$2:$G$1860,'07导出'!$A$2:$A$1860,A13,'07导出'!$D$2:$D$1860,"21011")</f>
        <v>4049659.97</v>
      </c>
      <c r="AD13" s="46">
        <f>SUMIFS('07导出'!$H$2:$H$1860,'07导出'!$A$2:$A$1860,A13,'07导出'!$D$2:$D$1860,"21011")</f>
        <v>3488477.18</v>
      </c>
      <c r="AE13" s="46">
        <f>SUMIFS('07导出'!$G$2:$G$1860,'07导出'!$A$2:$A$1860,A13,'07导出'!$C$2:$C$1860,"212")</f>
        <v>0</v>
      </c>
      <c r="AF13" s="46">
        <f>SUMIFS('07导出'!$H$2:$H$1860,'07导出'!$A$2:$A$1860,A13,'07导出'!$C$2:$C$1860,"212")</f>
        <v>0</v>
      </c>
      <c r="AG13" s="46">
        <f>SUMIFS('07导出'!$G$2:$G$1860,'07导出'!$A$2:$A$1860,A13,'07导出'!$D$2:$D$1860,"21203")</f>
        <v>0</v>
      </c>
      <c r="AH13" s="46">
        <f>SUMIFS('07导出'!$H$2:$H$1860,'07导出'!$A$2:$A$1860,A13,'07导出'!$D$2:$D$1860,"21203")</f>
        <v>0</v>
      </c>
      <c r="AI13" s="46">
        <f>SUMIFS('07导出'!$G$2:$G$1860,'07导出'!$A$2:$A$1860,A13,'07导出'!$C$2:$C$1860,"213")</f>
        <v>0</v>
      </c>
      <c r="AJ13" s="46">
        <f>SUMIFS('07导出'!$H$2:$H$1860,'07导出'!$A$2:$A$1860,A13,'07导出'!$C$2:$C$1860,"213")</f>
        <v>0</v>
      </c>
      <c r="AK13" s="46">
        <f>SUMIFS('07导出'!$G$2:$G$1860,'07导出'!$A$2:$A$1860,A13,'07导出'!$D$2:$D$1860,"21305")</f>
        <v>0</v>
      </c>
      <c r="AL13" s="46">
        <f>SUMIFS('07导出'!$H$2:$H$1860,'07导出'!$A$2:$A$1860,A13,'07导出'!$D$2:$D$1860,"21305")</f>
        <v>0</v>
      </c>
      <c r="AM13" s="46">
        <f>SUMIFS('07导出'!$G$2:$G$1860,'07导出'!$A$2:$A$1860,A13,'07导出'!$C$2:$C$1860,"221")</f>
        <v>8254767</v>
      </c>
      <c r="AN13" s="46">
        <f>SUMIFS('07导出'!$H$2:$H$1860,'07导出'!$A$2:$A$1860,A13,'07导出'!$C$2:$C$1860,"221")</f>
        <v>7480558.3200000003</v>
      </c>
      <c r="AO13" s="46">
        <f>SUMIFS('07导出'!$G$2:$G$1860,'07导出'!$A$2:$A$1860,A13,'07导出'!$D$2:$D$1860,"22102")</f>
        <v>8254767</v>
      </c>
      <c r="AP13" s="46">
        <f>SUMIFS('07导出'!$H$2:$H$1860,'07导出'!$A$2:$A$1860,A13,'07导出'!$D$2:$D$1860,"22102")</f>
        <v>7480558.3200000003</v>
      </c>
    </row>
    <row r="14" spans="1:42">
      <c r="A14" s="43">
        <v>255016</v>
      </c>
      <c r="B14" s="44" t="s">
        <v>13</v>
      </c>
      <c r="C14" s="45">
        <f>SUMIFS('07导出'!$G$2:$G$1860,'07导出'!$A$2:$A$1860,A14,'07导出'!$C$2:$C$1860,"205")</f>
        <v>47751888.899999999</v>
      </c>
      <c r="D14" s="45">
        <f>SUMIFS('07导出'!$H$2:$H$1860,'07导出'!$A$2:$A$1860,A14,'07导出'!$C$2:$C$1860,"205")</f>
        <v>39677848.210000001</v>
      </c>
      <c r="E14" s="46">
        <f>SUMIFS('07导出'!$G$2:$G$1860,'07导出'!$A$2:$A$1860,A14,'07导出'!$D$2:$D$1860,"20502")</f>
        <v>47246105.899999999</v>
      </c>
      <c r="F14" s="46">
        <f>SUMIFS('07导出'!$H$2:$H$1860,'07导出'!$A$2:$A$1860,A14,'07导出'!$D$2:$D$1860,"20502")</f>
        <v>39172065.210000001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0</v>
      </c>
      <c r="O14" s="46">
        <f>SUMIFS('07导出'!$G$2:$G$1860,'07导出'!$A$2:$A$1860,A14,'07导出'!$D$2:$D$1860,"20509")</f>
        <v>505783</v>
      </c>
      <c r="P14" s="46">
        <f>SUMIFS('07导出'!$H$2:$H$1860,'07导出'!$A$2:$A$1860,A14,'07导出'!$D$2:$D$1860,"20509")</f>
        <v>505783</v>
      </c>
      <c r="Q14" s="46">
        <f>SUMIFS('07导出'!$G$2:$G$1860,'07导出'!$A$2:$A$1860,A14,'07导出'!$C$2:$C$1860,"206")</f>
        <v>0</v>
      </c>
      <c r="R14" s="46">
        <f>SUMIFS('07导出'!$H$2:$H$1860,'07导出'!$A$2:$A$1860,A14,'07导出'!$C$2:$C$1860,"206")</f>
        <v>0</v>
      </c>
      <c r="S14" s="46">
        <f>SUMIFS('07导出'!$G$2:$G$1860,'07导出'!$A$2:$A$1860,A14,'07导出'!$D$2:$D$1860,"20607")</f>
        <v>0</v>
      </c>
      <c r="T14" s="46">
        <f>SUMIFS('07导出'!$H$2:$H$1860,'07导出'!$A$2:$A$1860,A14,'07导出'!$D$2:$D$1860,"20607")</f>
        <v>0</v>
      </c>
      <c r="U14" s="46">
        <f>SUMIFS('07导出'!$G$2:$G$1860,'07导出'!$A$2:$A$1860,A14,'07导出'!$C$2:$C$1860,"208")</f>
        <v>11374730.779999999</v>
      </c>
      <c r="V14" s="46">
        <f>SUMIFS('07导出'!$H$2:$H$1860,'07导出'!$A$2:$A$1860,A14,'07导出'!$C$2:$C$1860,"208")</f>
        <v>10153422.560000001</v>
      </c>
      <c r="W14" s="46">
        <f>SUMIFS('07导出'!$G$2:$G$1860,'07导出'!$A$2:$A$1860,A14,'07导出'!$D$2:$D$1860,"20805")</f>
        <v>11374730.779999999</v>
      </c>
      <c r="X14" s="46">
        <f>SUMIFS('07导出'!$H$2:$H$1860,'07导出'!$A$2:$A$1860,A14,'07导出'!$D$2:$D$1860,"20805")</f>
        <v>10153422.560000001</v>
      </c>
      <c r="Y14" s="46">
        <f>SUMIFS('07导出'!$G$2:$G$1860,'07导出'!$A$2:$A$1860,A14,'07导出'!$D$2:$D$1860,"20808")</f>
        <v>0</v>
      </c>
      <c r="Z14" s="46">
        <f>SUMIFS('07导出'!$H$2:$H$1860,'07导出'!$A$2:$A$1860,A14,'07导出'!$D$2:$D$1860,"20808")</f>
        <v>0</v>
      </c>
      <c r="AA14" s="46">
        <f>SUMIFS('07导出'!$G$2:$G$1860,'07导出'!$A$2:$A$1860,A14,'07导出'!$C$2:$C$1860,"210")</f>
        <v>4118927.44</v>
      </c>
      <c r="AB14" s="46">
        <f>SUMIFS('07导出'!$H$2:$H$1860,'07导出'!$A$2:$A$1860,A14,'07导出'!$C$2:$C$1860,"210")</f>
        <v>3637717.22</v>
      </c>
      <c r="AC14" s="46">
        <f>SUMIFS('07导出'!$G$2:$G$1860,'07导出'!$A$2:$A$1860,A14,'07导出'!$D$2:$D$1860,"21011")</f>
        <v>4118927.44</v>
      </c>
      <c r="AD14" s="46">
        <f>SUMIFS('07导出'!$H$2:$H$1860,'07导出'!$A$2:$A$1860,A14,'07导出'!$D$2:$D$1860,"21011")</f>
        <v>3637717.22</v>
      </c>
      <c r="AE14" s="46">
        <f>SUMIFS('07导出'!$G$2:$G$1860,'07导出'!$A$2:$A$1860,A14,'07导出'!$C$2:$C$1860,"212")</f>
        <v>0</v>
      </c>
      <c r="AF14" s="46">
        <f>SUMIFS('07导出'!$H$2:$H$1860,'07导出'!$A$2:$A$1860,A14,'07导出'!$C$2:$C$1860,"212")</f>
        <v>0</v>
      </c>
      <c r="AG14" s="46">
        <f>SUMIFS('07导出'!$G$2:$G$1860,'07导出'!$A$2:$A$1860,A14,'07导出'!$D$2:$D$1860,"21203")</f>
        <v>0</v>
      </c>
      <c r="AH14" s="46">
        <f>SUMIFS('07导出'!$H$2:$H$1860,'07导出'!$A$2:$A$1860,A14,'07导出'!$D$2:$D$1860,"21203")</f>
        <v>0</v>
      </c>
      <c r="AI14" s="46">
        <f>SUMIFS('07导出'!$G$2:$G$1860,'07导出'!$A$2:$A$1860,A14,'07导出'!$C$2:$C$1860,"213")</f>
        <v>0</v>
      </c>
      <c r="AJ14" s="46">
        <f>SUMIFS('07导出'!$H$2:$H$1860,'07导出'!$A$2:$A$1860,A14,'07导出'!$C$2:$C$1860,"213")</f>
        <v>0</v>
      </c>
      <c r="AK14" s="46">
        <f>SUMIFS('07导出'!$G$2:$G$1860,'07导出'!$A$2:$A$1860,A14,'07导出'!$D$2:$D$1860,"21305")</f>
        <v>0</v>
      </c>
      <c r="AL14" s="46">
        <f>SUMIFS('07导出'!$H$2:$H$1860,'07导出'!$A$2:$A$1860,A14,'07导出'!$D$2:$D$1860,"21305")</f>
        <v>0</v>
      </c>
      <c r="AM14" s="46">
        <f>SUMIFS('07导出'!$G$2:$G$1860,'07导出'!$A$2:$A$1860,A14,'07导出'!$C$2:$C$1860,"221")</f>
        <v>8436576</v>
      </c>
      <c r="AN14" s="46">
        <f>SUMIFS('07导出'!$H$2:$H$1860,'07导出'!$A$2:$A$1860,A14,'07导出'!$C$2:$C$1860,"221")</f>
        <v>7741067.2799999993</v>
      </c>
      <c r="AO14" s="46">
        <f>SUMIFS('07导出'!$G$2:$G$1860,'07导出'!$A$2:$A$1860,A14,'07导出'!$D$2:$D$1860,"22102")</f>
        <v>8436576</v>
      </c>
      <c r="AP14" s="46">
        <f>SUMIFS('07导出'!$H$2:$H$1860,'07导出'!$A$2:$A$1860,A14,'07导出'!$D$2:$D$1860,"22102")</f>
        <v>7741067.2799999993</v>
      </c>
    </row>
    <row r="15" spans="1:42">
      <c r="A15" s="43">
        <v>255017</v>
      </c>
      <c r="B15" s="44" t="s">
        <v>14</v>
      </c>
      <c r="C15" s="45">
        <f>SUMIFS('07导出'!$G$2:$G$1860,'07导出'!$A$2:$A$1860,A15,'07导出'!$C$2:$C$1860,"205")</f>
        <v>98005147.920000002</v>
      </c>
      <c r="D15" s="45">
        <f>SUMIFS('07导出'!$H$2:$H$1860,'07导出'!$A$2:$A$1860,A15,'07导出'!$C$2:$C$1860,"205")</f>
        <v>73986251.379999995</v>
      </c>
      <c r="E15" s="46">
        <f>SUMIFS('07导出'!$G$2:$G$1860,'07导出'!$A$2:$A$1860,A15,'07导出'!$D$2:$D$1860,"20502")</f>
        <v>90853211.850000009</v>
      </c>
      <c r="F15" s="46">
        <f>SUMIFS('07导出'!$H$2:$H$1860,'07导出'!$A$2:$A$1860,A15,'07导出'!$D$2:$D$1860,"20502")</f>
        <v>72054681.379999995</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0</v>
      </c>
      <c r="N15" s="46">
        <f>SUMIFS('07导出'!$H$2:$H$1860,'07导出'!$A$2:$A$1860,A15,'07导出'!$D$2:$D$1860,"20508")</f>
        <v>210400</v>
      </c>
      <c r="O15" s="46">
        <f>SUMIFS('07导出'!$G$2:$G$1860,'07导出'!$A$2:$A$1860,A15,'07导出'!$D$2:$D$1860,"20509")</f>
        <v>7151936.0700000003</v>
      </c>
      <c r="P15" s="46">
        <f>SUMIFS('07导出'!$H$2:$H$1860,'07导出'!$A$2:$A$1860,A15,'07导出'!$D$2:$D$1860,"20509")</f>
        <v>1721170</v>
      </c>
      <c r="Q15" s="46">
        <f>SUMIFS('07导出'!$G$2:$G$1860,'07导出'!$A$2:$A$1860,A15,'07导出'!$C$2:$C$1860,"206")</f>
        <v>0</v>
      </c>
      <c r="R15" s="46">
        <f>SUMIFS('07导出'!$H$2:$H$1860,'07导出'!$A$2:$A$1860,A15,'07导出'!$C$2:$C$1860,"206")</f>
        <v>0</v>
      </c>
      <c r="S15" s="46">
        <f>SUMIFS('07导出'!$G$2:$G$1860,'07导出'!$A$2:$A$1860,A15,'07导出'!$D$2:$D$1860,"20607")</f>
        <v>0</v>
      </c>
      <c r="T15" s="46">
        <f>SUMIFS('07导出'!$H$2:$H$1860,'07导出'!$A$2:$A$1860,A15,'07导出'!$D$2:$D$1860,"20607")</f>
        <v>0</v>
      </c>
      <c r="U15" s="46">
        <f>SUMIFS('07导出'!$G$2:$G$1860,'07导出'!$A$2:$A$1860,A15,'07导出'!$C$2:$C$1860,"208")</f>
        <v>19852488.640000001</v>
      </c>
      <c r="V15" s="46">
        <f>SUMIFS('07导出'!$H$2:$H$1860,'07导出'!$A$2:$A$1860,A15,'07导出'!$C$2:$C$1860,"208")</f>
        <v>17633320.779999997</v>
      </c>
      <c r="W15" s="46">
        <f>SUMIFS('07导出'!$G$2:$G$1860,'07导出'!$A$2:$A$1860,A15,'07导出'!$D$2:$D$1860,"20805")</f>
        <v>19852488.640000001</v>
      </c>
      <c r="X15" s="46">
        <f>SUMIFS('07导出'!$H$2:$H$1860,'07导出'!$A$2:$A$1860,A15,'07导出'!$D$2:$D$1860,"20805")</f>
        <v>17633320.779999997</v>
      </c>
      <c r="Y15" s="46">
        <f>SUMIFS('07导出'!$G$2:$G$1860,'07导出'!$A$2:$A$1860,A15,'07导出'!$D$2:$D$1860,"20808")</f>
        <v>0</v>
      </c>
      <c r="Z15" s="46">
        <f>SUMIFS('07导出'!$H$2:$H$1860,'07导出'!$A$2:$A$1860,A15,'07导出'!$D$2:$D$1860,"20808")</f>
        <v>0</v>
      </c>
      <c r="AA15" s="46">
        <f>SUMIFS('07导出'!$G$2:$G$1860,'07导出'!$A$2:$A$1860,A15,'07导出'!$C$2:$C$1860,"210")</f>
        <v>7358140.0599999996</v>
      </c>
      <c r="AB15" s="46">
        <f>SUMIFS('07导出'!$H$2:$H$1860,'07导出'!$A$2:$A$1860,A15,'07导出'!$C$2:$C$1860,"210")</f>
        <v>6547305.9100000001</v>
      </c>
      <c r="AC15" s="46">
        <f>SUMIFS('07导出'!$G$2:$G$1860,'07导出'!$A$2:$A$1860,A15,'07导出'!$D$2:$D$1860,"21011")</f>
        <v>7358140.0599999996</v>
      </c>
      <c r="AD15" s="46">
        <f>SUMIFS('07导出'!$H$2:$H$1860,'07导出'!$A$2:$A$1860,A15,'07导出'!$D$2:$D$1860,"21011")</f>
        <v>6547305.9100000001</v>
      </c>
      <c r="AE15" s="46">
        <f>SUMIFS('07导出'!$G$2:$G$1860,'07导出'!$A$2:$A$1860,A15,'07导出'!$C$2:$C$1860,"212")</f>
        <v>0</v>
      </c>
      <c r="AF15" s="46">
        <f>SUMIFS('07导出'!$H$2:$H$1860,'07导出'!$A$2:$A$1860,A15,'07导出'!$C$2:$C$1860,"212")</f>
        <v>0</v>
      </c>
      <c r="AG15" s="46">
        <f>SUMIFS('07导出'!$G$2:$G$1860,'07导出'!$A$2:$A$1860,A15,'07导出'!$D$2:$D$1860,"21203")</f>
        <v>0</v>
      </c>
      <c r="AH15" s="46">
        <f>SUMIFS('07导出'!$H$2:$H$1860,'07导出'!$A$2:$A$1860,A15,'07导出'!$D$2:$D$1860,"21203")</f>
        <v>0</v>
      </c>
      <c r="AI15" s="46">
        <f>SUMIFS('07导出'!$G$2:$G$1860,'07导出'!$A$2:$A$1860,A15,'07导出'!$C$2:$C$1860,"213")</f>
        <v>0</v>
      </c>
      <c r="AJ15" s="46">
        <f>SUMIFS('07导出'!$H$2:$H$1860,'07导出'!$A$2:$A$1860,A15,'07导出'!$C$2:$C$1860,"213")</f>
        <v>0</v>
      </c>
      <c r="AK15" s="46">
        <f>SUMIFS('07导出'!$G$2:$G$1860,'07导出'!$A$2:$A$1860,A15,'07导出'!$D$2:$D$1860,"21305")</f>
        <v>0</v>
      </c>
      <c r="AL15" s="46">
        <f>SUMIFS('07导出'!$H$2:$H$1860,'07导出'!$A$2:$A$1860,A15,'07导出'!$D$2:$D$1860,"21305")</f>
        <v>0</v>
      </c>
      <c r="AM15" s="46">
        <f>SUMIFS('07导出'!$G$2:$G$1860,'07导出'!$A$2:$A$1860,A15,'07导出'!$C$2:$C$1860,"221")</f>
        <v>15945915</v>
      </c>
      <c r="AN15" s="46">
        <f>SUMIFS('07导出'!$H$2:$H$1860,'07导出'!$A$2:$A$1860,A15,'07导出'!$C$2:$C$1860,"221")</f>
        <v>14510376.84</v>
      </c>
      <c r="AO15" s="46">
        <f>SUMIFS('07导出'!$G$2:$G$1860,'07导出'!$A$2:$A$1860,A15,'07导出'!$D$2:$D$1860,"22102")</f>
        <v>15945915</v>
      </c>
      <c r="AP15" s="46">
        <f>SUMIFS('07导出'!$H$2:$H$1860,'07导出'!$A$2:$A$1860,A15,'07导出'!$D$2:$D$1860,"22102")</f>
        <v>14510376.84</v>
      </c>
    </row>
    <row r="16" spans="1:42">
      <c r="A16" s="43">
        <v>255018</v>
      </c>
      <c r="B16" s="44" t="s">
        <v>15</v>
      </c>
      <c r="C16" s="45">
        <f>SUMIFS('07导出'!$G$2:$G$1860,'07导出'!$A$2:$A$1860,A16,'07导出'!$C$2:$C$1860,"205")</f>
        <v>32483512.029999997</v>
      </c>
      <c r="D16" s="45">
        <f>SUMIFS('07导出'!$H$2:$H$1860,'07导出'!$A$2:$A$1860,A16,'07导出'!$C$2:$C$1860,"205")</f>
        <v>26697469.210000001</v>
      </c>
      <c r="E16" s="46">
        <f>SUMIFS('07导出'!$G$2:$G$1860,'07导出'!$A$2:$A$1860,A16,'07导出'!$D$2:$D$1860,"20502")</f>
        <v>31037921.789999999</v>
      </c>
      <c r="F16" s="46">
        <f>SUMIFS('07导出'!$H$2:$H$1860,'07导出'!$A$2:$A$1860,A16,'07导出'!$D$2:$D$1860,"20502")</f>
        <v>25164969.210000001</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5550</v>
      </c>
      <c r="N16" s="46">
        <f>SUMIFS('07导出'!$H$2:$H$1860,'07导出'!$A$2:$A$1860,A16,'07导出'!$D$2:$D$1860,"20508")</f>
        <v>80800</v>
      </c>
      <c r="O16" s="46">
        <f>SUMIFS('07导出'!$G$2:$G$1860,'07导出'!$A$2:$A$1860,A16,'07导出'!$D$2:$D$1860,"20509")</f>
        <v>1440040.24</v>
      </c>
      <c r="P16" s="46">
        <f>SUMIFS('07导出'!$H$2:$H$1860,'07导出'!$A$2:$A$1860,A16,'07导出'!$D$2:$D$1860,"20509")</f>
        <v>1451700</v>
      </c>
      <c r="Q16" s="46">
        <f>SUMIFS('07导出'!$G$2:$G$1860,'07导出'!$A$2:$A$1860,A16,'07导出'!$C$2:$C$1860,"206")</f>
        <v>0</v>
      </c>
      <c r="R16" s="46">
        <f>SUMIFS('07导出'!$H$2:$H$1860,'07导出'!$A$2:$A$1860,A16,'07导出'!$C$2:$C$1860,"206")</f>
        <v>0</v>
      </c>
      <c r="S16" s="46">
        <f>SUMIFS('07导出'!$G$2:$G$1860,'07导出'!$A$2:$A$1860,A16,'07导出'!$D$2:$D$1860,"20607")</f>
        <v>0</v>
      </c>
      <c r="T16" s="46">
        <f>SUMIFS('07导出'!$H$2:$H$1860,'07导出'!$A$2:$A$1860,A16,'07导出'!$D$2:$D$1860,"20607")</f>
        <v>0</v>
      </c>
      <c r="U16" s="46">
        <f>SUMIFS('07导出'!$G$2:$G$1860,'07导出'!$A$2:$A$1860,A16,'07导出'!$C$2:$C$1860,"208")</f>
        <v>5685144.6199999992</v>
      </c>
      <c r="V16" s="46">
        <f>SUMIFS('07导出'!$H$2:$H$1860,'07导出'!$A$2:$A$1860,A16,'07导出'!$C$2:$C$1860,"208")</f>
        <v>5579884.0699999994</v>
      </c>
      <c r="W16" s="46">
        <f>SUMIFS('07导出'!$G$2:$G$1860,'07导出'!$A$2:$A$1860,A16,'07导出'!$D$2:$D$1860,"20805")</f>
        <v>5685144.6199999992</v>
      </c>
      <c r="X16" s="46">
        <f>SUMIFS('07导出'!$H$2:$H$1860,'07导出'!$A$2:$A$1860,A16,'07导出'!$D$2:$D$1860,"20805")</f>
        <v>5579884.0699999994</v>
      </c>
      <c r="Y16" s="46">
        <f>SUMIFS('07导出'!$G$2:$G$1860,'07导出'!$A$2:$A$1860,A16,'07导出'!$D$2:$D$1860,"20808")</f>
        <v>0</v>
      </c>
      <c r="Z16" s="46">
        <f>SUMIFS('07导出'!$H$2:$H$1860,'07导出'!$A$2:$A$1860,A16,'07导出'!$D$2:$D$1860,"20808")</f>
        <v>0</v>
      </c>
      <c r="AA16" s="46">
        <f>SUMIFS('07导出'!$G$2:$G$1860,'07导出'!$A$2:$A$1860,A16,'07导出'!$C$2:$C$1860,"210")</f>
        <v>2154834.4500000002</v>
      </c>
      <c r="AB16" s="46">
        <f>SUMIFS('07导出'!$H$2:$H$1860,'07导出'!$A$2:$A$1860,A16,'07导出'!$C$2:$C$1860,"210")</f>
        <v>2190812.8199999998</v>
      </c>
      <c r="AC16" s="46">
        <f>SUMIFS('07导出'!$G$2:$G$1860,'07导出'!$A$2:$A$1860,A16,'07导出'!$D$2:$D$1860,"21011")</f>
        <v>2154834.4500000002</v>
      </c>
      <c r="AD16" s="46">
        <f>SUMIFS('07导出'!$H$2:$H$1860,'07导出'!$A$2:$A$1860,A16,'07导出'!$D$2:$D$1860,"21011")</f>
        <v>2190812.8199999998</v>
      </c>
      <c r="AE16" s="46">
        <f>SUMIFS('07导出'!$G$2:$G$1860,'07导出'!$A$2:$A$1860,A16,'07导出'!$C$2:$C$1860,"212")</f>
        <v>0</v>
      </c>
      <c r="AF16" s="46">
        <f>SUMIFS('07导出'!$H$2:$H$1860,'07导出'!$A$2:$A$1860,A16,'07导出'!$C$2:$C$1860,"212")</f>
        <v>0</v>
      </c>
      <c r="AG16" s="46">
        <f>SUMIFS('07导出'!$G$2:$G$1860,'07导出'!$A$2:$A$1860,A16,'07导出'!$D$2:$D$1860,"21203")</f>
        <v>0</v>
      </c>
      <c r="AH16" s="46">
        <f>SUMIFS('07导出'!$H$2:$H$1860,'07导出'!$A$2:$A$1860,A16,'07导出'!$D$2:$D$1860,"21203")</f>
        <v>0</v>
      </c>
      <c r="AI16" s="46">
        <f>SUMIFS('07导出'!$G$2:$G$1860,'07导出'!$A$2:$A$1860,A16,'07导出'!$C$2:$C$1860,"213")</f>
        <v>0</v>
      </c>
      <c r="AJ16" s="46">
        <f>SUMIFS('07导出'!$H$2:$H$1860,'07导出'!$A$2:$A$1860,A16,'07导出'!$C$2:$C$1860,"213")</f>
        <v>0</v>
      </c>
      <c r="AK16" s="46">
        <f>SUMIFS('07导出'!$G$2:$G$1860,'07导出'!$A$2:$A$1860,A16,'07导出'!$D$2:$D$1860,"21305")</f>
        <v>0</v>
      </c>
      <c r="AL16" s="46">
        <f>SUMIFS('07导出'!$H$2:$H$1860,'07导出'!$A$2:$A$1860,A16,'07导出'!$D$2:$D$1860,"21305")</f>
        <v>0</v>
      </c>
      <c r="AM16" s="46">
        <f>SUMIFS('07导出'!$G$2:$G$1860,'07导出'!$A$2:$A$1860,A16,'07导出'!$C$2:$C$1860,"221")</f>
        <v>5838911</v>
      </c>
      <c r="AN16" s="46">
        <f>SUMIFS('07导出'!$H$2:$H$1860,'07导出'!$A$2:$A$1860,A16,'07导出'!$C$2:$C$1860,"221")</f>
        <v>5419583.8300000001</v>
      </c>
      <c r="AO16" s="46">
        <f>SUMIFS('07导出'!$G$2:$G$1860,'07导出'!$A$2:$A$1860,A16,'07导出'!$D$2:$D$1860,"22102")</f>
        <v>5838911</v>
      </c>
      <c r="AP16" s="46">
        <f>SUMIFS('07导出'!$H$2:$H$1860,'07导出'!$A$2:$A$1860,A16,'07导出'!$D$2:$D$1860,"22102")</f>
        <v>5419583.8300000001</v>
      </c>
    </row>
    <row r="17" spans="1:42">
      <c r="A17" s="43">
        <v>255019</v>
      </c>
      <c r="B17" s="44" t="s">
        <v>16</v>
      </c>
      <c r="C17" s="45">
        <f>SUMIFS('07导出'!$G$2:$G$1860,'07导出'!$A$2:$A$1860,A17,'07导出'!$C$2:$C$1860,"205")</f>
        <v>43586660.350000001</v>
      </c>
      <c r="D17" s="45">
        <f>SUMIFS('07导出'!$H$2:$H$1860,'07导出'!$A$2:$A$1860,A17,'07导出'!$C$2:$C$1860,"205")</f>
        <v>28928901.699999999</v>
      </c>
      <c r="E17" s="46">
        <f>SUMIFS('07导出'!$G$2:$G$1860,'07导出'!$A$2:$A$1860,A17,'07导出'!$D$2:$D$1860,"20502")</f>
        <v>43425460.350000001</v>
      </c>
      <c r="F17" s="46">
        <f>SUMIFS('07导出'!$H$2:$H$1860,'07导出'!$A$2:$A$1860,A17,'07导出'!$D$2:$D$1860,"20502")</f>
        <v>28718501.699999999</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49200</v>
      </c>
      <c r="N17" s="46">
        <f>SUMIFS('07导出'!$H$2:$H$1860,'07导出'!$A$2:$A$1860,A17,'07导出'!$D$2:$D$1860,"20508")</f>
        <v>98400</v>
      </c>
      <c r="O17" s="46">
        <f>SUMIFS('07导出'!$G$2:$G$1860,'07导出'!$A$2:$A$1860,A17,'07导出'!$D$2:$D$1860,"20509")</f>
        <v>112000</v>
      </c>
      <c r="P17" s="46">
        <f>SUMIFS('07导出'!$H$2:$H$1860,'07导出'!$A$2:$A$1860,A17,'07导出'!$D$2:$D$1860,"20509")</f>
        <v>112000</v>
      </c>
      <c r="Q17" s="46">
        <f>SUMIFS('07导出'!$G$2:$G$1860,'07导出'!$A$2:$A$1860,A17,'07导出'!$C$2:$C$1860,"206")</f>
        <v>0</v>
      </c>
      <c r="R17" s="46">
        <f>SUMIFS('07导出'!$H$2:$H$1860,'07导出'!$A$2:$A$1860,A17,'07导出'!$C$2:$C$1860,"206")</f>
        <v>0</v>
      </c>
      <c r="S17" s="46">
        <f>SUMIFS('07导出'!$G$2:$G$1860,'07导出'!$A$2:$A$1860,A17,'07导出'!$D$2:$D$1860,"20607")</f>
        <v>0</v>
      </c>
      <c r="T17" s="46">
        <f>SUMIFS('07导出'!$H$2:$H$1860,'07导出'!$A$2:$A$1860,A17,'07导出'!$D$2:$D$1860,"20607")</f>
        <v>0</v>
      </c>
      <c r="U17" s="46">
        <f>SUMIFS('07导出'!$G$2:$G$1860,'07导出'!$A$2:$A$1860,A17,'07导出'!$C$2:$C$1860,"208")</f>
        <v>7226342.2699999996</v>
      </c>
      <c r="V17" s="46">
        <f>SUMIFS('07导出'!$H$2:$H$1860,'07导出'!$A$2:$A$1860,A17,'07导出'!$C$2:$C$1860,"208")</f>
        <v>5797738.8000000007</v>
      </c>
      <c r="W17" s="46">
        <f>SUMIFS('07导出'!$G$2:$G$1860,'07导出'!$A$2:$A$1860,A17,'07导出'!$D$2:$D$1860,"20805")</f>
        <v>7226342.2699999996</v>
      </c>
      <c r="X17" s="46">
        <f>SUMIFS('07导出'!$H$2:$H$1860,'07导出'!$A$2:$A$1860,A17,'07导出'!$D$2:$D$1860,"20805")</f>
        <v>5797738.8000000007</v>
      </c>
      <c r="Y17" s="46">
        <f>SUMIFS('07导出'!$G$2:$G$1860,'07导出'!$A$2:$A$1860,A17,'07导出'!$D$2:$D$1860,"20808")</f>
        <v>0</v>
      </c>
      <c r="Z17" s="46">
        <f>SUMIFS('07导出'!$H$2:$H$1860,'07导出'!$A$2:$A$1860,A17,'07导出'!$D$2:$D$1860,"20808")</f>
        <v>0</v>
      </c>
      <c r="AA17" s="46">
        <f>SUMIFS('07导出'!$G$2:$G$1860,'07导出'!$A$2:$A$1860,A17,'07导出'!$C$2:$C$1860,"210")</f>
        <v>2637588</v>
      </c>
      <c r="AB17" s="46">
        <f>SUMIFS('07导出'!$H$2:$H$1860,'07导出'!$A$2:$A$1860,A17,'07导出'!$C$2:$C$1860,"210")</f>
        <v>2290830.1</v>
      </c>
      <c r="AC17" s="46">
        <f>SUMIFS('07导出'!$G$2:$G$1860,'07导出'!$A$2:$A$1860,A17,'07导出'!$D$2:$D$1860,"21011")</f>
        <v>2637588</v>
      </c>
      <c r="AD17" s="46">
        <f>SUMIFS('07导出'!$H$2:$H$1860,'07导出'!$A$2:$A$1860,A17,'07导出'!$D$2:$D$1860,"21011")</f>
        <v>2290830.1</v>
      </c>
      <c r="AE17" s="46">
        <f>SUMIFS('07导出'!$G$2:$G$1860,'07导出'!$A$2:$A$1860,A17,'07导出'!$C$2:$C$1860,"212")</f>
        <v>0</v>
      </c>
      <c r="AF17" s="46">
        <f>SUMIFS('07导出'!$H$2:$H$1860,'07导出'!$A$2:$A$1860,A17,'07导出'!$C$2:$C$1860,"212")</f>
        <v>0</v>
      </c>
      <c r="AG17" s="46">
        <f>SUMIFS('07导出'!$G$2:$G$1860,'07导出'!$A$2:$A$1860,A17,'07导出'!$D$2:$D$1860,"21203")</f>
        <v>0</v>
      </c>
      <c r="AH17" s="46">
        <f>SUMIFS('07导出'!$H$2:$H$1860,'07导出'!$A$2:$A$1860,A17,'07导出'!$D$2:$D$1860,"21203")</f>
        <v>0</v>
      </c>
      <c r="AI17" s="46">
        <f>SUMIFS('07导出'!$G$2:$G$1860,'07导出'!$A$2:$A$1860,A17,'07导出'!$C$2:$C$1860,"213")</f>
        <v>0</v>
      </c>
      <c r="AJ17" s="46">
        <f>SUMIFS('07导出'!$H$2:$H$1860,'07导出'!$A$2:$A$1860,A17,'07导出'!$C$2:$C$1860,"213")</f>
        <v>0</v>
      </c>
      <c r="AK17" s="46">
        <f>SUMIFS('07导出'!$G$2:$G$1860,'07导出'!$A$2:$A$1860,A17,'07导出'!$D$2:$D$1860,"21305")</f>
        <v>0</v>
      </c>
      <c r="AL17" s="46">
        <f>SUMIFS('07导出'!$H$2:$H$1860,'07导出'!$A$2:$A$1860,A17,'07导出'!$D$2:$D$1860,"21305")</f>
        <v>0</v>
      </c>
      <c r="AM17" s="46">
        <f>SUMIFS('07导出'!$G$2:$G$1860,'07导出'!$A$2:$A$1860,A17,'07导出'!$C$2:$C$1860,"221")</f>
        <v>7219111</v>
      </c>
      <c r="AN17" s="46">
        <f>SUMIFS('07导出'!$H$2:$H$1860,'07导出'!$A$2:$A$1860,A17,'07导出'!$C$2:$C$1860,"221")</f>
        <v>6035564.4000000004</v>
      </c>
      <c r="AO17" s="46">
        <f>SUMIFS('07导出'!$G$2:$G$1860,'07导出'!$A$2:$A$1860,A17,'07导出'!$D$2:$D$1860,"22102")</f>
        <v>7219111</v>
      </c>
      <c r="AP17" s="46">
        <f>SUMIFS('07导出'!$H$2:$H$1860,'07导出'!$A$2:$A$1860,A17,'07导出'!$D$2:$D$1860,"22102")</f>
        <v>6035564.4000000004</v>
      </c>
    </row>
    <row r="18" spans="1:42">
      <c r="A18" s="43">
        <v>255020</v>
      </c>
      <c r="B18" s="44" t="s">
        <v>17</v>
      </c>
      <c r="C18" s="45">
        <f>SUMIFS('07导出'!$G$2:$G$1860,'07导出'!$A$2:$A$1860,A18,'07导出'!$C$2:$C$1860,"205")</f>
        <v>45789413.460000001</v>
      </c>
      <c r="D18" s="45">
        <f>SUMIFS('07导出'!$H$2:$H$1860,'07导出'!$A$2:$A$1860,A18,'07导出'!$C$2:$C$1860,"205")</f>
        <v>35576237.060000002</v>
      </c>
      <c r="E18" s="46">
        <f>SUMIFS('07导出'!$G$2:$G$1860,'07导出'!$A$2:$A$1860,A18,'07导出'!$D$2:$D$1860,"20502")</f>
        <v>43904311.280000001</v>
      </c>
      <c r="F18" s="46">
        <f>SUMIFS('07导出'!$H$2:$H$1860,'07导出'!$A$2:$A$1860,A18,'07导出'!$D$2:$D$1860,"20502")</f>
        <v>32736677.059999999</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51200</v>
      </c>
      <c r="N18" s="46">
        <f>SUMIFS('07导出'!$H$2:$H$1860,'07导出'!$A$2:$A$1860,A18,'07导出'!$D$2:$D$1860,"20508")</f>
        <v>102400</v>
      </c>
      <c r="O18" s="46">
        <f>SUMIFS('07导出'!$G$2:$G$1860,'07导出'!$A$2:$A$1860,A18,'07导出'!$D$2:$D$1860,"20509")</f>
        <v>1833902.1800000002</v>
      </c>
      <c r="P18" s="46">
        <f>SUMIFS('07导出'!$H$2:$H$1860,'07导出'!$A$2:$A$1860,A18,'07导出'!$D$2:$D$1860,"20509")</f>
        <v>2737160</v>
      </c>
      <c r="Q18" s="46">
        <f>SUMIFS('07导出'!$G$2:$G$1860,'07导出'!$A$2:$A$1860,A18,'07导出'!$C$2:$C$1860,"206")</f>
        <v>0</v>
      </c>
      <c r="R18" s="46">
        <f>SUMIFS('07导出'!$H$2:$H$1860,'07导出'!$A$2:$A$1860,A18,'07导出'!$C$2:$C$1860,"206")</f>
        <v>0</v>
      </c>
      <c r="S18" s="46">
        <f>SUMIFS('07导出'!$G$2:$G$1860,'07导出'!$A$2:$A$1860,A18,'07导出'!$D$2:$D$1860,"20607")</f>
        <v>0</v>
      </c>
      <c r="T18" s="46">
        <f>SUMIFS('07导出'!$H$2:$H$1860,'07导出'!$A$2:$A$1860,A18,'07导出'!$D$2:$D$1860,"20607")</f>
        <v>0</v>
      </c>
      <c r="U18" s="46">
        <f>SUMIFS('07导出'!$G$2:$G$1860,'07导出'!$A$2:$A$1860,A18,'07导出'!$C$2:$C$1860,"208")</f>
        <v>6987323.1000000006</v>
      </c>
      <c r="V18" s="46">
        <f>SUMIFS('07导出'!$H$2:$H$1860,'07导出'!$A$2:$A$1860,A18,'07导出'!$C$2:$C$1860,"208")</f>
        <v>6759114.8500000006</v>
      </c>
      <c r="W18" s="46">
        <f>SUMIFS('07导出'!$G$2:$G$1860,'07导出'!$A$2:$A$1860,A18,'07导出'!$D$2:$D$1860,"20805")</f>
        <v>6987323.1000000006</v>
      </c>
      <c r="X18" s="46">
        <f>SUMIFS('07导出'!$H$2:$H$1860,'07导出'!$A$2:$A$1860,A18,'07导出'!$D$2:$D$1860,"20805")</f>
        <v>6759114.8500000006</v>
      </c>
      <c r="Y18" s="46">
        <f>SUMIFS('07导出'!$G$2:$G$1860,'07导出'!$A$2:$A$1860,A18,'07导出'!$D$2:$D$1860,"20808")</f>
        <v>0</v>
      </c>
      <c r="Z18" s="46">
        <f>SUMIFS('07导出'!$H$2:$H$1860,'07导出'!$A$2:$A$1860,A18,'07导出'!$D$2:$D$1860,"20808")</f>
        <v>0</v>
      </c>
      <c r="AA18" s="46">
        <f>SUMIFS('07导出'!$G$2:$G$1860,'07导出'!$A$2:$A$1860,A18,'07导出'!$C$2:$C$1860,"210")</f>
        <v>3230279.74</v>
      </c>
      <c r="AB18" s="46">
        <f>SUMIFS('07导出'!$H$2:$H$1860,'07导出'!$A$2:$A$1860,A18,'07导出'!$C$2:$C$1860,"210")</f>
        <v>2875891.36</v>
      </c>
      <c r="AC18" s="46">
        <f>SUMIFS('07导出'!$G$2:$G$1860,'07导出'!$A$2:$A$1860,A18,'07导出'!$D$2:$D$1860,"21011")</f>
        <v>3230279.74</v>
      </c>
      <c r="AD18" s="46">
        <f>SUMIFS('07导出'!$H$2:$H$1860,'07导出'!$A$2:$A$1860,A18,'07导出'!$D$2:$D$1860,"21011")</f>
        <v>2875891.36</v>
      </c>
      <c r="AE18" s="46">
        <f>SUMIFS('07导出'!$G$2:$G$1860,'07导出'!$A$2:$A$1860,A18,'07导出'!$C$2:$C$1860,"212")</f>
        <v>0</v>
      </c>
      <c r="AF18" s="46">
        <f>SUMIFS('07导出'!$H$2:$H$1860,'07导出'!$A$2:$A$1860,A18,'07导出'!$C$2:$C$1860,"212")</f>
        <v>0</v>
      </c>
      <c r="AG18" s="46">
        <f>SUMIFS('07导出'!$G$2:$G$1860,'07导出'!$A$2:$A$1860,A18,'07导出'!$D$2:$D$1860,"21203")</f>
        <v>0</v>
      </c>
      <c r="AH18" s="46">
        <f>SUMIFS('07导出'!$H$2:$H$1860,'07导出'!$A$2:$A$1860,A18,'07导出'!$D$2:$D$1860,"21203")</f>
        <v>0</v>
      </c>
      <c r="AI18" s="46">
        <f>SUMIFS('07导出'!$G$2:$G$1860,'07导出'!$A$2:$A$1860,A18,'07导出'!$C$2:$C$1860,"213")</f>
        <v>0</v>
      </c>
      <c r="AJ18" s="46">
        <f>SUMIFS('07导出'!$H$2:$H$1860,'07导出'!$A$2:$A$1860,A18,'07导出'!$C$2:$C$1860,"213")</f>
        <v>0</v>
      </c>
      <c r="AK18" s="46">
        <f>SUMIFS('07导出'!$G$2:$G$1860,'07导出'!$A$2:$A$1860,A18,'07导出'!$D$2:$D$1860,"21305")</f>
        <v>0</v>
      </c>
      <c r="AL18" s="46">
        <f>SUMIFS('07导出'!$H$2:$H$1860,'07导出'!$A$2:$A$1860,A18,'07导出'!$D$2:$D$1860,"21305")</f>
        <v>0</v>
      </c>
      <c r="AM18" s="46">
        <f>SUMIFS('07导出'!$G$2:$G$1860,'07导出'!$A$2:$A$1860,A18,'07导出'!$C$2:$C$1860,"221")</f>
        <v>7494731</v>
      </c>
      <c r="AN18" s="46">
        <f>SUMIFS('07导出'!$H$2:$H$1860,'07导出'!$A$2:$A$1860,A18,'07导出'!$C$2:$C$1860,"221")</f>
        <v>7070894.1699999999</v>
      </c>
      <c r="AO18" s="46">
        <f>SUMIFS('07导出'!$G$2:$G$1860,'07导出'!$A$2:$A$1860,A18,'07导出'!$D$2:$D$1860,"22102")</f>
        <v>7494731</v>
      </c>
      <c r="AP18" s="46">
        <f>SUMIFS('07导出'!$H$2:$H$1860,'07导出'!$A$2:$A$1860,A18,'07导出'!$D$2:$D$1860,"22102")</f>
        <v>7070894.1699999999</v>
      </c>
    </row>
    <row r="19" spans="1:42">
      <c r="A19" s="43">
        <v>255021</v>
      </c>
      <c r="B19" s="44" t="s">
        <v>18</v>
      </c>
      <c r="C19" s="45">
        <f>SUMIFS('07导出'!$G$2:$G$1860,'07导出'!$A$2:$A$1860,A19,'07导出'!$C$2:$C$1860,"205")</f>
        <v>48292199.310000002</v>
      </c>
      <c r="D19" s="45">
        <f>SUMIFS('07导出'!$H$2:$H$1860,'07导出'!$A$2:$A$1860,A19,'07导出'!$C$2:$C$1860,"205")</f>
        <v>40974346.890000001</v>
      </c>
      <c r="E19" s="46">
        <f>SUMIFS('07导出'!$G$2:$G$1860,'07导出'!$A$2:$A$1860,A19,'07导出'!$D$2:$D$1860,"20502")</f>
        <v>46317207.310000002</v>
      </c>
      <c r="F19" s="46">
        <f>SUMIFS('07导出'!$H$2:$H$1860,'07导出'!$A$2:$A$1860,A19,'07导出'!$D$2:$D$1860,"20502")</f>
        <v>38906044.890000001</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33200</v>
      </c>
      <c r="N19" s="46">
        <f>SUMIFS('07导出'!$H$2:$H$1860,'07导出'!$A$2:$A$1860,A19,'07导出'!$D$2:$D$1860,"20508")</f>
        <v>126400</v>
      </c>
      <c r="O19" s="46">
        <f>SUMIFS('07导出'!$G$2:$G$1860,'07导出'!$A$2:$A$1860,A19,'07导出'!$D$2:$D$1860,"20509")</f>
        <v>1941792</v>
      </c>
      <c r="P19" s="46">
        <f>SUMIFS('07导出'!$H$2:$H$1860,'07导出'!$A$2:$A$1860,A19,'07导出'!$D$2:$D$1860,"20509")</f>
        <v>1941902</v>
      </c>
      <c r="Q19" s="46">
        <f>SUMIFS('07导出'!$G$2:$G$1860,'07导出'!$A$2:$A$1860,A19,'07导出'!$C$2:$C$1860,"206")</f>
        <v>0</v>
      </c>
      <c r="R19" s="46">
        <f>SUMIFS('07导出'!$H$2:$H$1860,'07导出'!$A$2:$A$1860,A19,'07导出'!$C$2:$C$1860,"206")</f>
        <v>0</v>
      </c>
      <c r="S19" s="46">
        <f>SUMIFS('07导出'!$G$2:$G$1860,'07导出'!$A$2:$A$1860,A19,'07导出'!$D$2:$D$1860,"20607")</f>
        <v>0</v>
      </c>
      <c r="T19" s="46">
        <f>SUMIFS('07导出'!$H$2:$H$1860,'07导出'!$A$2:$A$1860,A19,'07导出'!$D$2:$D$1860,"20607")</f>
        <v>0</v>
      </c>
      <c r="U19" s="46">
        <f>SUMIFS('07导出'!$G$2:$G$1860,'07导出'!$A$2:$A$1860,A19,'07导出'!$C$2:$C$1860,"208")</f>
        <v>11760406.899999999</v>
      </c>
      <c r="V19" s="46">
        <f>SUMIFS('07导出'!$H$2:$H$1860,'07导出'!$A$2:$A$1860,A19,'07导出'!$C$2:$C$1860,"208")</f>
        <v>11425315.4</v>
      </c>
      <c r="W19" s="46">
        <f>SUMIFS('07导出'!$G$2:$G$1860,'07导出'!$A$2:$A$1860,A19,'07导出'!$D$2:$D$1860,"20805")</f>
        <v>11760406.899999999</v>
      </c>
      <c r="X19" s="46">
        <f>SUMIFS('07导出'!$H$2:$H$1860,'07导出'!$A$2:$A$1860,A19,'07导出'!$D$2:$D$1860,"20805")</f>
        <v>11425315.4</v>
      </c>
      <c r="Y19" s="46">
        <f>SUMIFS('07导出'!$G$2:$G$1860,'07导出'!$A$2:$A$1860,A19,'07导出'!$D$2:$D$1860,"20808")</f>
        <v>0</v>
      </c>
      <c r="Z19" s="46">
        <f>SUMIFS('07导出'!$H$2:$H$1860,'07导出'!$A$2:$A$1860,A19,'07导出'!$D$2:$D$1860,"20808")</f>
        <v>0</v>
      </c>
      <c r="AA19" s="46">
        <f>SUMIFS('07导出'!$G$2:$G$1860,'07导出'!$A$2:$A$1860,A19,'07导出'!$C$2:$C$1860,"210")</f>
        <v>3838890.68</v>
      </c>
      <c r="AB19" s="46">
        <f>SUMIFS('07导出'!$H$2:$H$1860,'07导出'!$A$2:$A$1860,A19,'07导出'!$C$2:$C$1860,"210")</f>
        <v>3723575.5</v>
      </c>
      <c r="AC19" s="46">
        <f>SUMIFS('07导出'!$G$2:$G$1860,'07导出'!$A$2:$A$1860,A19,'07导出'!$D$2:$D$1860,"21011")</f>
        <v>3838890.68</v>
      </c>
      <c r="AD19" s="46">
        <f>SUMIFS('07导出'!$H$2:$H$1860,'07导出'!$A$2:$A$1860,A19,'07导出'!$D$2:$D$1860,"21011")</f>
        <v>3723575.5</v>
      </c>
      <c r="AE19" s="46">
        <f>SUMIFS('07导出'!$G$2:$G$1860,'07导出'!$A$2:$A$1860,A19,'07导出'!$C$2:$C$1860,"212")</f>
        <v>0</v>
      </c>
      <c r="AF19" s="46">
        <f>SUMIFS('07导出'!$H$2:$H$1860,'07导出'!$A$2:$A$1860,A19,'07导出'!$C$2:$C$1860,"212")</f>
        <v>0</v>
      </c>
      <c r="AG19" s="46">
        <f>SUMIFS('07导出'!$G$2:$G$1860,'07导出'!$A$2:$A$1860,A19,'07导出'!$D$2:$D$1860,"21203")</f>
        <v>0</v>
      </c>
      <c r="AH19" s="46">
        <f>SUMIFS('07导出'!$H$2:$H$1860,'07导出'!$A$2:$A$1860,A19,'07导出'!$D$2:$D$1860,"21203")</f>
        <v>0</v>
      </c>
      <c r="AI19" s="46">
        <f>SUMIFS('07导出'!$G$2:$G$1860,'07导出'!$A$2:$A$1860,A19,'07导出'!$C$2:$C$1860,"213")</f>
        <v>0</v>
      </c>
      <c r="AJ19" s="46">
        <f>SUMIFS('07导出'!$H$2:$H$1860,'07导出'!$A$2:$A$1860,A19,'07导出'!$C$2:$C$1860,"213")</f>
        <v>0</v>
      </c>
      <c r="AK19" s="46">
        <f>SUMIFS('07导出'!$G$2:$G$1860,'07导出'!$A$2:$A$1860,A19,'07导出'!$D$2:$D$1860,"21305")</f>
        <v>0</v>
      </c>
      <c r="AL19" s="46">
        <f>SUMIFS('07导出'!$H$2:$H$1860,'07导出'!$A$2:$A$1860,A19,'07导出'!$D$2:$D$1860,"21305")</f>
        <v>0</v>
      </c>
      <c r="AM19" s="46">
        <f>SUMIFS('07导出'!$G$2:$G$1860,'07导出'!$A$2:$A$1860,A19,'07导出'!$C$2:$C$1860,"221")</f>
        <v>9117420</v>
      </c>
      <c r="AN19" s="46">
        <f>SUMIFS('07导出'!$H$2:$H$1860,'07导出'!$A$2:$A$1860,A19,'07导出'!$C$2:$C$1860,"221")</f>
        <v>8819694</v>
      </c>
      <c r="AO19" s="46">
        <f>SUMIFS('07导出'!$G$2:$G$1860,'07导出'!$A$2:$A$1860,A19,'07导出'!$D$2:$D$1860,"22102")</f>
        <v>9117420</v>
      </c>
      <c r="AP19" s="46">
        <f>SUMIFS('07导出'!$H$2:$H$1860,'07导出'!$A$2:$A$1860,A19,'07导出'!$D$2:$D$1860,"22102")</f>
        <v>8819694</v>
      </c>
    </row>
    <row r="20" spans="1:42">
      <c r="A20" s="43">
        <v>255022</v>
      </c>
      <c r="B20" s="44" t="s">
        <v>348</v>
      </c>
      <c r="C20" s="45">
        <f>SUMIFS('07导出'!$G$2:$G$1860,'07导出'!$A$2:$A$1860,A20,'07导出'!$C$2:$C$1860,"205")</f>
        <v>28342131.789999999</v>
      </c>
      <c r="D20" s="45">
        <f>SUMIFS('07导出'!$H$2:$H$1860,'07导出'!$A$2:$A$1860,A20,'07导出'!$C$2:$C$1860,"205")</f>
        <v>24230585.510000002</v>
      </c>
      <c r="E20" s="46">
        <f>SUMIFS('07导出'!$G$2:$G$1860,'07导出'!$A$2:$A$1860,A20,'07导出'!$D$2:$D$1860,"20502")</f>
        <v>26919913.300000001</v>
      </c>
      <c r="F20" s="46">
        <f>SUMIFS('07导出'!$H$2:$H$1860,'07导出'!$A$2:$A$1860,A20,'07导出'!$D$2:$D$1860,"20502")</f>
        <v>22755825.510000002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36800</v>
      </c>
      <c r="N20" s="46">
        <f>SUMIFS('07导出'!$H$2:$H$1860,'07导出'!$A$2:$A$1860,A20,'07导出'!$D$2:$D$1860,"20508")</f>
        <v>73600</v>
      </c>
      <c r="O20" s="46">
        <f>SUMIFS('07导出'!$G$2:$G$1860,'07导出'!$A$2:$A$1860,A20,'07导出'!$D$2:$D$1860,"20509")</f>
        <v>1385418.49</v>
      </c>
      <c r="P20" s="46">
        <f>SUMIFS('07导出'!$H$2:$H$1860,'07导出'!$A$2:$A$1860,A20,'07导出'!$D$2:$D$1860,"20509")</f>
        <v>1401160</v>
      </c>
      <c r="Q20" s="46">
        <f>SUMIFS('07导出'!$G$2:$G$1860,'07导出'!$A$2:$A$1860,A20,'07导出'!$C$2:$C$1860,"206")</f>
        <v>0</v>
      </c>
      <c r="R20" s="46">
        <f>SUMIFS('07导出'!$H$2:$H$1860,'07导出'!$A$2:$A$1860,A20,'07导出'!$C$2:$C$1860,"206")</f>
        <v>0</v>
      </c>
      <c r="S20" s="46">
        <f>SUMIFS('07导出'!$G$2:$G$1860,'07导出'!$A$2:$A$1860,A20,'07导出'!$D$2:$D$1860,"20607")</f>
        <v>0</v>
      </c>
      <c r="T20" s="46">
        <f>SUMIFS('07导出'!$H$2:$H$1860,'07导出'!$A$2:$A$1860,A20,'07导出'!$D$2:$D$1860,"20607")</f>
        <v>0</v>
      </c>
      <c r="U20" s="46">
        <f>SUMIFS('07导出'!$G$2:$G$1860,'07导出'!$A$2:$A$1860,A20,'07导出'!$C$2:$C$1860,"208")</f>
        <v>5647782.1199999992</v>
      </c>
      <c r="V20" s="46">
        <f>SUMIFS('07导出'!$H$2:$H$1860,'07导出'!$A$2:$A$1860,A20,'07导出'!$C$2:$C$1860,"208")</f>
        <v>5218072.1899999995</v>
      </c>
      <c r="W20" s="46">
        <f>SUMIFS('07导出'!$G$2:$G$1860,'07导出'!$A$2:$A$1860,A20,'07导出'!$D$2:$D$1860,"20805")</f>
        <v>5647782.1199999992</v>
      </c>
      <c r="X20" s="46">
        <f>SUMIFS('07导出'!$H$2:$H$1860,'07导出'!$A$2:$A$1860,A20,'07导出'!$D$2:$D$1860,"20805")</f>
        <v>5218072.1899999995</v>
      </c>
      <c r="Y20" s="46">
        <f>SUMIFS('07导出'!$G$2:$G$1860,'07导出'!$A$2:$A$1860,A20,'07导出'!$D$2:$D$1860,"20808")</f>
        <v>0</v>
      </c>
      <c r="Z20" s="46">
        <f>SUMIFS('07导出'!$H$2:$H$1860,'07导出'!$A$2:$A$1860,A20,'07导出'!$D$2:$D$1860,"20808")</f>
        <v>0</v>
      </c>
      <c r="AA20" s="46">
        <f>SUMIFS('07导出'!$G$2:$G$1860,'07导出'!$A$2:$A$1860,A20,'07导出'!$C$2:$C$1860,"210")</f>
        <v>2312507.06</v>
      </c>
      <c r="AB20" s="46">
        <f>SUMIFS('07导出'!$H$2:$H$1860,'07导出'!$A$2:$A$1860,A20,'07导出'!$C$2:$C$1860,"210")</f>
        <v>2064949.48</v>
      </c>
      <c r="AC20" s="46">
        <f>SUMIFS('07导出'!$G$2:$G$1860,'07导出'!$A$2:$A$1860,A20,'07导出'!$D$2:$D$1860,"21011")</f>
        <v>2312507.06</v>
      </c>
      <c r="AD20" s="46">
        <f>SUMIFS('07导出'!$H$2:$H$1860,'07导出'!$A$2:$A$1860,A20,'07导出'!$D$2:$D$1860,"21011")</f>
        <v>2064949.48</v>
      </c>
      <c r="AE20" s="46">
        <f>SUMIFS('07导出'!$G$2:$G$1860,'07导出'!$A$2:$A$1860,A20,'07导出'!$C$2:$C$1860,"212")</f>
        <v>0</v>
      </c>
      <c r="AF20" s="46">
        <f>SUMIFS('07导出'!$H$2:$H$1860,'07导出'!$A$2:$A$1860,A20,'07导出'!$C$2:$C$1860,"212")</f>
        <v>0</v>
      </c>
      <c r="AG20" s="46">
        <f>SUMIFS('07导出'!$G$2:$G$1860,'07导出'!$A$2:$A$1860,A20,'07导出'!$D$2:$D$1860,"21203")</f>
        <v>0</v>
      </c>
      <c r="AH20" s="46">
        <f>SUMIFS('07导出'!$H$2:$H$1860,'07导出'!$A$2:$A$1860,A20,'07导出'!$D$2:$D$1860,"21203")</f>
        <v>0</v>
      </c>
      <c r="AI20" s="46">
        <f>SUMIFS('07导出'!$G$2:$G$1860,'07导出'!$A$2:$A$1860,A20,'07导出'!$C$2:$C$1860,"213")</f>
        <v>0</v>
      </c>
      <c r="AJ20" s="46">
        <f>SUMIFS('07导出'!$H$2:$H$1860,'07导出'!$A$2:$A$1860,A20,'07导出'!$C$2:$C$1860,"213")</f>
        <v>0</v>
      </c>
      <c r="AK20" s="46">
        <f>SUMIFS('07导出'!$G$2:$G$1860,'07导出'!$A$2:$A$1860,A20,'07导出'!$D$2:$D$1860,"21305")</f>
        <v>0</v>
      </c>
      <c r="AL20" s="46">
        <f>SUMIFS('07导出'!$H$2:$H$1860,'07导出'!$A$2:$A$1860,A20,'07导出'!$D$2:$D$1860,"21305")</f>
        <v>0</v>
      </c>
      <c r="AM20" s="46">
        <f>SUMIFS('07导出'!$G$2:$G$1860,'07导出'!$A$2:$A$1860,A20,'07导出'!$C$2:$C$1860,"221")</f>
        <v>5136087</v>
      </c>
      <c r="AN20" s="46">
        <f>SUMIFS('07导出'!$H$2:$H$1860,'07导出'!$A$2:$A$1860,A20,'07导出'!$C$2:$C$1860,"221")</f>
        <v>4674803.5199999996</v>
      </c>
      <c r="AO20" s="46">
        <f>SUMIFS('07导出'!$G$2:$G$1860,'07导出'!$A$2:$A$1860,A20,'07导出'!$D$2:$D$1860,"22102")</f>
        <v>5136087</v>
      </c>
      <c r="AP20" s="46">
        <f>SUMIFS('07导出'!$H$2:$H$1860,'07导出'!$A$2:$A$1860,A20,'07导出'!$D$2:$D$1860,"22102")</f>
        <v>4674803.5199999996</v>
      </c>
    </row>
    <row r="21" spans="1:42">
      <c r="A21" s="43">
        <v>255025</v>
      </c>
      <c r="B21" s="44" t="s">
        <v>20</v>
      </c>
      <c r="C21" s="45">
        <f>SUMIFS('07导出'!$G$2:$G$1860,'07导出'!$A$2:$A$1860,A21,'07导出'!$C$2:$C$1860,"205")</f>
        <v>39928058.07</v>
      </c>
      <c r="D21" s="45">
        <f>SUMIFS('07导出'!$H$2:$H$1860,'07导出'!$A$2:$A$1860,A21,'07导出'!$C$2:$C$1860,"205")</f>
        <v>34343081.010000005</v>
      </c>
      <c r="E21" s="46">
        <f>SUMIFS('07导出'!$G$2:$G$1860,'07导出'!$A$2:$A$1860,A21,'07导出'!$D$2:$D$1860,"20502")</f>
        <v>36647205.030000001</v>
      </c>
      <c r="F21" s="46">
        <f>SUMIFS('07导出'!$H$2:$H$1860,'07导出'!$A$2:$A$1860,A21,'07导出'!$D$2:$D$1860,"20502")</f>
        <v>30995657.010000002</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46800</v>
      </c>
      <c r="N21" s="46">
        <f>SUMIFS('07导出'!$H$2:$H$1860,'07导出'!$A$2:$A$1860,A21,'07导出'!$D$2:$D$1860,"20508")</f>
        <v>93600</v>
      </c>
      <c r="O21" s="46">
        <f>SUMIFS('07导出'!$G$2:$G$1860,'07导出'!$A$2:$A$1860,A21,'07导出'!$D$2:$D$1860,"20509")</f>
        <v>3234053.04</v>
      </c>
      <c r="P21" s="46">
        <f>SUMIFS('07导出'!$H$2:$H$1860,'07导出'!$A$2:$A$1860,A21,'07导出'!$D$2:$D$1860,"20509")</f>
        <v>3253824</v>
      </c>
      <c r="Q21" s="46">
        <f>SUMIFS('07导出'!$G$2:$G$1860,'07导出'!$A$2:$A$1860,A21,'07导出'!$C$2:$C$1860,"206")</f>
        <v>0</v>
      </c>
      <c r="R21" s="46">
        <f>SUMIFS('07导出'!$H$2:$H$1860,'07导出'!$A$2:$A$1860,A21,'07导出'!$C$2:$C$1860,"206")</f>
        <v>0</v>
      </c>
      <c r="S21" s="46">
        <f>SUMIFS('07导出'!$G$2:$G$1860,'07导出'!$A$2:$A$1860,A21,'07导出'!$D$2:$D$1860,"20607")</f>
        <v>0</v>
      </c>
      <c r="T21" s="46">
        <f>SUMIFS('07导出'!$H$2:$H$1860,'07导出'!$A$2:$A$1860,A21,'07导出'!$D$2:$D$1860,"20607")</f>
        <v>0</v>
      </c>
      <c r="U21" s="46">
        <f>SUMIFS('07导出'!$G$2:$G$1860,'07导出'!$A$2:$A$1860,A21,'07导出'!$C$2:$C$1860,"208")</f>
        <v>6414705</v>
      </c>
      <c r="V21" s="46">
        <f>SUMIFS('07导出'!$H$2:$H$1860,'07导出'!$A$2:$A$1860,A21,'07导出'!$C$2:$C$1860,"208")</f>
        <v>6120469.7999999998</v>
      </c>
      <c r="W21" s="46">
        <f>SUMIFS('07导出'!$G$2:$G$1860,'07导出'!$A$2:$A$1860,A21,'07导出'!$D$2:$D$1860,"20805")</f>
        <v>6414705</v>
      </c>
      <c r="X21" s="46">
        <f>SUMIFS('07导出'!$H$2:$H$1860,'07导出'!$A$2:$A$1860,A21,'07导出'!$D$2:$D$1860,"20805")</f>
        <v>6120469.7999999998</v>
      </c>
      <c r="Y21" s="46">
        <f>SUMIFS('07导出'!$G$2:$G$1860,'07导出'!$A$2:$A$1860,A21,'07导出'!$D$2:$D$1860,"20808")</f>
        <v>0</v>
      </c>
      <c r="Z21" s="46">
        <f>SUMIFS('07导出'!$H$2:$H$1860,'07导出'!$A$2:$A$1860,A21,'07导出'!$D$2:$D$1860,"20808")</f>
        <v>0</v>
      </c>
      <c r="AA21" s="46">
        <f>SUMIFS('07导出'!$G$2:$G$1860,'07导出'!$A$2:$A$1860,A21,'07导出'!$C$2:$C$1860,"210")</f>
        <v>2829277.3</v>
      </c>
      <c r="AB21" s="46">
        <f>SUMIFS('07导出'!$H$2:$H$1860,'07导出'!$A$2:$A$1860,A21,'07导出'!$C$2:$C$1860,"210")</f>
        <v>2679277.2999999998</v>
      </c>
      <c r="AC21" s="46">
        <f>SUMIFS('07导出'!$G$2:$G$1860,'07导出'!$A$2:$A$1860,A21,'07导出'!$D$2:$D$1860,"21011")</f>
        <v>2829277.3</v>
      </c>
      <c r="AD21" s="46">
        <f>SUMIFS('07导出'!$H$2:$H$1860,'07导出'!$A$2:$A$1860,A21,'07导出'!$D$2:$D$1860,"21011")</f>
        <v>2679277.2999999998</v>
      </c>
      <c r="AE21" s="46">
        <f>SUMIFS('07导出'!$G$2:$G$1860,'07导出'!$A$2:$A$1860,A21,'07导出'!$C$2:$C$1860,"212")</f>
        <v>0</v>
      </c>
      <c r="AF21" s="46">
        <f>SUMIFS('07导出'!$H$2:$H$1860,'07导出'!$A$2:$A$1860,A21,'07导出'!$C$2:$C$1860,"212")</f>
        <v>0</v>
      </c>
      <c r="AG21" s="46">
        <f>SUMIFS('07导出'!$G$2:$G$1860,'07导出'!$A$2:$A$1860,A21,'07导出'!$D$2:$D$1860,"21203")</f>
        <v>0</v>
      </c>
      <c r="AH21" s="46">
        <f>SUMIFS('07导出'!$H$2:$H$1860,'07导出'!$A$2:$A$1860,A21,'07导出'!$D$2:$D$1860,"21203")</f>
        <v>0</v>
      </c>
      <c r="AI21" s="46">
        <f>SUMIFS('07导出'!$G$2:$G$1860,'07导出'!$A$2:$A$1860,A21,'07导出'!$C$2:$C$1860,"213")</f>
        <v>0</v>
      </c>
      <c r="AJ21" s="46">
        <f>SUMIFS('07导出'!$H$2:$H$1860,'07导出'!$A$2:$A$1860,A21,'07导出'!$C$2:$C$1860,"213")</f>
        <v>0</v>
      </c>
      <c r="AK21" s="46">
        <f>SUMIFS('07导出'!$G$2:$G$1860,'07导出'!$A$2:$A$1860,A21,'07导出'!$D$2:$D$1860,"21305")</f>
        <v>0</v>
      </c>
      <c r="AL21" s="46">
        <f>SUMIFS('07导出'!$H$2:$H$1860,'07导出'!$A$2:$A$1860,A21,'07导出'!$D$2:$D$1860,"21305")</f>
        <v>0</v>
      </c>
      <c r="AM21" s="46">
        <f>SUMIFS('07导出'!$G$2:$G$1860,'07导出'!$A$2:$A$1860,A21,'07导出'!$C$2:$C$1860,"221")</f>
        <v>6634830</v>
      </c>
      <c r="AN21" s="46">
        <f>SUMIFS('07导出'!$H$2:$H$1860,'07导出'!$A$2:$A$1860,A21,'07导出'!$C$2:$C$1860,"221")</f>
        <v>6381793.2000000002</v>
      </c>
      <c r="AO21" s="46">
        <f>SUMIFS('07导出'!$G$2:$G$1860,'07导出'!$A$2:$A$1860,A21,'07导出'!$D$2:$D$1860,"22102")</f>
        <v>6634830</v>
      </c>
      <c r="AP21" s="46">
        <f>SUMIFS('07导出'!$H$2:$H$1860,'07导出'!$A$2:$A$1860,A21,'07导出'!$D$2:$D$1860,"22102")</f>
        <v>6381793.2000000002</v>
      </c>
    </row>
    <row r="22" spans="1:42">
      <c r="A22" s="43">
        <v>255026</v>
      </c>
      <c r="B22" s="44" t="s">
        <v>21</v>
      </c>
      <c r="C22" s="45">
        <f>SUMIFS('07导出'!$G$2:$G$1860,'07导出'!$A$2:$A$1860,A22,'07导出'!$C$2:$C$1860,"205")</f>
        <v>65353831.310000002</v>
      </c>
      <c r="D22" s="45">
        <f>SUMIFS('07导出'!$H$2:$H$1860,'07导出'!$A$2:$A$1860,A22,'07导出'!$C$2:$C$1860,"205")</f>
        <v>54229227.189999998</v>
      </c>
      <c r="E22" s="46">
        <f>SUMIFS('07导出'!$G$2:$G$1860,'07导出'!$A$2:$A$1860,A22,'07导出'!$D$2:$D$1860,"20502")</f>
        <v>63506888.039999999</v>
      </c>
      <c r="F22" s="46">
        <f>SUMIFS('07导出'!$H$2:$H$1860,'07导出'!$A$2:$A$1860,A22,'07导出'!$D$2:$D$1860,"20502")</f>
        <v>52258547.189999998</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62000</v>
      </c>
      <c r="N22" s="46">
        <f>SUMIFS('07导出'!$H$2:$H$1860,'07导出'!$A$2:$A$1860,A22,'07导出'!$D$2:$D$1860,"20508")</f>
        <v>157600</v>
      </c>
      <c r="O22" s="46">
        <f>SUMIFS('07导出'!$G$2:$G$1860,'07导出'!$A$2:$A$1860,A22,'07导出'!$D$2:$D$1860,"20509")</f>
        <v>1784943.27</v>
      </c>
      <c r="P22" s="46">
        <f>SUMIFS('07导出'!$H$2:$H$1860,'07导出'!$A$2:$A$1860,A22,'07导出'!$D$2:$D$1860,"20509")</f>
        <v>1813080</v>
      </c>
      <c r="Q22" s="46">
        <f>SUMIFS('07导出'!$G$2:$G$1860,'07导出'!$A$2:$A$1860,A22,'07导出'!$C$2:$C$1860,"206")</f>
        <v>0</v>
      </c>
      <c r="R22" s="46">
        <f>SUMIFS('07导出'!$H$2:$H$1860,'07导出'!$A$2:$A$1860,A22,'07导出'!$C$2:$C$1860,"206")</f>
        <v>0</v>
      </c>
      <c r="S22" s="46">
        <f>SUMIFS('07导出'!$G$2:$G$1860,'07导出'!$A$2:$A$1860,A22,'07导出'!$D$2:$D$1860,"20607")</f>
        <v>0</v>
      </c>
      <c r="T22" s="46">
        <f>SUMIFS('07导出'!$H$2:$H$1860,'07导出'!$A$2:$A$1860,A22,'07导出'!$D$2:$D$1860,"20607")</f>
        <v>0</v>
      </c>
      <c r="U22" s="46">
        <f>SUMIFS('07导出'!$G$2:$G$1860,'07导出'!$A$2:$A$1860,A22,'07导出'!$C$2:$C$1860,"208")</f>
        <v>12216401.370000001</v>
      </c>
      <c r="V22" s="46">
        <f>SUMIFS('07导出'!$H$2:$H$1860,'07导出'!$A$2:$A$1860,A22,'07导出'!$C$2:$C$1860,"208")</f>
        <v>11068170.57</v>
      </c>
      <c r="W22" s="46">
        <f>SUMIFS('07导出'!$G$2:$G$1860,'07导出'!$A$2:$A$1860,A22,'07导出'!$D$2:$D$1860,"20805")</f>
        <v>12216401.370000001</v>
      </c>
      <c r="X22" s="46">
        <f>SUMIFS('07导出'!$H$2:$H$1860,'07导出'!$A$2:$A$1860,A22,'07导出'!$D$2:$D$1860,"20805")</f>
        <v>11068170.57</v>
      </c>
      <c r="Y22" s="46">
        <f>SUMIFS('07导出'!$G$2:$G$1860,'07导出'!$A$2:$A$1860,A22,'07导出'!$D$2:$D$1860,"20808")</f>
        <v>0</v>
      </c>
      <c r="Z22" s="46">
        <f>SUMIFS('07导出'!$H$2:$H$1860,'07导出'!$A$2:$A$1860,A22,'07导出'!$D$2:$D$1860,"20808")</f>
        <v>0</v>
      </c>
      <c r="AA22" s="46">
        <f>SUMIFS('07导出'!$G$2:$G$1860,'07导出'!$A$2:$A$1860,A22,'07导出'!$C$2:$C$1860,"210")</f>
        <v>5349709.5999999996</v>
      </c>
      <c r="AB22" s="46">
        <f>SUMIFS('07导出'!$H$2:$H$1860,'07导出'!$A$2:$A$1860,A22,'07导出'!$C$2:$C$1860,"210")</f>
        <v>4634204.71</v>
      </c>
      <c r="AC22" s="46">
        <f>SUMIFS('07导出'!$G$2:$G$1860,'07导出'!$A$2:$A$1860,A22,'07导出'!$D$2:$D$1860,"21011")</f>
        <v>5349709.5999999996</v>
      </c>
      <c r="AD22" s="46">
        <f>SUMIFS('07导出'!$H$2:$H$1860,'07导出'!$A$2:$A$1860,A22,'07导出'!$D$2:$D$1860,"21011")</f>
        <v>4634204.71</v>
      </c>
      <c r="AE22" s="46">
        <f>SUMIFS('07导出'!$G$2:$G$1860,'07导出'!$A$2:$A$1860,A22,'07导出'!$C$2:$C$1860,"212")</f>
        <v>0</v>
      </c>
      <c r="AF22" s="46">
        <f>SUMIFS('07导出'!$H$2:$H$1860,'07导出'!$A$2:$A$1860,A22,'07导出'!$C$2:$C$1860,"212")</f>
        <v>0</v>
      </c>
      <c r="AG22" s="46">
        <f>SUMIFS('07导出'!$G$2:$G$1860,'07导出'!$A$2:$A$1860,A22,'07导出'!$D$2:$D$1860,"21203")</f>
        <v>0</v>
      </c>
      <c r="AH22" s="46">
        <f>SUMIFS('07导出'!$H$2:$H$1860,'07导出'!$A$2:$A$1860,A22,'07导出'!$D$2:$D$1860,"21203")</f>
        <v>0</v>
      </c>
      <c r="AI22" s="46">
        <f>SUMIFS('07导出'!$G$2:$G$1860,'07导出'!$A$2:$A$1860,A22,'07导出'!$C$2:$C$1860,"213")</f>
        <v>0</v>
      </c>
      <c r="AJ22" s="46">
        <f>SUMIFS('07导出'!$H$2:$H$1860,'07导出'!$A$2:$A$1860,A22,'07导出'!$C$2:$C$1860,"213")</f>
        <v>0</v>
      </c>
      <c r="AK22" s="46">
        <f>SUMIFS('07导出'!$G$2:$G$1860,'07导出'!$A$2:$A$1860,A22,'07导出'!$D$2:$D$1860,"21305")</f>
        <v>0</v>
      </c>
      <c r="AL22" s="46">
        <f>SUMIFS('07导出'!$H$2:$H$1860,'07导出'!$A$2:$A$1860,A22,'07导出'!$D$2:$D$1860,"21305")</f>
        <v>0</v>
      </c>
      <c r="AM22" s="46">
        <f>SUMIFS('07导出'!$G$2:$G$1860,'07导出'!$A$2:$A$1860,A22,'07导出'!$C$2:$C$1860,"221")</f>
        <v>10940429</v>
      </c>
      <c r="AN22" s="46">
        <f>SUMIFS('07导出'!$H$2:$H$1860,'07导出'!$A$2:$A$1860,A22,'07导出'!$C$2:$C$1860,"221")</f>
        <v>10768690.809999999</v>
      </c>
      <c r="AO22" s="46">
        <f>SUMIFS('07导出'!$G$2:$G$1860,'07导出'!$A$2:$A$1860,A22,'07导出'!$D$2:$D$1860,"22102")</f>
        <v>10940429</v>
      </c>
      <c r="AP22" s="46">
        <f>SUMIFS('07导出'!$H$2:$H$1860,'07导出'!$A$2:$A$1860,A22,'07导出'!$D$2:$D$1860,"22102")</f>
        <v>10768690.809999999</v>
      </c>
    </row>
    <row r="23" spans="1:42">
      <c r="A23" s="43">
        <v>255027</v>
      </c>
      <c r="B23" s="44" t="s">
        <v>22</v>
      </c>
      <c r="C23" s="45">
        <f>SUMIFS('07导出'!$G$2:$G$1860,'07导出'!$A$2:$A$1860,A23,'07导出'!$C$2:$C$1860,"205")</f>
        <v>86008351.230000004</v>
      </c>
      <c r="D23" s="45">
        <f>SUMIFS('07导出'!$H$2:$H$1860,'07导出'!$A$2:$A$1860,A23,'07导出'!$C$2:$C$1860,"205")</f>
        <v>72364201.099999994</v>
      </c>
      <c r="E23" s="46">
        <f>SUMIFS('07导出'!$G$2:$G$1860,'07导出'!$A$2:$A$1860,A23,'07导出'!$D$2:$D$1860,"20502")</f>
        <v>83052612.840000004</v>
      </c>
      <c r="F23" s="46">
        <f>SUMIFS('07导出'!$H$2:$H$1860,'07导出'!$A$2:$A$1860,A23,'07导出'!$D$2:$D$1860,"20502")</f>
        <v>69299581.099999994</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100699</v>
      </c>
      <c r="N23" s="46">
        <f>SUMIFS('07导出'!$H$2:$H$1860,'07导出'!$A$2:$A$1860,A23,'07导出'!$D$2:$D$1860,"20508")</f>
        <v>206400</v>
      </c>
      <c r="O23" s="46">
        <f>SUMIFS('07导出'!$G$2:$G$1860,'07导出'!$A$2:$A$1860,A23,'07导出'!$D$2:$D$1860,"20509")</f>
        <v>2855039.39</v>
      </c>
      <c r="P23" s="46">
        <f>SUMIFS('07导出'!$H$2:$H$1860,'07导出'!$A$2:$A$1860,A23,'07导出'!$D$2:$D$1860,"20509")</f>
        <v>2858220</v>
      </c>
      <c r="Q23" s="46">
        <f>SUMIFS('07导出'!$G$2:$G$1860,'07导出'!$A$2:$A$1860,A23,'07导出'!$C$2:$C$1860,"206")</f>
        <v>0</v>
      </c>
      <c r="R23" s="46">
        <f>SUMIFS('07导出'!$H$2:$H$1860,'07导出'!$A$2:$A$1860,A23,'07导出'!$C$2:$C$1860,"206")</f>
        <v>0</v>
      </c>
      <c r="S23" s="46">
        <f>SUMIFS('07导出'!$G$2:$G$1860,'07导出'!$A$2:$A$1860,A23,'07导出'!$D$2:$D$1860,"20607")</f>
        <v>0</v>
      </c>
      <c r="T23" s="46">
        <f>SUMIFS('07导出'!$H$2:$H$1860,'07导出'!$A$2:$A$1860,A23,'07导出'!$D$2:$D$1860,"20607")</f>
        <v>0</v>
      </c>
      <c r="U23" s="46">
        <f>SUMIFS('07导出'!$G$2:$G$1860,'07导出'!$A$2:$A$1860,A23,'07导出'!$C$2:$C$1860,"208")</f>
        <v>16078084.879999999</v>
      </c>
      <c r="V23" s="46">
        <f>SUMIFS('07导出'!$H$2:$H$1860,'07导出'!$A$2:$A$1860,A23,'07导出'!$C$2:$C$1860,"208")</f>
        <v>15425292.98</v>
      </c>
      <c r="W23" s="46">
        <f>SUMIFS('07导出'!$G$2:$G$1860,'07导出'!$A$2:$A$1860,A23,'07导出'!$D$2:$D$1860,"20805")</f>
        <v>16078084.879999999</v>
      </c>
      <c r="X23" s="46">
        <f>SUMIFS('07导出'!$H$2:$H$1860,'07导出'!$A$2:$A$1860,A23,'07导出'!$D$2:$D$1860,"20805")</f>
        <v>15425292.98</v>
      </c>
      <c r="Y23" s="46">
        <f>SUMIFS('07导出'!$G$2:$G$1860,'07导出'!$A$2:$A$1860,A23,'07导出'!$D$2:$D$1860,"20808")</f>
        <v>0</v>
      </c>
      <c r="Z23" s="46">
        <f>SUMIFS('07导出'!$H$2:$H$1860,'07导出'!$A$2:$A$1860,A23,'07导出'!$D$2:$D$1860,"20808")</f>
        <v>0</v>
      </c>
      <c r="AA23" s="46">
        <f>SUMIFS('07导出'!$G$2:$G$1860,'07导出'!$A$2:$A$1860,A23,'07导出'!$C$2:$C$1860,"210")</f>
        <v>6943311.8499999996</v>
      </c>
      <c r="AB23" s="46">
        <f>SUMIFS('07导出'!$H$2:$H$1860,'07导出'!$A$2:$A$1860,A23,'07导出'!$C$2:$C$1860,"210")</f>
        <v>6075658.6600000001</v>
      </c>
      <c r="AC23" s="46">
        <f>SUMIFS('07导出'!$G$2:$G$1860,'07导出'!$A$2:$A$1860,A23,'07导出'!$D$2:$D$1860,"21011")</f>
        <v>6943311.8499999996</v>
      </c>
      <c r="AD23" s="46">
        <f>SUMIFS('07导出'!$H$2:$H$1860,'07导出'!$A$2:$A$1860,A23,'07导出'!$D$2:$D$1860,"21011")</f>
        <v>6075658.6600000001</v>
      </c>
      <c r="AE23" s="46">
        <f>SUMIFS('07导出'!$G$2:$G$1860,'07导出'!$A$2:$A$1860,A23,'07导出'!$C$2:$C$1860,"212")</f>
        <v>0</v>
      </c>
      <c r="AF23" s="46">
        <f>SUMIFS('07导出'!$H$2:$H$1860,'07导出'!$A$2:$A$1860,A23,'07导出'!$C$2:$C$1860,"212")</f>
        <v>0</v>
      </c>
      <c r="AG23" s="46">
        <f>SUMIFS('07导出'!$G$2:$G$1860,'07导出'!$A$2:$A$1860,A23,'07导出'!$D$2:$D$1860,"21203")</f>
        <v>0</v>
      </c>
      <c r="AH23" s="46">
        <f>SUMIFS('07导出'!$H$2:$H$1860,'07导出'!$A$2:$A$1860,A23,'07导出'!$D$2:$D$1860,"21203")</f>
        <v>0</v>
      </c>
      <c r="AI23" s="46">
        <f>SUMIFS('07导出'!$G$2:$G$1860,'07导出'!$A$2:$A$1860,A23,'07导出'!$C$2:$C$1860,"213")</f>
        <v>0</v>
      </c>
      <c r="AJ23" s="46">
        <f>SUMIFS('07导出'!$H$2:$H$1860,'07导出'!$A$2:$A$1860,A23,'07导出'!$C$2:$C$1860,"213")</f>
        <v>0</v>
      </c>
      <c r="AK23" s="46">
        <f>SUMIFS('07导出'!$G$2:$G$1860,'07导出'!$A$2:$A$1860,A23,'07导出'!$D$2:$D$1860,"21305")</f>
        <v>0</v>
      </c>
      <c r="AL23" s="46">
        <f>SUMIFS('07导出'!$H$2:$H$1860,'07导出'!$A$2:$A$1860,A23,'07导出'!$D$2:$D$1860,"21305")</f>
        <v>0</v>
      </c>
      <c r="AM23" s="46">
        <f>SUMIFS('07导出'!$G$2:$G$1860,'07导出'!$A$2:$A$1860,A23,'07导出'!$C$2:$C$1860,"221")</f>
        <v>15918639</v>
      </c>
      <c r="AN23" s="46">
        <f>SUMIFS('07导出'!$H$2:$H$1860,'07导出'!$A$2:$A$1860,A23,'07导出'!$C$2:$C$1860,"221")</f>
        <v>14692965.84</v>
      </c>
      <c r="AO23" s="46">
        <f>SUMIFS('07导出'!$G$2:$G$1860,'07导出'!$A$2:$A$1860,A23,'07导出'!$D$2:$D$1860,"22102")</f>
        <v>15918639</v>
      </c>
      <c r="AP23" s="46">
        <f>SUMIFS('07导出'!$H$2:$H$1860,'07导出'!$A$2:$A$1860,A23,'07导出'!$D$2:$D$1860,"22102")</f>
        <v>14692965.84</v>
      </c>
    </row>
    <row r="24" spans="1:42">
      <c r="A24" s="43">
        <v>255028</v>
      </c>
      <c r="B24" s="44" t="s">
        <v>23</v>
      </c>
      <c r="C24" s="45">
        <f>SUMIFS('07导出'!$G$2:$G$1860,'07导出'!$A$2:$A$1860,A24,'07导出'!$C$2:$C$1860,"205")</f>
        <v>27120602.620000001</v>
      </c>
      <c r="D24" s="45">
        <f>SUMIFS('07导出'!$H$2:$H$1860,'07导出'!$A$2:$A$1860,A24,'07导出'!$C$2:$C$1860,"205")</f>
        <v>15539606.25</v>
      </c>
      <c r="E24" s="46">
        <f>SUMIFS('07导出'!$G$2:$G$1860,'07导出'!$A$2:$A$1860,A24,'07导出'!$D$2:$D$1860,"20502")</f>
        <v>26621602.620000001</v>
      </c>
      <c r="F24" s="46">
        <f>SUMIFS('07导出'!$H$2:$H$1860,'07导出'!$A$2:$A$1860,A24,'07导出'!$D$2:$D$1860,"20502")</f>
        <v>15036606.25</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4000</v>
      </c>
      <c r="N24" s="46">
        <f>SUMIFS('07导出'!$H$2:$H$1860,'07导出'!$A$2:$A$1860,A24,'07导出'!$D$2:$D$1860,"20508")</f>
        <v>8000</v>
      </c>
      <c r="O24" s="46">
        <f>SUMIFS('07导出'!$G$2:$G$1860,'07导出'!$A$2:$A$1860,A24,'07导出'!$D$2:$D$1860,"20509")</f>
        <v>495000</v>
      </c>
      <c r="P24" s="46">
        <f>SUMIFS('07导出'!$H$2:$H$1860,'07导出'!$A$2:$A$1860,A24,'07导出'!$D$2:$D$1860,"20509")</f>
        <v>495000</v>
      </c>
      <c r="Q24" s="46">
        <f>SUMIFS('07导出'!$G$2:$G$1860,'07导出'!$A$2:$A$1860,A24,'07导出'!$C$2:$C$1860,"206")</f>
        <v>0</v>
      </c>
      <c r="R24" s="46">
        <f>SUMIFS('07导出'!$H$2:$H$1860,'07导出'!$A$2:$A$1860,A24,'07导出'!$C$2:$C$1860,"206")</f>
        <v>0</v>
      </c>
      <c r="S24" s="46">
        <f>SUMIFS('07导出'!$G$2:$G$1860,'07导出'!$A$2:$A$1860,A24,'07导出'!$D$2:$D$1860,"20607")</f>
        <v>0</v>
      </c>
      <c r="T24" s="46">
        <f>SUMIFS('07导出'!$H$2:$H$1860,'07导出'!$A$2:$A$1860,A24,'07导出'!$D$2:$D$1860,"20607")</f>
        <v>0</v>
      </c>
      <c r="U24" s="46">
        <f>SUMIFS('07导出'!$G$2:$G$1860,'07导出'!$A$2:$A$1860,A24,'07导出'!$C$2:$C$1860,"208")</f>
        <v>1392232.6400000001</v>
      </c>
      <c r="V24" s="46">
        <f>SUMIFS('07导出'!$H$2:$H$1860,'07导出'!$A$2:$A$1860,A24,'07导出'!$C$2:$C$1860,"208")</f>
        <v>1356961.84</v>
      </c>
      <c r="W24" s="46">
        <f>SUMIFS('07导出'!$G$2:$G$1860,'07导出'!$A$2:$A$1860,A24,'07导出'!$D$2:$D$1860,"20805")</f>
        <v>1392232.6400000001</v>
      </c>
      <c r="X24" s="46">
        <f>SUMIFS('07导出'!$H$2:$H$1860,'07导出'!$A$2:$A$1860,A24,'07导出'!$D$2:$D$1860,"20805")</f>
        <v>1356961.84</v>
      </c>
      <c r="Y24" s="46">
        <f>SUMIFS('07导出'!$G$2:$G$1860,'07导出'!$A$2:$A$1860,A24,'07导出'!$D$2:$D$1860,"20808")</f>
        <v>0</v>
      </c>
      <c r="Z24" s="46">
        <f>SUMIFS('07导出'!$H$2:$H$1860,'07导出'!$A$2:$A$1860,A24,'07导出'!$D$2:$D$1860,"20808")</f>
        <v>0</v>
      </c>
      <c r="AA24" s="46">
        <f>SUMIFS('07导出'!$G$2:$G$1860,'07导出'!$A$2:$A$1860,A24,'07导出'!$C$2:$C$1860,"210")</f>
        <v>306620.27</v>
      </c>
      <c r="AB24" s="46">
        <f>SUMIFS('07导出'!$H$2:$H$1860,'07导出'!$A$2:$A$1860,A24,'07导出'!$C$2:$C$1860,"210")</f>
        <v>396620.27</v>
      </c>
      <c r="AC24" s="46">
        <f>SUMIFS('07导出'!$G$2:$G$1860,'07导出'!$A$2:$A$1860,A24,'07导出'!$D$2:$D$1860,"21011")</f>
        <v>306620.27</v>
      </c>
      <c r="AD24" s="46">
        <f>SUMIFS('07导出'!$H$2:$H$1860,'07导出'!$A$2:$A$1860,A24,'07导出'!$D$2:$D$1860,"21011")</f>
        <v>396620.27</v>
      </c>
      <c r="AE24" s="46">
        <f>SUMIFS('07导出'!$G$2:$G$1860,'07导出'!$A$2:$A$1860,A24,'07导出'!$C$2:$C$1860,"212")</f>
        <v>0</v>
      </c>
      <c r="AF24" s="46">
        <f>SUMIFS('07导出'!$H$2:$H$1860,'07导出'!$A$2:$A$1860,A24,'07导出'!$C$2:$C$1860,"212")</f>
        <v>0</v>
      </c>
      <c r="AG24" s="46">
        <f>SUMIFS('07导出'!$G$2:$G$1860,'07导出'!$A$2:$A$1860,A24,'07导出'!$D$2:$D$1860,"21203")</f>
        <v>0</v>
      </c>
      <c r="AH24" s="46">
        <f>SUMIFS('07导出'!$H$2:$H$1860,'07导出'!$A$2:$A$1860,A24,'07导出'!$D$2:$D$1860,"21203")</f>
        <v>0</v>
      </c>
      <c r="AI24" s="46">
        <f>SUMIFS('07导出'!$G$2:$G$1860,'07导出'!$A$2:$A$1860,A24,'07导出'!$C$2:$C$1860,"213")</f>
        <v>0</v>
      </c>
      <c r="AJ24" s="46">
        <f>SUMIFS('07导出'!$H$2:$H$1860,'07导出'!$A$2:$A$1860,A24,'07导出'!$C$2:$C$1860,"213")</f>
        <v>0</v>
      </c>
      <c r="AK24" s="46">
        <f>SUMIFS('07导出'!$G$2:$G$1860,'07导出'!$A$2:$A$1860,A24,'07导出'!$D$2:$D$1860,"21305")</f>
        <v>0</v>
      </c>
      <c r="AL24" s="46">
        <f>SUMIFS('07导出'!$H$2:$H$1860,'07导出'!$A$2:$A$1860,A24,'07导出'!$D$2:$D$1860,"21305")</f>
        <v>0</v>
      </c>
      <c r="AM24" s="46">
        <f>SUMIFS('07导出'!$G$2:$G$1860,'07导出'!$A$2:$A$1860,A24,'07导出'!$C$2:$C$1860,"221")</f>
        <v>580861.17000000004</v>
      </c>
      <c r="AN24" s="46">
        <f>SUMIFS('07导出'!$H$2:$H$1860,'07导出'!$A$2:$A$1860,A24,'07导出'!$C$2:$C$1860,"221")</f>
        <v>580861.17000000004</v>
      </c>
      <c r="AO24" s="46">
        <f>SUMIFS('07导出'!$G$2:$G$1860,'07导出'!$A$2:$A$1860,A24,'07导出'!$D$2:$D$1860,"22102")</f>
        <v>580861.17000000004</v>
      </c>
      <c r="AP24" s="46">
        <f>SUMIFS('07导出'!$H$2:$H$1860,'07导出'!$A$2:$A$1860,A24,'07导出'!$D$2:$D$1860,"22102")</f>
        <v>580861.17000000004</v>
      </c>
    </row>
    <row r="25" spans="1:42">
      <c r="A25" s="43">
        <v>255029</v>
      </c>
      <c r="B25" s="44" t="s">
        <v>24</v>
      </c>
      <c r="C25" s="45">
        <f>SUMIFS('07导出'!$G$2:$G$1860,'07导出'!$A$2:$A$1860,A25,'07导出'!$C$2:$C$1860,"205")</f>
        <v>55265232.009999998</v>
      </c>
      <c r="D25" s="45">
        <f>SUMIFS('07导出'!$H$2:$H$1860,'07导出'!$A$2:$A$1860,A25,'07导出'!$C$2:$C$1860,"205")</f>
        <v>47142502.57</v>
      </c>
      <c r="E25" s="46">
        <f>SUMIFS('07导出'!$G$2:$G$1860,'07导出'!$A$2:$A$1860,A25,'07导出'!$D$2:$D$1860,"20502")</f>
        <v>51543597.549999997</v>
      </c>
      <c r="F25" s="46">
        <f>SUMIFS('07导出'!$H$2:$H$1860,'07导出'!$A$2:$A$1860,A25,'07导出'!$D$2:$D$1860,"20502")</f>
        <v>43254952.57</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65600</v>
      </c>
      <c r="O25" s="46">
        <f>SUMIFS('07导出'!$G$2:$G$1860,'07导出'!$A$2:$A$1860,A25,'07导出'!$D$2:$D$1860,"20509")</f>
        <v>3721634.46</v>
      </c>
      <c r="P25" s="46">
        <f>SUMIFS('07导出'!$H$2:$H$1860,'07导出'!$A$2:$A$1860,A25,'07导出'!$D$2:$D$1860,"20509")</f>
        <v>3821950</v>
      </c>
      <c r="Q25" s="46">
        <f>SUMIFS('07导出'!$G$2:$G$1860,'07导出'!$A$2:$A$1860,A25,'07导出'!$C$2:$C$1860,"206")</f>
        <v>0</v>
      </c>
      <c r="R25" s="46">
        <f>SUMIFS('07导出'!$H$2:$H$1860,'07导出'!$A$2:$A$1860,A25,'07导出'!$C$2:$C$1860,"206")</f>
        <v>0</v>
      </c>
      <c r="S25" s="46">
        <f>SUMIFS('07导出'!$G$2:$G$1860,'07导出'!$A$2:$A$1860,A25,'07导出'!$D$2:$D$1860,"20607")</f>
        <v>0</v>
      </c>
      <c r="T25" s="46">
        <f>SUMIFS('07导出'!$H$2:$H$1860,'07导出'!$A$2:$A$1860,A25,'07导出'!$D$2:$D$1860,"20607")</f>
        <v>0</v>
      </c>
      <c r="U25" s="46">
        <f>SUMIFS('07导出'!$G$2:$G$1860,'07导出'!$A$2:$A$1860,A25,'07导出'!$C$2:$C$1860,"208")</f>
        <v>6389890.2800000003</v>
      </c>
      <c r="V25" s="46">
        <f>SUMIFS('07导出'!$H$2:$H$1860,'07导出'!$A$2:$A$1860,A25,'07导出'!$C$2:$C$1860,"208")</f>
        <v>5138771.5600000005</v>
      </c>
      <c r="W25" s="46">
        <f>SUMIFS('07导出'!$G$2:$G$1860,'07导出'!$A$2:$A$1860,A25,'07导出'!$D$2:$D$1860,"20805")</f>
        <v>6389890.2800000003</v>
      </c>
      <c r="X25" s="46">
        <f>SUMIFS('07导出'!$H$2:$H$1860,'07导出'!$A$2:$A$1860,A25,'07导出'!$D$2:$D$1860,"20805")</f>
        <v>5138771.5600000005</v>
      </c>
      <c r="Y25" s="46">
        <f>SUMIFS('07导出'!$G$2:$G$1860,'07导出'!$A$2:$A$1860,A25,'07导出'!$D$2:$D$1860,"20808")</f>
        <v>0</v>
      </c>
      <c r="Z25" s="46">
        <f>SUMIFS('07导出'!$H$2:$H$1860,'07导出'!$A$2:$A$1860,A25,'07导出'!$D$2:$D$1860,"20808")</f>
        <v>0</v>
      </c>
      <c r="AA25" s="46">
        <f>SUMIFS('07导出'!$G$2:$G$1860,'07导出'!$A$2:$A$1860,A25,'07导出'!$C$2:$C$1860,"210")</f>
        <v>2692654.05</v>
      </c>
      <c r="AB25" s="46">
        <f>SUMIFS('07导出'!$H$2:$H$1860,'07导出'!$A$2:$A$1860,A25,'07导出'!$C$2:$C$1860,"210")</f>
        <v>1917809.32</v>
      </c>
      <c r="AC25" s="46">
        <f>SUMIFS('07导出'!$G$2:$G$1860,'07导出'!$A$2:$A$1860,A25,'07导出'!$D$2:$D$1860,"21011")</f>
        <v>2692654.05</v>
      </c>
      <c r="AD25" s="46">
        <f>SUMIFS('07导出'!$H$2:$H$1860,'07导出'!$A$2:$A$1860,A25,'07导出'!$D$2:$D$1860,"21011")</f>
        <v>1917809.32</v>
      </c>
      <c r="AE25" s="46">
        <f>SUMIFS('07导出'!$G$2:$G$1860,'07导出'!$A$2:$A$1860,A25,'07导出'!$C$2:$C$1860,"212")</f>
        <v>0</v>
      </c>
      <c r="AF25" s="46">
        <f>SUMIFS('07导出'!$H$2:$H$1860,'07导出'!$A$2:$A$1860,A25,'07导出'!$C$2:$C$1860,"212")</f>
        <v>0</v>
      </c>
      <c r="AG25" s="46">
        <f>SUMIFS('07导出'!$G$2:$G$1860,'07导出'!$A$2:$A$1860,A25,'07导出'!$D$2:$D$1860,"21203")</f>
        <v>0</v>
      </c>
      <c r="AH25" s="46">
        <f>SUMIFS('07导出'!$H$2:$H$1860,'07导出'!$A$2:$A$1860,A25,'07导出'!$D$2:$D$1860,"21203")</f>
        <v>0</v>
      </c>
      <c r="AI25" s="46">
        <f>SUMIFS('07导出'!$G$2:$G$1860,'07导出'!$A$2:$A$1860,A25,'07导出'!$C$2:$C$1860,"213")</f>
        <v>0</v>
      </c>
      <c r="AJ25" s="46">
        <f>SUMIFS('07导出'!$H$2:$H$1860,'07导出'!$A$2:$A$1860,A25,'07导出'!$C$2:$C$1860,"213")</f>
        <v>0</v>
      </c>
      <c r="AK25" s="46">
        <f>SUMIFS('07导出'!$G$2:$G$1860,'07导出'!$A$2:$A$1860,A25,'07导出'!$D$2:$D$1860,"21305")</f>
        <v>0</v>
      </c>
      <c r="AL25" s="46">
        <f>SUMIFS('07导出'!$H$2:$H$1860,'07导出'!$A$2:$A$1860,A25,'07导出'!$D$2:$D$1860,"21305")</f>
        <v>0</v>
      </c>
      <c r="AM25" s="46">
        <f>SUMIFS('07导出'!$G$2:$G$1860,'07导出'!$A$2:$A$1860,A25,'07导出'!$C$2:$C$1860,"221")</f>
        <v>5095966.4000000004</v>
      </c>
      <c r="AN25" s="46">
        <f>SUMIFS('07导出'!$H$2:$H$1860,'07导出'!$A$2:$A$1860,A25,'07导出'!$C$2:$C$1860,"221")</f>
        <v>4179559.6799999997</v>
      </c>
      <c r="AO25" s="46">
        <f>SUMIFS('07导出'!$G$2:$G$1860,'07导出'!$A$2:$A$1860,A25,'07导出'!$D$2:$D$1860,"22102")</f>
        <v>5095966.4000000004</v>
      </c>
      <c r="AP25" s="46">
        <f>SUMIFS('07导出'!$H$2:$H$1860,'07导出'!$A$2:$A$1860,A25,'07导出'!$D$2:$D$1860,"22102")</f>
        <v>4179559.6799999997</v>
      </c>
    </row>
    <row r="26" spans="1:42">
      <c r="A26" s="43">
        <v>255030</v>
      </c>
      <c r="B26" s="44" t="s">
        <v>25</v>
      </c>
      <c r="C26" s="45">
        <f>SUMIFS('07导出'!$G$2:$G$1860,'07导出'!$A$2:$A$1860,A26,'07导出'!$C$2:$C$1860,"205")</f>
        <v>49785910.420000002</v>
      </c>
      <c r="D26" s="45">
        <f>SUMIFS('07导出'!$H$2:$H$1860,'07导出'!$A$2:$A$1860,A26,'07导出'!$C$2:$C$1860,"205")</f>
        <v>48297273.519999996</v>
      </c>
      <c r="E26" s="46">
        <f>SUMIFS('07导出'!$G$2:$G$1860,'07导出'!$A$2:$A$1860,A26,'07导出'!$D$2:$D$1860,"20502")</f>
        <v>0</v>
      </c>
      <c r="F26" s="46">
        <f>SUMIFS('07导出'!$H$2:$H$1860,'07导出'!$A$2:$A$1860,A26,'07导出'!$D$2:$D$1860,"20502")</f>
        <v>0</v>
      </c>
      <c r="G26" s="46">
        <f>SUMIFS('07导出'!$G$2:$G$1860,'07导出'!$A$2:$A$1860,A26,'07导出'!$D$2:$D$1860,"20503")</f>
        <v>47832204.219999999</v>
      </c>
      <c r="H26" s="46">
        <f>SUMIFS('07导出'!$H$2:$H$1860,'07导出'!$A$2:$A$1860,A26,'07导出'!$D$2:$D$1860,"20503")</f>
        <v>46231525.519999996</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0</v>
      </c>
      <c r="N26" s="46">
        <f>SUMIFS('07导出'!$H$2:$H$1860,'07导出'!$A$2:$A$1860,A26,'07导出'!$D$2:$D$1860,"20508")</f>
        <v>112000</v>
      </c>
      <c r="O26" s="46">
        <f>SUMIFS('07导出'!$G$2:$G$1860,'07导出'!$A$2:$A$1860,A26,'07导出'!$D$2:$D$1860,"20509")</f>
        <v>1953706.2</v>
      </c>
      <c r="P26" s="46">
        <f>SUMIFS('07导出'!$H$2:$H$1860,'07导出'!$A$2:$A$1860,A26,'07导出'!$D$2:$D$1860,"20509")</f>
        <v>1953748</v>
      </c>
      <c r="Q26" s="46">
        <f>SUMIFS('07导出'!$G$2:$G$1860,'07导出'!$A$2:$A$1860,A26,'07导出'!$C$2:$C$1860,"206")</f>
        <v>0</v>
      </c>
      <c r="R26" s="46">
        <f>SUMIFS('07导出'!$H$2:$H$1860,'07导出'!$A$2:$A$1860,A26,'07导出'!$C$2:$C$1860,"206")</f>
        <v>0</v>
      </c>
      <c r="S26" s="46">
        <f>SUMIFS('07导出'!$G$2:$G$1860,'07导出'!$A$2:$A$1860,A26,'07导出'!$D$2:$D$1860,"20607")</f>
        <v>0</v>
      </c>
      <c r="T26" s="46">
        <f>SUMIFS('07导出'!$H$2:$H$1860,'07导出'!$A$2:$A$1860,A26,'07导出'!$D$2:$D$1860,"20607")</f>
        <v>0</v>
      </c>
      <c r="U26" s="46">
        <f>SUMIFS('07导出'!$G$2:$G$1860,'07导出'!$A$2:$A$1860,A26,'07导出'!$C$2:$C$1860,"208")</f>
        <v>15167526.43</v>
      </c>
      <c r="V26" s="46">
        <f>SUMIFS('07导出'!$H$2:$H$1860,'07导出'!$A$2:$A$1860,A26,'07导出'!$C$2:$C$1860,"208")</f>
        <v>13926233.870000001</v>
      </c>
      <c r="W26" s="46">
        <f>SUMIFS('07导出'!$G$2:$G$1860,'07导出'!$A$2:$A$1860,A26,'07导出'!$D$2:$D$1860,"20805")</f>
        <v>14861648.43</v>
      </c>
      <c r="X26" s="46">
        <f>SUMIFS('07导出'!$H$2:$H$1860,'07导出'!$A$2:$A$1860,A26,'07导出'!$D$2:$D$1860,"20805")</f>
        <v>13926233.870000001</v>
      </c>
      <c r="Y26" s="46">
        <f>SUMIFS('07导出'!$G$2:$G$1860,'07导出'!$A$2:$A$1860,A26,'07导出'!$D$2:$D$1860,"20808")</f>
        <v>305878</v>
      </c>
      <c r="Z26" s="46">
        <f>SUMIFS('07导出'!$H$2:$H$1860,'07导出'!$A$2:$A$1860,A26,'07导出'!$D$2:$D$1860,"20808")</f>
        <v>0</v>
      </c>
      <c r="AA26" s="46">
        <f>SUMIFS('07导出'!$G$2:$G$1860,'07导出'!$A$2:$A$1860,A26,'07导出'!$C$2:$C$1860,"210")</f>
        <v>4135561.64</v>
      </c>
      <c r="AB26" s="46">
        <f>SUMIFS('07导出'!$H$2:$H$1860,'07导出'!$A$2:$A$1860,A26,'07导出'!$C$2:$C$1860,"210")</f>
        <v>4175864.64</v>
      </c>
      <c r="AC26" s="46">
        <f>SUMIFS('07导出'!$G$2:$G$1860,'07导出'!$A$2:$A$1860,A26,'07导出'!$D$2:$D$1860,"21011")</f>
        <v>4135561.64</v>
      </c>
      <c r="AD26" s="46">
        <f>SUMIFS('07导出'!$H$2:$H$1860,'07导出'!$A$2:$A$1860,A26,'07导出'!$D$2:$D$1860,"21011")</f>
        <v>4175864.64</v>
      </c>
      <c r="AE26" s="46">
        <f>SUMIFS('07导出'!$G$2:$G$1860,'07导出'!$A$2:$A$1860,A26,'07导出'!$C$2:$C$1860,"212")</f>
        <v>0</v>
      </c>
      <c r="AF26" s="46">
        <f>SUMIFS('07导出'!$H$2:$H$1860,'07导出'!$A$2:$A$1860,A26,'07导出'!$C$2:$C$1860,"212")</f>
        <v>0</v>
      </c>
      <c r="AG26" s="46">
        <f>SUMIFS('07导出'!$G$2:$G$1860,'07导出'!$A$2:$A$1860,A26,'07导出'!$D$2:$D$1860,"21203")</f>
        <v>0</v>
      </c>
      <c r="AH26" s="46">
        <f>SUMIFS('07导出'!$H$2:$H$1860,'07导出'!$A$2:$A$1860,A26,'07导出'!$D$2:$D$1860,"21203")</f>
        <v>0</v>
      </c>
      <c r="AI26" s="46">
        <f>SUMIFS('07导出'!$G$2:$G$1860,'07导出'!$A$2:$A$1860,A26,'07导出'!$C$2:$C$1860,"213")</f>
        <v>0</v>
      </c>
      <c r="AJ26" s="46">
        <f>SUMIFS('07导出'!$H$2:$H$1860,'07导出'!$A$2:$A$1860,A26,'07导出'!$C$2:$C$1860,"213")</f>
        <v>0</v>
      </c>
      <c r="AK26" s="46">
        <f>SUMIFS('07导出'!$G$2:$G$1860,'07导出'!$A$2:$A$1860,A26,'07导出'!$D$2:$D$1860,"21305")</f>
        <v>0</v>
      </c>
      <c r="AL26" s="46">
        <f>SUMIFS('07导出'!$H$2:$H$1860,'07导出'!$A$2:$A$1860,A26,'07导出'!$D$2:$D$1860,"21305")</f>
        <v>0</v>
      </c>
      <c r="AM26" s="46">
        <f>SUMIFS('07导出'!$G$2:$G$1860,'07导出'!$A$2:$A$1860,A26,'07导出'!$C$2:$C$1860,"221")</f>
        <v>7801419</v>
      </c>
      <c r="AN26" s="46">
        <f>SUMIFS('07导出'!$H$2:$H$1860,'07导出'!$A$2:$A$1860,A26,'07导出'!$C$2:$C$1860,"221")</f>
        <v>7368027.3599999994</v>
      </c>
      <c r="AO26" s="46">
        <f>SUMIFS('07导出'!$G$2:$G$1860,'07导出'!$A$2:$A$1860,A26,'07导出'!$D$2:$D$1860,"22102")</f>
        <v>7801419</v>
      </c>
      <c r="AP26" s="46">
        <f>SUMIFS('07导出'!$H$2:$H$1860,'07导出'!$A$2:$A$1860,A26,'07导出'!$D$2:$D$1860,"22102")</f>
        <v>7368027.3599999994</v>
      </c>
    </row>
    <row r="27" spans="1:42">
      <c r="A27" s="43">
        <v>255031</v>
      </c>
      <c r="B27" s="44" t="s">
        <v>26</v>
      </c>
      <c r="C27" s="45">
        <f>SUMIFS('07导出'!$G$2:$G$1860,'07导出'!$A$2:$A$1860,A27,'07导出'!$C$2:$C$1860,"205")</f>
        <v>93128655.830000013</v>
      </c>
      <c r="D27" s="45">
        <f>SUMIFS('07导出'!$H$2:$H$1860,'07导出'!$A$2:$A$1860,A27,'07导出'!$C$2:$C$1860,"205")</f>
        <v>81193481.769999996</v>
      </c>
      <c r="E27" s="46">
        <f>SUMIFS('07导出'!$G$2:$G$1860,'07导出'!$A$2:$A$1860,A27,'07导出'!$D$2:$D$1860,"20502")</f>
        <v>42996.15</v>
      </c>
      <c r="F27" s="46">
        <f>SUMIFS('07导出'!$H$2:$H$1860,'07导出'!$A$2:$A$1860,A27,'07导出'!$D$2:$D$1860,"20502")</f>
        <v>0</v>
      </c>
      <c r="G27" s="46">
        <f>SUMIFS('07导出'!$G$2:$G$1860,'07导出'!$A$2:$A$1860,A27,'07导出'!$D$2:$D$1860,"20503")</f>
        <v>90760968.450000003</v>
      </c>
      <c r="H27" s="46">
        <f>SUMIFS('07导出'!$H$2:$H$1860,'07导出'!$A$2:$A$1860,A27,'07导出'!$D$2:$D$1860,"20503")</f>
        <v>78526184.859999999</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130800</v>
      </c>
      <c r="N27" s="46">
        <f>SUMIFS('07导出'!$H$2:$H$1860,'07导出'!$A$2:$A$1860,A27,'07导出'!$D$2:$D$1860,"20508")</f>
        <v>261600</v>
      </c>
      <c r="O27" s="46">
        <f>SUMIFS('07导出'!$G$2:$G$1860,'07导出'!$A$2:$A$1860,A27,'07导出'!$D$2:$D$1860,"20509")</f>
        <v>2193891.23</v>
      </c>
      <c r="P27" s="46">
        <f>SUMIFS('07导出'!$H$2:$H$1860,'07导出'!$A$2:$A$1860,A27,'07导出'!$D$2:$D$1860,"20509")</f>
        <v>2405696.91</v>
      </c>
      <c r="Q27" s="46">
        <f>SUMIFS('07导出'!$G$2:$G$1860,'07导出'!$A$2:$A$1860,A27,'07导出'!$C$2:$C$1860,"206")</f>
        <v>0</v>
      </c>
      <c r="R27" s="46">
        <f>SUMIFS('07导出'!$H$2:$H$1860,'07导出'!$A$2:$A$1860,A27,'07导出'!$C$2:$C$1860,"206")</f>
        <v>0</v>
      </c>
      <c r="S27" s="46">
        <f>SUMIFS('07导出'!$G$2:$G$1860,'07导出'!$A$2:$A$1860,A27,'07导出'!$D$2:$D$1860,"20607")</f>
        <v>0</v>
      </c>
      <c r="T27" s="46">
        <f>SUMIFS('07导出'!$H$2:$H$1860,'07导出'!$A$2:$A$1860,A27,'07导出'!$D$2:$D$1860,"20607")</f>
        <v>0</v>
      </c>
      <c r="U27" s="46">
        <f>SUMIFS('07导出'!$G$2:$G$1860,'07导出'!$A$2:$A$1860,A27,'07导出'!$C$2:$C$1860,"208")</f>
        <v>26153465.18</v>
      </c>
      <c r="V27" s="46">
        <f>SUMIFS('07导出'!$H$2:$H$1860,'07导出'!$A$2:$A$1860,A27,'07导出'!$C$2:$C$1860,"208")</f>
        <v>22250354.739999998</v>
      </c>
      <c r="W27" s="46">
        <f>SUMIFS('07导出'!$G$2:$G$1860,'07导出'!$A$2:$A$1860,A27,'07导出'!$D$2:$D$1860,"20805")</f>
        <v>26153465.18</v>
      </c>
      <c r="X27" s="46">
        <f>SUMIFS('07导出'!$H$2:$H$1860,'07导出'!$A$2:$A$1860,A27,'07导出'!$D$2:$D$1860,"20805")</f>
        <v>22250354.739999998</v>
      </c>
      <c r="Y27" s="46">
        <f>SUMIFS('07导出'!$G$2:$G$1860,'07导出'!$A$2:$A$1860,A27,'07导出'!$D$2:$D$1860,"20808")</f>
        <v>0</v>
      </c>
      <c r="Z27" s="46">
        <f>SUMIFS('07导出'!$H$2:$H$1860,'07导出'!$A$2:$A$1860,A27,'07导出'!$D$2:$D$1860,"20808")</f>
        <v>0</v>
      </c>
      <c r="AA27" s="46">
        <f>SUMIFS('07导出'!$G$2:$G$1860,'07导出'!$A$2:$A$1860,A27,'07导出'!$C$2:$C$1860,"210")</f>
        <v>8303744.8200000003</v>
      </c>
      <c r="AB27" s="46">
        <f>SUMIFS('07导出'!$H$2:$H$1860,'07导出'!$A$2:$A$1860,A27,'07导出'!$C$2:$C$1860,"210")</f>
        <v>7800269.1799999997</v>
      </c>
      <c r="AC27" s="46">
        <f>SUMIFS('07导出'!$G$2:$G$1860,'07导出'!$A$2:$A$1860,A27,'07导出'!$D$2:$D$1860,"21011")</f>
        <v>8303744.8200000003</v>
      </c>
      <c r="AD27" s="46">
        <f>SUMIFS('07导出'!$H$2:$H$1860,'07导出'!$A$2:$A$1860,A27,'07导出'!$D$2:$D$1860,"21011")</f>
        <v>7800269.1799999997</v>
      </c>
      <c r="AE27" s="46">
        <f>SUMIFS('07导出'!$G$2:$G$1860,'07导出'!$A$2:$A$1860,A27,'07导出'!$C$2:$C$1860,"212")</f>
        <v>0</v>
      </c>
      <c r="AF27" s="46">
        <f>SUMIFS('07导出'!$H$2:$H$1860,'07导出'!$A$2:$A$1860,A27,'07导出'!$C$2:$C$1860,"212")</f>
        <v>0</v>
      </c>
      <c r="AG27" s="46">
        <f>SUMIFS('07导出'!$G$2:$G$1860,'07导出'!$A$2:$A$1860,A27,'07导出'!$D$2:$D$1860,"21203")</f>
        <v>0</v>
      </c>
      <c r="AH27" s="46">
        <f>SUMIFS('07导出'!$H$2:$H$1860,'07导出'!$A$2:$A$1860,A27,'07导出'!$D$2:$D$1860,"21203")</f>
        <v>0</v>
      </c>
      <c r="AI27" s="46">
        <f>SUMIFS('07导出'!$G$2:$G$1860,'07导出'!$A$2:$A$1860,A27,'07导出'!$C$2:$C$1860,"213")</f>
        <v>0</v>
      </c>
      <c r="AJ27" s="46">
        <f>SUMIFS('07导出'!$H$2:$H$1860,'07导出'!$A$2:$A$1860,A27,'07导出'!$C$2:$C$1860,"213")</f>
        <v>0</v>
      </c>
      <c r="AK27" s="46">
        <f>SUMIFS('07导出'!$G$2:$G$1860,'07导出'!$A$2:$A$1860,A27,'07导出'!$D$2:$D$1860,"21305")</f>
        <v>0</v>
      </c>
      <c r="AL27" s="46">
        <f>SUMIFS('07导出'!$H$2:$H$1860,'07导出'!$A$2:$A$1860,A27,'07导出'!$D$2:$D$1860,"21305")</f>
        <v>0</v>
      </c>
      <c r="AM27" s="46">
        <f>SUMIFS('07导出'!$G$2:$G$1860,'07导出'!$A$2:$A$1860,A27,'07导出'!$C$2:$C$1860,"221")</f>
        <v>16635242</v>
      </c>
      <c r="AN27" s="46">
        <f>SUMIFS('07导出'!$H$2:$H$1860,'07导出'!$A$2:$A$1860,A27,'07导出'!$C$2:$C$1860,"221")</f>
        <v>16659142.32</v>
      </c>
      <c r="AO27" s="46">
        <f>SUMIFS('07导出'!$G$2:$G$1860,'07导出'!$A$2:$A$1860,A27,'07导出'!$D$2:$D$1860,"22102")</f>
        <v>16635242</v>
      </c>
      <c r="AP27" s="46">
        <f>SUMIFS('07导出'!$H$2:$H$1860,'07导出'!$A$2:$A$1860,A27,'07导出'!$D$2:$D$1860,"22102")</f>
        <v>16659142.32</v>
      </c>
    </row>
    <row r="28" spans="1:42">
      <c r="A28" s="43">
        <v>255033</v>
      </c>
      <c r="B28" s="44" t="s">
        <v>27</v>
      </c>
      <c r="C28" s="45">
        <f>SUMIFS('07导出'!$G$2:$G$1860,'07导出'!$A$2:$A$1860,A28,'07导出'!$C$2:$C$1860,"205")</f>
        <v>98088470.829999998</v>
      </c>
      <c r="D28" s="45">
        <f>SUMIFS('07导出'!$H$2:$H$1860,'07导出'!$A$2:$A$1860,A28,'07导出'!$C$2:$C$1860,"205")</f>
        <v>72553318.040000007</v>
      </c>
      <c r="E28" s="46">
        <f>SUMIFS('07导出'!$G$2:$G$1860,'07导出'!$A$2:$A$1860,A28,'07导出'!$D$2:$D$1860,"20502")</f>
        <v>97284909.549999997</v>
      </c>
      <c r="F28" s="46">
        <f>SUMIFS('07导出'!$H$2:$H$1860,'07导出'!$A$2:$A$1860,A28,'07导出'!$D$2:$D$1860,"20502")</f>
        <v>71637564.760000005</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110400</v>
      </c>
      <c r="N28" s="46">
        <f>SUMIFS('07导出'!$H$2:$H$1860,'07导出'!$A$2:$A$1860,A28,'07导出'!$D$2:$D$1860,"20508")</f>
        <v>220800</v>
      </c>
      <c r="O28" s="46">
        <f>SUMIFS('07导出'!$G$2:$G$1860,'07导出'!$A$2:$A$1860,A28,'07导出'!$D$2:$D$1860,"20509")</f>
        <v>693161.28</v>
      </c>
      <c r="P28" s="46">
        <f>SUMIFS('07导出'!$H$2:$H$1860,'07导出'!$A$2:$A$1860,A28,'07导出'!$D$2:$D$1860,"20509")</f>
        <v>694953.28</v>
      </c>
      <c r="Q28" s="46">
        <f>SUMIFS('07导出'!$G$2:$G$1860,'07导出'!$A$2:$A$1860,A28,'07导出'!$C$2:$C$1860,"206")</f>
        <v>0</v>
      </c>
      <c r="R28" s="46">
        <f>SUMIFS('07导出'!$H$2:$H$1860,'07导出'!$A$2:$A$1860,A28,'07导出'!$C$2:$C$1860,"206")</f>
        <v>0</v>
      </c>
      <c r="S28" s="46">
        <f>SUMIFS('07导出'!$G$2:$G$1860,'07导出'!$A$2:$A$1860,A28,'07导出'!$D$2:$D$1860,"20607")</f>
        <v>0</v>
      </c>
      <c r="T28" s="46">
        <f>SUMIFS('07导出'!$H$2:$H$1860,'07导出'!$A$2:$A$1860,A28,'07导出'!$D$2:$D$1860,"20607")</f>
        <v>0</v>
      </c>
      <c r="U28" s="46">
        <f>SUMIFS('07导出'!$G$2:$G$1860,'07导出'!$A$2:$A$1860,A28,'07导出'!$C$2:$C$1860,"208")</f>
        <v>22163882.949999999</v>
      </c>
      <c r="V28" s="46">
        <f>SUMIFS('07导出'!$H$2:$H$1860,'07导出'!$A$2:$A$1860,A28,'07导出'!$C$2:$C$1860,"208")</f>
        <v>20348291.719999999</v>
      </c>
      <c r="W28" s="46">
        <f>SUMIFS('07导出'!$G$2:$G$1860,'07导出'!$A$2:$A$1860,A28,'07导出'!$D$2:$D$1860,"20805")</f>
        <v>21943820.949999999</v>
      </c>
      <c r="X28" s="46">
        <f>SUMIFS('07导出'!$H$2:$H$1860,'07导出'!$A$2:$A$1860,A28,'07导出'!$D$2:$D$1860,"20805")</f>
        <v>20348291.719999999</v>
      </c>
      <c r="Y28" s="46">
        <f>SUMIFS('07导出'!$G$2:$G$1860,'07导出'!$A$2:$A$1860,A28,'07导出'!$D$2:$D$1860,"20808")</f>
        <v>220062</v>
      </c>
      <c r="Z28" s="46">
        <f>SUMIFS('07导出'!$H$2:$H$1860,'07导出'!$A$2:$A$1860,A28,'07导出'!$D$2:$D$1860,"20808")</f>
        <v>0</v>
      </c>
      <c r="AA28" s="46">
        <f>SUMIFS('07导出'!$G$2:$G$1860,'07导出'!$A$2:$A$1860,A28,'07导出'!$C$2:$C$1860,"210")</f>
        <v>8309857.2800000003</v>
      </c>
      <c r="AB28" s="46">
        <f>SUMIFS('07导出'!$H$2:$H$1860,'07导出'!$A$2:$A$1860,A28,'07导出'!$C$2:$C$1860,"210")</f>
        <v>7206356.7400000002</v>
      </c>
      <c r="AC28" s="46">
        <f>SUMIFS('07导出'!$G$2:$G$1860,'07导出'!$A$2:$A$1860,A28,'07导出'!$D$2:$D$1860,"21011")</f>
        <v>8309857.2800000003</v>
      </c>
      <c r="AD28" s="46">
        <f>SUMIFS('07导出'!$H$2:$H$1860,'07导出'!$A$2:$A$1860,A28,'07导出'!$D$2:$D$1860,"21011")</f>
        <v>7206356.7400000002</v>
      </c>
      <c r="AE28" s="46">
        <f>SUMIFS('07导出'!$G$2:$G$1860,'07导出'!$A$2:$A$1860,A28,'07导出'!$C$2:$C$1860,"212")</f>
        <v>0</v>
      </c>
      <c r="AF28" s="46">
        <f>SUMIFS('07导出'!$H$2:$H$1860,'07导出'!$A$2:$A$1860,A28,'07导出'!$C$2:$C$1860,"212")</f>
        <v>0</v>
      </c>
      <c r="AG28" s="46">
        <f>SUMIFS('07导出'!$G$2:$G$1860,'07导出'!$A$2:$A$1860,A28,'07导出'!$D$2:$D$1860,"21203")</f>
        <v>0</v>
      </c>
      <c r="AH28" s="46">
        <f>SUMIFS('07导出'!$H$2:$H$1860,'07导出'!$A$2:$A$1860,A28,'07导出'!$D$2:$D$1860,"21203")</f>
        <v>0</v>
      </c>
      <c r="AI28" s="46">
        <f>SUMIFS('07导出'!$G$2:$G$1860,'07导出'!$A$2:$A$1860,A28,'07导出'!$C$2:$C$1860,"213")</f>
        <v>0</v>
      </c>
      <c r="AJ28" s="46">
        <f>SUMIFS('07导出'!$H$2:$H$1860,'07导出'!$A$2:$A$1860,A28,'07导出'!$C$2:$C$1860,"213")</f>
        <v>0</v>
      </c>
      <c r="AK28" s="46">
        <f>SUMIFS('07导出'!$G$2:$G$1860,'07导出'!$A$2:$A$1860,A28,'07导出'!$D$2:$D$1860,"21305")</f>
        <v>0</v>
      </c>
      <c r="AL28" s="46">
        <f>SUMIFS('07导出'!$H$2:$H$1860,'07导出'!$A$2:$A$1860,A28,'07导出'!$D$2:$D$1860,"21305")</f>
        <v>0</v>
      </c>
      <c r="AM28" s="46">
        <f>SUMIFS('07导出'!$G$2:$G$1860,'07导出'!$A$2:$A$1860,A28,'07导出'!$C$2:$C$1860,"221")</f>
        <v>15806496</v>
      </c>
      <c r="AN28" s="46">
        <f>SUMIFS('07导出'!$H$2:$H$1860,'07导出'!$A$2:$A$1860,A28,'07导出'!$C$2:$C$1860,"221")</f>
        <v>14478299.76</v>
      </c>
      <c r="AO28" s="46">
        <f>SUMIFS('07导出'!$G$2:$G$1860,'07导出'!$A$2:$A$1860,A28,'07导出'!$D$2:$D$1860,"22102")</f>
        <v>15806496</v>
      </c>
      <c r="AP28" s="46">
        <f>SUMIFS('07导出'!$H$2:$H$1860,'07导出'!$A$2:$A$1860,A28,'07导出'!$D$2:$D$1860,"22102")</f>
        <v>14478299.76</v>
      </c>
    </row>
    <row r="29" spans="1:42">
      <c r="A29" s="43">
        <v>255034</v>
      </c>
      <c r="B29" s="44" t="s">
        <v>28</v>
      </c>
      <c r="C29" s="45">
        <f>SUMIFS('07导出'!$G$2:$G$1860,'07导出'!$A$2:$A$1860,A29,'07导出'!$C$2:$C$1860,"205")</f>
        <v>34857510.700000003</v>
      </c>
      <c r="D29" s="45">
        <f>SUMIFS('07导出'!$H$2:$H$1860,'07导出'!$A$2:$A$1860,A29,'07导出'!$C$2:$C$1860,"205")</f>
        <v>30060362.790000003</v>
      </c>
      <c r="E29" s="46">
        <f>SUMIFS('07导出'!$G$2:$G$1860,'07导出'!$A$2:$A$1860,A29,'07导出'!$D$2:$D$1860,"20502")</f>
        <v>34104046.700000003</v>
      </c>
      <c r="F29" s="46">
        <f>SUMIFS('07导出'!$H$2:$H$1860,'07导出'!$A$2:$A$1860,A29,'07导出'!$D$2:$D$1860,"20502")</f>
        <v>29206862.790000003</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0</v>
      </c>
      <c r="N29" s="46">
        <f>SUMIFS('07导出'!$H$2:$H$1860,'07导出'!$A$2:$A$1860,A29,'07导出'!$D$2:$D$1860,"20508")</f>
        <v>84000</v>
      </c>
      <c r="O29" s="46">
        <f>SUMIFS('07导出'!$G$2:$G$1860,'07导出'!$A$2:$A$1860,A29,'07导出'!$D$2:$D$1860,"20509")</f>
        <v>753464</v>
      </c>
      <c r="P29" s="46">
        <f>SUMIFS('07导出'!$H$2:$H$1860,'07导出'!$A$2:$A$1860,A29,'07导出'!$D$2:$D$1860,"20509")</f>
        <v>769500</v>
      </c>
      <c r="Q29" s="46">
        <f>SUMIFS('07导出'!$G$2:$G$1860,'07导出'!$A$2:$A$1860,A29,'07导出'!$C$2:$C$1860,"206")</f>
        <v>0</v>
      </c>
      <c r="R29" s="46">
        <f>SUMIFS('07导出'!$H$2:$H$1860,'07导出'!$A$2:$A$1860,A29,'07导出'!$C$2:$C$1860,"206")</f>
        <v>0</v>
      </c>
      <c r="S29" s="46">
        <f>SUMIFS('07导出'!$G$2:$G$1860,'07导出'!$A$2:$A$1860,A29,'07导出'!$D$2:$D$1860,"20607")</f>
        <v>0</v>
      </c>
      <c r="T29" s="46">
        <f>SUMIFS('07导出'!$H$2:$H$1860,'07导出'!$A$2:$A$1860,A29,'07导出'!$D$2:$D$1860,"20607")</f>
        <v>0</v>
      </c>
      <c r="U29" s="46">
        <f>SUMIFS('07导出'!$G$2:$G$1860,'07导出'!$A$2:$A$1860,A29,'07导出'!$C$2:$C$1860,"208")</f>
        <v>4617239.1999999993</v>
      </c>
      <c r="V29" s="46">
        <f>SUMIFS('07导出'!$H$2:$H$1860,'07导出'!$A$2:$A$1860,A29,'07导出'!$C$2:$C$1860,"208")</f>
        <v>4873371.8000000007</v>
      </c>
      <c r="W29" s="46">
        <f>SUMIFS('07导出'!$G$2:$G$1860,'07导出'!$A$2:$A$1860,A29,'07导出'!$D$2:$D$1860,"20805")</f>
        <v>4617239.1999999993</v>
      </c>
      <c r="X29" s="46">
        <f>SUMIFS('07导出'!$H$2:$H$1860,'07导出'!$A$2:$A$1860,A29,'07导出'!$D$2:$D$1860,"20805")</f>
        <v>4873371.8000000007</v>
      </c>
      <c r="Y29" s="46">
        <f>SUMIFS('07导出'!$G$2:$G$1860,'07导出'!$A$2:$A$1860,A29,'07导出'!$D$2:$D$1860,"20808")</f>
        <v>0</v>
      </c>
      <c r="Z29" s="46">
        <f>SUMIFS('07导出'!$H$2:$H$1860,'07导出'!$A$2:$A$1860,A29,'07导出'!$D$2:$D$1860,"20808")</f>
        <v>0</v>
      </c>
      <c r="AA29" s="46">
        <f>SUMIFS('07导出'!$G$2:$G$1860,'07导出'!$A$2:$A$1860,A29,'07导出'!$C$2:$C$1860,"210")</f>
        <v>2389181.5499999998</v>
      </c>
      <c r="AB29" s="46">
        <f>SUMIFS('07导出'!$H$2:$H$1860,'07导出'!$A$2:$A$1860,A29,'07导出'!$C$2:$C$1860,"210")</f>
        <v>2016531.1</v>
      </c>
      <c r="AC29" s="46">
        <f>SUMIFS('07导出'!$G$2:$G$1860,'07导出'!$A$2:$A$1860,A29,'07导出'!$D$2:$D$1860,"21011")</f>
        <v>2389181.5499999998</v>
      </c>
      <c r="AD29" s="46">
        <f>SUMIFS('07导出'!$H$2:$H$1860,'07导出'!$A$2:$A$1860,A29,'07导出'!$D$2:$D$1860,"21011")</f>
        <v>2016531.1</v>
      </c>
      <c r="AE29" s="46">
        <f>SUMIFS('07导出'!$G$2:$G$1860,'07导出'!$A$2:$A$1860,A29,'07导出'!$C$2:$C$1860,"212")</f>
        <v>0</v>
      </c>
      <c r="AF29" s="46">
        <f>SUMIFS('07导出'!$H$2:$H$1860,'07导出'!$A$2:$A$1860,A29,'07导出'!$C$2:$C$1860,"212")</f>
        <v>0</v>
      </c>
      <c r="AG29" s="46">
        <f>SUMIFS('07导出'!$G$2:$G$1860,'07导出'!$A$2:$A$1860,A29,'07导出'!$D$2:$D$1860,"21203")</f>
        <v>0</v>
      </c>
      <c r="AH29" s="46">
        <f>SUMIFS('07导出'!$H$2:$H$1860,'07导出'!$A$2:$A$1860,A29,'07导出'!$D$2:$D$1860,"21203")</f>
        <v>0</v>
      </c>
      <c r="AI29" s="46">
        <f>SUMIFS('07导出'!$G$2:$G$1860,'07导出'!$A$2:$A$1860,A29,'07导出'!$C$2:$C$1860,"213")</f>
        <v>0</v>
      </c>
      <c r="AJ29" s="46">
        <f>SUMIFS('07导出'!$H$2:$H$1860,'07导出'!$A$2:$A$1860,A29,'07导出'!$C$2:$C$1860,"213")</f>
        <v>0</v>
      </c>
      <c r="AK29" s="46">
        <f>SUMIFS('07导出'!$G$2:$G$1860,'07导出'!$A$2:$A$1860,A29,'07导出'!$D$2:$D$1860,"21305")</f>
        <v>0</v>
      </c>
      <c r="AL29" s="46">
        <f>SUMIFS('07导出'!$H$2:$H$1860,'07导出'!$A$2:$A$1860,A29,'07导出'!$D$2:$D$1860,"21305")</f>
        <v>0</v>
      </c>
      <c r="AM29" s="46">
        <f>SUMIFS('07导出'!$G$2:$G$1860,'07导出'!$A$2:$A$1860,A29,'07导出'!$C$2:$C$1860,"221")</f>
        <v>5451566.96</v>
      </c>
      <c r="AN29" s="46">
        <f>SUMIFS('07导出'!$H$2:$H$1860,'07导出'!$A$2:$A$1860,A29,'07导出'!$C$2:$C$1860,"221")</f>
        <v>5251005.3599999994</v>
      </c>
      <c r="AO29" s="46">
        <f>SUMIFS('07导出'!$G$2:$G$1860,'07导出'!$A$2:$A$1860,A29,'07导出'!$D$2:$D$1860,"22102")</f>
        <v>5451566.96</v>
      </c>
      <c r="AP29" s="46">
        <f>SUMIFS('07导出'!$H$2:$H$1860,'07导出'!$A$2:$A$1860,A29,'07导出'!$D$2:$D$1860,"22102")</f>
        <v>5251005.3599999994</v>
      </c>
    </row>
    <row r="30" spans="1:42">
      <c r="A30" s="43">
        <v>255035</v>
      </c>
      <c r="B30" s="44" t="s">
        <v>29</v>
      </c>
      <c r="C30" s="45">
        <f>SUMIFS('07导出'!$G$2:$G$1860,'07导出'!$A$2:$A$1860,A30,'07导出'!$C$2:$C$1860,"205")</f>
        <v>20757097.329999998</v>
      </c>
      <c r="D30" s="45">
        <f>SUMIFS('07导出'!$H$2:$H$1860,'07导出'!$A$2:$A$1860,A30,'07导出'!$C$2:$C$1860,"205")</f>
        <v>16184280.640000001</v>
      </c>
      <c r="E30" s="46">
        <f>SUMIFS('07导出'!$G$2:$G$1860,'07导出'!$A$2:$A$1860,A30,'07导出'!$D$2:$D$1860,"20502")</f>
        <v>19707787.329999998</v>
      </c>
      <c r="F30" s="46">
        <f>SUMIFS('07导出'!$H$2:$H$1860,'07导出'!$A$2:$A$1860,A30,'07导出'!$D$2:$D$1860,"20502")</f>
        <v>15083770.640000001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51200</v>
      </c>
      <c r="O30" s="46">
        <f>SUMIFS('07导出'!$G$2:$G$1860,'07导出'!$A$2:$A$1860,A30,'07导出'!$D$2:$D$1860,"20509")</f>
        <v>1049310</v>
      </c>
      <c r="P30" s="46">
        <f>SUMIFS('07导出'!$H$2:$H$1860,'07导出'!$A$2:$A$1860,A30,'07导出'!$D$2:$D$1860,"20509")</f>
        <v>1049310</v>
      </c>
      <c r="Q30" s="46">
        <f>SUMIFS('07导出'!$G$2:$G$1860,'07导出'!$A$2:$A$1860,A30,'07导出'!$C$2:$C$1860,"206")</f>
        <v>0</v>
      </c>
      <c r="R30" s="46">
        <f>SUMIFS('07导出'!$H$2:$H$1860,'07导出'!$A$2:$A$1860,A30,'07导出'!$C$2:$C$1860,"206")</f>
        <v>0</v>
      </c>
      <c r="S30" s="46">
        <f>SUMIFS('07导出'!$G$2:$G$1860,'07导出'!$A$2:$A$1860,A30,'07导出'!$D$2:$D$1860,"20607")</f>
        <v>0</v>
      </c>
      <c r="T30" s="46">
        <f>SUMIFS('07导出'!$H$2:$H$1860,'07导出'!$A$2:$A$1860,A30,'07导出'!$D$2:$D$1860,"20607")</f>
        <v>0</v>
      </c>
      <c r="U30" s="46">
        <f>SUMIFS('07导出'!$G$2:$G$1860,'07导出'!$A$2:$A$1860,A30,'07导出'!$C$2:$C$1860,"208")</f>
        <v>2678021.1200000001</v>
      </c>
      <c r="V30" s="46">
        <f>SUMIFS('07导出'!$H$2:$H$1860,'07导出'!$A$2:$A$1860,A30,'07导出'!$C$2:$C$1860,"208")</f>
        <v>2683143.6800000002</v>
      </c>
      <c r="W30" s="46">
        <f>SUMIFS('07导出'!$G$2:$G$1860,'07导出'!$A$2:$A$1860,A30,'07导出'!$D$2:$D$1860,"20805")</f>
        <v>2678021.1200000001</v>
      </c>
      <c r="X30" s="46">
        <f>SUMIFS('07导出'!$H$2:$H$1860,'07导出'!$A$2:$A$1860,A30,'07导出'!$D$2:$D$1860,"20805")</f>
        <v>2683143.6800000002</v>
      </c>
      <c r="Y30" s="46">
        <f>SUMIFS('07导出'!$G$2:$G$1860,'07导出'!$A$2:$A$1860,A30,'07导出'!$D$2:$D$1860,"20808")</f>
        <v>0</v>
      </c>
      <c r="Z30" s="46">
        <f>SUMIFS('07导出'!$H$2:$H$1860,'07导出'!$A$2:$A$1860,A30,'07导出'!$D$2:$D$1860,"20808")</f>
        <v>0</v>
      </c>
      <c r="AA30" s="46">
        <f>SUMIFS('07导出'!$G$2:$G$1860,'07导出'!$A$2:$A$1860,A30,'07导出'!$C$2:$C$1860,"210")</f>
        <v>1447447.16</v>
      </c>
      <c r="AB30" s="46">
        <f>SUMIFS('07导出'!$H$2:$H$1860,'07导出'!$A$2:$A$1860,A30,'07导出'!$C$2:$C$1860,"210")</f>
        <v>1114045.6599999999</v>
      </c>
      <c r="AC30" s="46">
        <f>SUMIFS('07导出'!$G$2:$G$1860,'07导出'!$A$2:$A$1860,A30,'07导出'!$D$2:$D$1860,"21011")</f>
        <v>1447447.16</v>
      </c>
      <c r="AD30" s="46">
        <f>SUMIFS('07导出'!$H$2:$H$1860,'07导出'!$A$2:$A$1860,A30,'07导出'!$D$2:$D$1860,"21011")</f>
        <v>1114045.6599999999</v>
      </c>
      <c r="AE30" s="46">
        <f>SUMIFS('07导出'!$G$2:$G$1860,'07导出'!$A$2:$A$1860,A30,'07导出'!$C$2:$C$1860,"212")</f>
        <v>0</v>
      </c>
      <c r="AF30" s="46">
        <f>SUMIFS('07导出'!$H$2:$H$1860,'07导出'!$A$2:$A$1860,A30,'07导出'!$C$2:$C$1860,"212")</f>
        <v>0</v>
      </c>
      <c r="AG30" s="46">
        <f>SUMIFS('07导出'!$G$2:$G$1860,'07导出'!$A$2:$A$1860,A30,'07导出'!$D$2:$D$1860,"21203")</f>
        <v>0</v>
      </c>
      <c r="AH30" s="46">
        <f>SUMIFS('07导出'!$H$2:$H$1860,'07导出'!$A$2:$A$1860,A30,'07导出'!$D$2:$D$1860,"21203")</f>
        <v>0</v>
      </c>
      <c r="AI30" s="46">
        <f>SUMIFS('07导出'!$G$2:$G$1860,'07导出'!$A$2:$A$1860,A30,'07导出'!$C$2:$C$1860,"213")</f>
        <v>0</v>
      </c>
      <c r="AJ30" s="46">
        <f>SUMIFS('07导出'!$H$2:$H$1860,'07导出'!$A$2:$A$1860,A30,'07导出'!$C$2:$C$1860,"213")</f>
        <v>0</v>
      </c>
      <c r="AK30" s="46">
        <f>SUMIFS('07导出'!$G$2:$G$1860,'07导出'!$A$2:$A$1860,A30,'07导出'!$D$2:$D$1860,"21305")</f>
        <v>0</v>
      </c>
      <c r="AL30" s="46">
        <f>SUMIFS('07导出'!$H$2:$H$1860,'07导出'!$A$2:$A$1860,A30,'07导出'!$D$2:$D$1860,"21305")</f>
        <v>0</v>
      </c>
      <c r="AM30" s="46">
        <f>SUMIFS('07导出'!$G$2:$G$1860,'07导出'!$A$2:$A$1860,A30,'07导出'!$C$2:$C$1860,"221")</f>
        <v>3422602.2</v>
      </c>
      <c r="AN30" s="46">
        <f>SUMIFS('07导出'!$H$2:$H$1860,'07导出'!$A$2:$A$1860,A30,'07导出'!$C$2:$C$1860,"221")</f>
        <v>3061313.04</v>
      </c>
      <c r="AO30" s="46">
        <f>SUMIFS('07导出'!$G$2:$G$1860,'07导出'!$A$2:$A$1860,A30,'07导出'!$D$2:$D$1860,"22102")</f>
        <v>3422602.2</v>
      </c>
      <c r="AP30" s="46">
        <f>SUMIFS('07导出'!$H$2:$H$1860,'07导出'!$A$2:$A$1860,A30,'07导出'!$D$2:$D$1860,"22102")</f>
        <v>3061313.04</v>
      </c>
    </row>
    <row r="31" spans="1:42">
      <c r="A31" s="43">
        <v>255036</v>
      </c>
      <c r="B31" s="44" t="s">
        <v>30</v>
      </c>
      <c r="C31" s="45">
        <f>SUMIFS('07导出'!$G$2:$G$1860,'07导出'!$A$2:$A$1860,A31,'07导出'!$C$2:$C$1860,"205")</f>
        <v>12153561.24</v>
      </c>
      <c r="D31" s="45">
        <f>SUMIFS('07导出'!$H$2:$H$1860,'07导出'!$A$2:$A$1860,A31,'07导出'!$C$2:$C$1860,"205")</f>
        <v>10032015.18</v>
      </c>
      <c r="E31" s="46">
        <f>SUMIFS('07导出'!$G$2:$G$1860,'07导出'!$A$2:$A$1860,A31,'07导出'!$D$2:$D$1860,"20502")</f>
        <v>11943561.24</v>
      </c>
      <c r="F31" s="46">
        <f>SUMIFS('07导出'!$H$2:$H$1860,'07导出'!$A$2:$A$1860,A31,'07导出'!$D$2:$D$1860,"20502")</f>
        <v>9794015.1799999997</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0</v>
      </c>
      <c r="N31" s="46">
        <f>SUMIFS('07导出'!$H$2:$H$1860,'07导出'!$A$2:$A$1860,A31,'07导出'!$D$2:$D$1860,"20508")</f>
        <v>28000</v>
      </c>
      <c r="O31" s="46">
        <f>SUMIFS('07导出'!$G$2:$G$1860,'07导出'!$A$2:$A$1860,A31,'07导出'!$D$2:$D$1860,"20509")</f>
        <v>210000</v>
      </c>
      <c r="P31" s="46">
        <f>SUMIFS('07导出'!$H$2:$H$1860,'07导出'!$A$2:$A$1860,A31,'07导出'!$D$2:$D$1860,"20509")</f>
        <v>210000</v>
      </c>
      <c r="Q31" s="46">
        <f>SUMIFS('07导出'!$G$2:$G$1860,'07导出'!$A$2:$A$1860,A31,'07导出'!$C$2:$C$1860,"206")</f>
        <v>0</v>
      </c>
      <c r="R31" s="46">
        <f>SUMIFS('07导出'!$H$2:$H$1860,'07导出'!$A$2:$A$1860,A31,'07导出'!$C$2:$C$1860,"206")</f>
        <v>0</v>
      </c>
      <c r="S31" s="46">
        <f>SUMIFS('07导出'!$G$2:$G$1860,'07导出'!$A$2:$A$1860,A31,'07导出'!$D$2:$D$1860,"20607")</f>
        <v>0</v>
      </c>
      <c r="T31" s="46">
        <f>SUMIFS('07导出'!$H$2:$H$1860,'07导出'!$A$2:$A$1860,A31,'07导出'!$D$2:$D$1860,"20607")</f>
        <v>0</v>
      </c>
      <c r="U31" s="46">
        <f>SUMIFS('07导出'!$G$2:$G$1860,'07导出'!$A$2:$A$1860,A31,'07导出'!$C$2:$C$1860,"208")</f>
        <v>1985110.12</v>
      </c>
      <c r="V31" s="46">
        <f>SUMIFS('07导出'!$H$2:$H$1860,'07导出'!$A$2:$A$1860,A31,'07导出'!$C$2:$C$1860,"208")</f>
        <v>1727599.44</v>
      </c>
      <c r="W31" s="46">
        <f>SUMIFS('07导出'!$G$2:$G$1860,'07导出'!$A$2:$A$1860,A31,'07导出'!$D$2:$D$1860,"20805")</f>
        <v>1985110.12</v>
      </c>
      <c r="X31" s="46">
        <f>SUMIFS('07导出'!$H$2:$H$1860,'07导出'!$A$2:$A$1860,A31,'07导出'!$D$2:$D$1860,"20805")</f>
        <v>1727599.44</v>
      </c>
      <c r="Y31" s="46">
        <f>SUMIFS('07导出'!$G$2:$G$1860,'07导出'!$A$2:$A$1860,A31,'07导出'!$D$2:$D$1860,"20808")</f>
        <v>0</v>
      </c>
      <c r="Z31" s="46">
        <f>SUMIFS('07导出'!$H$2:$H$1860,'07导出'!$A$2:$A$1860,A31,'07导出'!$D$2:$D$1860,"20808")</f>
        <v>0</v>
      </c>
      <c r="AA31" s="46">
        <f>SUMIFS('07导出'!$G$2:$G$1860,'07导出'!$A$2:$A$1860,A31,'07导出'!$C$2:$C$1860,"210")</f>
        <v>867755.26</v>
      </c>
      <c r="AB31" s="46">
        <f>SUMIFS('07导出'!$H$2:$H$1860,'07导出'!$A$2:$A$1860,A31,'07导出'!$C$2:$C$1860,"210")</f>
        <v>711094.28</v>
      </c>
      <c r="AC31" s="46">
        <f>SUMIFS('07导出'!$G$2:$G$1860,'07导出'!$A$2:$A$1860,A31,'07导出'!$D$2:$D$1860,"21011")</f>
        <v>867755.26</v>
      </c>
      <c r="AD31" s="46">
        <f>SUMIFS('07导出'!$H$2:$H$1860,'07导出'!$A$2:$A$1860,A31,'07导出'!$D$2:$D$1860,"21011")</f>
        <v>711094.28</v>
      </c>
      <c r="AE31" s="46">
        <f>SUMIFS('07导出'!$G$2:$G$1860,'07导出'!$A$2:$A$1860,A31,'07导出'!$C$2:$C$1860,"212")</f>
        <v>0</v>
      </c>
      <c r="AF31" s="46">
        <f>SUMIFS('07导出'!$H$2:$H$1860,'07导出'!$A$2:$A$1860,A31,'07导出'!$C$2:$C$1860,"212")</f>
        <v>0</v>
      </c>
      <c r="AG31" s="46">
        <f>SUMIFS('07导出'!$G$2:$G$1860,'07导出'!$A$2:$A$1860,A31,'07导出'!$D$2:$D$1860,"21203")</f>
        <v>0</v>
      </c>
      <c r="AH31" s="46">
        <f>SUMIFS('07导出'!$H$2:$H$1860,'07导出'!$A$2:$A$1860,A31,'07导出'!$D$2:$D$1860,"21203")</f>
        <v>0</v>
      </c>
      <c r="AI31" s="46">
        <f>SUMIFS('07导出'!$G$2:$G$1860,'07导出'!$A$2:$A$1860,A31,'07导出'!$C$2:$C$1860,"213")</f>
        <v>0</v>
      </c>
      <c r="AJ31" s="46">
        <f>SUMIFS('07导出'!$H$2:$H$1860,'07导出'!$A$2:$A$1860,A31,'07导出'!$C$2:$C$1860,"213")</f>
        <v>0</v>
      </c>
      <c r="AK31" s="46">
        <f>SUMIFS('07导出'!$G$2:$G$1860,'07导出'!$A$2:$A$1860,A31,'07导出'!$D$2:$D$1860,"21305")</f>
        <v>0</v>
      </c>
      <c r="AL31" s="46">
        <f>SUMIFS('07导出'!$H$2:$H$1860,'07导出'!$A$2:$A$1860,A31,'07导出'!$D$2:$D$1860,"21305")</f>
        <v>0</v>
      </c>
      <c r="AM31" s="46">
        <f>SUMIFS('07导出'!$G$2:$G$1860,'07导出'!$A$2:$A$1860,A31,'07导出'!$C$2:$C$1860,"221")</f>
        <v>1903534</v>
      </c>
      <c r="AN31" s="46">
        <f>SUMIFS('07导出'!$H$2:$H$1860,'07导出'!$A$2:$A$1860,A31,'07导出'!$C$2:$C$1860,"221")</f>
        <v>1709868.72</v>
      </c>
      <c r="AO31" s="46">
        <f>SUMIFS('07导出'!$G$2:$G$1860,'07导出'!$A$2:$A$1860,A31,'07导出'!$D$2:$D$1860,"22102")</f>
        <v>1903534</v>
      </c>
      <c r="AP31" s="46">
        <f>SUMIFS('07导出'!$H$2:$H$1860,'07导出'!$A$2:$A$1860,A31,'07导出'!$D$2:$D$1860,"22102")</f>
        <v>1709868.72</v>
      </c>
    </row>
    <row r="32" spans="1:42">
      <c r="A32" s="43">
        <v>255038</v>
      </c>
      <c r="B32" s="44" t="s">
        <v>31</v>
      </c>
      <c r="C32" s="45">
        <f>SUMIFS('07导出'!$G$2:$G$1860,'07导出'!$A$2:$A$1860,A32,'07导出'!$C$2:$C$1860,"205")</f>
        <v>21817263.449999999</v>
      </c>
      <c r="D32" s="45">
        <f>SUMIFS('07导出'!$H$2:$H$1860,'07导出'!$A$2:$A$1860,A32,'07导出'!$C$2:$C$1860,"205")</f>
        <v>16994981.52</v>
      </c>
      <c r="E32" s="46">
        <f>SUMIFS('07导出'!$G$2:$G$1860,'07导出'!$A$2:$A$1860,A32,'07导出'!$D$2:$D$1860,"20502")</f>
        <v>21595863.449999999</v>
      </c>
      <c r="F32" s="46">
        <f>SUMIFS('07导出'!$H$2:$H$1860,'07导出'!$A$2:$A$1860,A32,'07导出'!$D$2:$D$1860,"20502")</f>
        <v>16722381.52</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51200</v>
      </c>
      <c r="O32" s="46">
        <f>SUMIFS('07导出'!$G$2:$G$1860,'07导出'!$A$2:$A$1860,A32,'07导出'!$D$2:$D$1860,"20509")</f>
        <v>221400</v>
      </c>
      <c r="P32" s="46">
        <f>SUMIFS('07导出'!$H$2:$H$1860,'07导出'!$A$2:$A$1860,A32,'07导出'!$D$2:$D$1860,"20509")</f>
        <v>221400</v>
      </c>
      <c r="Q32" s="46">
        <f>SUMIFS('07导出'!$G$2:$G$1860,'07导出'!$A$2:$A$1860,A32,'07导出'!$C$2:$C$1860,"206")</f>
        <v>0</v>
      </c>
      <c r="R32" s="46">
        <f>SUMIFS('07导出'!$H$2:$H$1860,'07导出'!$A$2:$A$1860,A32,'07导出'!$C$2:$C$1860,"206")</f>
        <v>0</v>
      </c>
      <c r="S32" s="46">
        <f>SUMIFS('07导出'!$G$2:$G$1860,'07导出'!$A$2:$A$1860,A32,'07导出'!$D$2:$D$1860,"20607")</f>
        <v>0</v>
      </c>
      <c r="T32" s="46">
        <f>SUMIFS('07导出'!$H$2:$H$1860,'07导出'!$A$2:$A$1860,A32,'07导出'!$D$2:$D$1860,"20607")</f>
        <v>0</v>
      </c>
      <c r="U32" s="46">
        <f>SUMIFS('07导出'!$G$2:$G$1860,'07导出'!$A$2:$A$1860,A32,'07导出'!$C$2:$C$1860,"208")</f>
        <v>3834454.41</v>
      </c>
      <c r="V32" s="46">
        <f>SUMIFS('07导出'!$H$2:$H$1860,'07导出'!$A$2:$A$1860,A32,'07导出'!$C$2:$C$1860,"208")</f>
        <v>3128978.6399999997</v>
      </c>
      <c r="W32" s="46">
        <f>SUMIFS('07导出'!$G$2:$G$1860,'07导出'!$A$2:$A$1860,A32,'07导出'!$D$2:$D$1860,"20805")</f>
        <v>3834454.41</v>
      </c>
      <c r="X32" s="46">
        <f>SUMIFS('07导出'!$H$2:$H$1860,'07导出'!$A$2:$A$1860,A32,'07导出'!$D$2:$D$1860,"20805")</f>
        <v>3128978.6399999997</v>
      </c>
      <c r="Y32" s="46">
        <f>SUMIFS('07导出'!$G$2:$G$1860,'07导出'!$A$2:$A$1860,A32,'07导出'!$D$2:$D$1860,"20808")</f>
        <v>0</v>
      </c>
      <c r="Z32" s="46">
        <f>SUMIFS('07导出'!$H$2:$H$1860,'07导出'!$A$2:$A$1860,A32,'07导出'!$D$2:$D$1860,"20808")</f>
        <v>0</v>
      </c>
      <c r="AA32" s="46">
        <f>SUMIFS('07导出'!$G$2:$G$1860,'07导出'!$A$2:$A$1860,A32,'07导出'!$C$2:$C$1860,"210")</f>
        <v>1508031.74</v>
      </c>
      <c r="AB32" s="46">
        <f>SUMIFS('07导出'!$H$2:$H$1860,'07导出'!$A$2:$A$1860,A32,'07导出'!$C$2:$C$1860,"210")</f>
        <v>1128921.43</v>
      </c>
      <c r="AC32" s="46">
        <f>SUMIFS('07导出'!$G$2:$G$1860,'07导出'!$A$2:$A$1860,A32,'07导出'!$D$2:$D$1860,"21011")</f>
        <v>1508031.74</v>
      </c>
      <c r="AD32" s="46">
        <f>SUMIFS('07导出'!$H$2:$H$1860,'07导出'!$A$2:$A$1860,A32,'07导出'!$D$2:$D$1860,"21011")</f>
        <v>1128921.43</v>
      </c>
      <c r="AE32" s="46">
        <f>SUMIFS('07导出'!$G$2:$G$1860,'07导出'!$A$2:$A$1860,A32,'07导出'!$C$2:$C$1860,"212")</f>
        <v>0</v>
      </c>
      <c r="AF32" s="46">
        <f>SUMIFS('07导出'!$H$2:$H$1860,'07导出'!$A$2:$A$1860,A32,'07导出'!$C$2:$C$1860,"212")</f>
        <v>0</v>
      </c>
      <c r="AG32" s="46">
        <f>SUMIFS('07导出'!$G$2:$G$1860,'07导出'!$A$2:$A$1860,A32,'07导出'!$D$2:$D$1860,"21203")</f>
        <v>0</v>
      </c>
      <c r="AH32" s="46">
        <f>SUMIFS('07导出'!$H$2:$H$1860,'07导出'!$A$2:$A$1860,A32,'07导出'!$D$2:$D$1860,"21203")</f>
        <v>0</v>
      </c>
      <c r="AI32" s="46">
        <f>SUMIFS('07导出'!$G$2:$G$1860,'07导出'!$A$2:$A$1860,A32,'07导出'!$C$2:$C$1860,"213")</f>
        <v>0</v>
      </c>
      <c r="AJ32" s="46">
        <f>SUMIFS('07导出'!$H$2:$H$1860,'07导出'!$A$2:$A$1860,A32,'07导出'!$C$2:$C$1860,"213")</f>
        <v>0</v>
      </c>
      <c r="AK32" s="46">
        <f>SUMIFS('07导出'!$G$2:$G$1860,'07导出'!$A$2:$A$1860,A32,'07导出'!$D$2:$D$1860,"21305")</f>
        <v>0</v>
      </c>
      <c r="AL32" s="46">
        <f>SUMIFS('07导出'!$H$2:$H$1860,'07导出'!$A$2:$A$1860,A32,'07导出'!$D$2:$D$1860,"21305")</f>
        <v>0</v>
      </c>
      <c r="AM32" s="46">
        <f>SUMIFS('07导出'!$G$2:$G$1860,'07导出'!$A$2:$A$1860,A32,'07导出'!$C$2:$C$1860,"221")</f>
        <v>3302874</v>
      </c>
      <c r="AN32" s="46">
        <f>SUMIFS('07导出'!$H$2:$H$1860,'07导出'!$A$2:$A$1860,A32,'07导出'!$C$2:$C$1860,"221")</f>
        <v>3152761.3200000003</v>
      </c>
      <c r="AO32" s="46">
        <f>SUMIFS('07导出'!$G$2:$G$1860,'07导出'!$A$2:$A$1860,A32,'07导出'!$D$2:$D$1860,"22102")</f>
        <v>3302874</v>
      </c>
      <c r="AP32" s="46">
        <f>SUMIFS('07导出'!$H$2:$H$1860,'07导出'!$A$2:$A$1860,A32,'07导出'!$D$2:$D$1860,"22102")</f>
        <v>3152761.3200000003</v>
      </c>
    </row>
    <row r="33" spans="1:42">
      <c r="A33" s="43">
        <v>255039</v>
      </c>
      <c r="B33" s="44" t="s">
        <v>32</v>
      </c>
      <c r="C33" s="45">
        <f>SUMIFS('07导出'!$G$2:$G$1860,'07导出'!$A$2:$A$1860,A33,'07导出'!$C$2:$C$1860,"205")</f>
        <v>17863813.75</v>
      </c>
      <c r="D33" s="45">
        <f>SUMIFS('07导出'!$H$2:$H$1860,'07导出'!$A$2:$A$1860,A33,'07导出'!$C$2:$C$1860,"205")</f>
        <v>14089370.149999999</v>
      </c>
      <c r="E33" s="46">
        <f>SUMIFS('07导出'!$G$2:$G$1860,'07导出'!$A$2:$A$1860,A33,'07导出'!$D$2:$D$1860,"20502")</f>
        <v>16718544.809999999</v>
      </c>
      <c r="F33" s="46">
        <f>SUMIFS('07导出'!$H$2:$H$1860,'07导出'!$A$2:$A$1860,A33,'07导出'!$D$2:$D$1860,"20502")</f>
        <v>12905670.149999999</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38400</v>
      </c>
      <c r="O33" s="46">
        <f>SUMIFS('07导出'!$G$2:$G$1860,'07导出'!$A$2:$A$1860,A33,'07导出'!$D$2:$D$1860,"20509")</f>
        <v>1145268.94</v>
      </c>
      <c r="P33" s="46">
        <f>SUMIFS('07导出'!$H$2:$H$1860,'07导出'!$A$2:$A$1860,A33,'07导出'!$D$2:$D$1860,"20509")</f>
        <v>1145300</v>
      </c>
      <c r="Q33" s="46">
        <f>SUMIFS('07导出'!$G$2:$G$1860,'07导出'!$A$2:$A$1860,A33,'07导出'!$C$2:$C$1860,"206")</f>
        <v>0</v>
      </c>
      <c r="R33" s="46">
        <f>SUMIFS('07导出'!$H$2:$H$1860,'07导出'!$A$2:$A$1860,A33,'07导出'!$C$2:$C$1860,"206")</f>
        <v>0</v>
      </c>
      <c r="S33" s="46">
        <f>SUMIFS('07导出'!$G$2:$G$1860,'07导出'!$A$2:$A$1860,A33,'07导出'!$D$2:$D$1860,"20607")</f>
        <v>0</v>
      </c>
      <c r="T33" s="46">
        <f>SUMIFS('07导出'!$H$2:$H$1860,'07导出'!$A$2:$A$1860,A33,'07导出'!$D$2:$D$1860,"20607")</f>
        <v>0</v>
      </c>
      <c r="U33" s="46">
        <f>SUMIFS('07导出'!$G$2:$G$1860,'07导出'!$A$2:$A$1860,A33,'07导出'!$C$2:$C$1860,"208")</f>
        <v>2658689.1999999997</v>
      </c>
      <c r="V33" s="46">
        <f>SUMIFS('07导出'!$H$2:$H$1860,'07导出'!$A$2:$A$1860,A33,'07导出'!$C$2:$C$1860,"208")</f>
        <v>2099758.31</v>
      </c>
      <c r="W33" s="46">
        <f>SUMIFS('07导出'!$G$2:$G$1860,'07导出'!$A$2:$A$1860,A33,'07导出'!$D$2:$D$1860,"20805")</f>
        <v>2658689.1999999997</v>
      </c>
      <c r="X33" s="46">
        <f>SUMIFS('07导出'!$H$2:$H$1860,'07导出'!$A$2:$A$1860,A33,'07导出'!$D$2:$D$1860,"20805")</f>
        <v>2099758.31</v>
      </c>
      <c r="Y33" s="46">
        <f>SUMIFS('07导出'!$G$2:$G$1860,'07导出'!$A$2:$A$1860,A33,'07导出'!$D$2:$D$1860,"20808")</f>
        <v>0</v>
      </c>
      <c r="Z33" s="46">
        <f>SUMIFS('07导出'!$H$2:$H$1860,'07导出'!$A$2:$A$1860,A33,'07导出'!$D$2:$D$1860,"20808")</f>
        <v>0</v>
      </c>
      <c r="AA33" s="46">
        <f>SUMIFS('07导出'!$G$2:$G$1860,'07导出'!$A$2:$A$1860,A33,'07导出'!$C$2:$C$1860,"210")</f>
        <v>888193.35</v>
      </c>
      <c r="AB33" s="46">
        <f>SUMIFS('07导出'!$H$2:$H$1860,'07导出'!$A$2:$A$1860,A33,'07导出'!$C$2:$C$1860,"210")</f>
        <v>767830</v>
      </c>
      <c r="AC33" s="46">
        <f>SUMIFS('07导出'!$G$2:$G$1860,'07导出'!$A$2:$A$1860,A33,'07导出'!$D$2:$D$1860,"21011")</f>
        <v>888193.35</v>
      </c>
      <c r="AD33" s="46">
        <f>SUMIFS('07导出'!$H$2:$H$1860,'07导出'!$A$2:$A$1860,A33,'07导出'!$D$2:$D$1860,"21011")</f>
        <v>767830</v>
      </c>
      <c r="AE33" s="46">
        <f>SUMIFS('07导出'!$G$2:$G$1860,'07导出'!$A$2:$A$1860,A33,'07导出'!$C$2:$C$1860,"212")</f>
        <v>0</v>
      </c>
      <c r="AF33" s="46">
        <f>SUMIFS('07导出'!$H$2:$H$1860,'07导出'!$A$2:$A$1860,A33,'07导出'!$C$2:$C$1860,"212")</f>
        <v>0</v>
      </c>
      <c r="AG33" s="46">
        <f>SUMIFS('07导出'!$G$2:$G$1860,'07导出'!$A$2:$A$1860,A33,'07导出'!$D$2:$D$1860,"21203")</f>
        <v>0</v>
      </c>
      <c r="AH33" s="46">
        <f>SUMIFS('07导出'!$H$2:$H$1860,'07导出'!$A$2:$A$1860,A33,'07导出'!$D$2:$D$1860,"21203")</f>
        <v>0</v>
      </c>
      <c r="AI33" s="46">
        <f>SUMIFS('07导出'!$G$2:$G$1860,'07导出'!$A$2:$A$1860,A33,'07导出'!$C$2:$C$1860,"213")</f>
        <v>0</v>
      </c>
      <c r="AJ33" s="46">
        <f>SUMIFS('07导出'!$H$2:$H$1860,'07导出'!$A$2:$A$1860,A33,'07导出'!$C$2:$C$1860,"213")</f>
        <v>0</v>
      </c>
      <c r="AK33" s="46">
        <f>SUMIFS('07导出'!$G$2:$G$1860,'07导出'!$A$2:$A$1860,A33,'07导出'!$D$2:$D$1860,"21305")</f>
        <v>0</v>
      </c>
      <c r="AL33" s="46">
        <f>SUMIFS('07导出'!$H$2:$H$1860,'07导出'!$A$2:$A$1860,A33,'07导出'!$D$2:$D$1860,"21305")</f>
        <v>0</v>
      </c>
      <c r="AM33" s="46">
        <f>SUMIFS('07导出'!$G$2:$G$1860,'07导出'!$A$2:$A$1860,A33,'07导出'!$C$2:$C$1860,"221")</f>
        <v>2159555.91</v>
      </c>
      <c r="AN33" s="46">
        <f>SUMIFS('07导出'!$H$2:$H$1860,'07导出'!$A$2:$A$1860,A33,'07导出'!$C$2:$C$1860,"221")</f>
        <v>2137059.56</v>
      </c>
      <c r="AO33" s="46">
        <f>SUMIFS('07导出'!$G$2:$G$1860,'07导出'!$A$2:$A$1860,A33,'07导出'!$D$2:$D$1860,"22102")</f>
        <v>2159555.91</v>
      </c>
      <c r="AP33" s="46">
        <f>SUMIFS('07导出'!$H$2:$H$1860,'07导出'!$A$2:$A$1860,A33,'07导出'!$D$2:$D$1860,"22102")</f>
        <v>2137059.56</v>
      </c>
    </row>
    <row r="34" spans="1:42">
      <c r="A34" s="43">
        <v>255040</v>
      </c>
      <c r="B34" s="44" t="s">
        <v>33</v>
      </c>
      <c r="C34" s="45">
        <f>SUMIFS('07导出'!$G$2:$G$1860,'07导出'!$A$2:$A$1860,A34,'07导出'!$C$2:$C$1860,"205")</f>
        <v>17543951.48</v>
      </c>
      <c r="D34" s="45">
        <f>SUMIFS('07导出'!$H$2:$H$1860,'07导出'!$A$2:$A$1860,A34,'07导出'!$C$2:$C$1860,"205")</f>
        <v>12969761.380000001</v>
      </c>
      <c r="E34" s="46">
        <f>SUMIFS('07导出'!$G$2:$G$1860,'07导出'!$A$2:$A$1860,A34,'07导出'!$D$2:$D$1860,"20502")</f>
        <v>16907170.789999999</v>
      </c>
      <c r="F34" s="46">
        <f>SUMIFS('07导出'!$H$2:$H$1860,'07导出'!$A$2:$A$1860,A34,'07导出'!$D$2:$D$1860,"20502")</f>
        <v>12292761.380000001</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40000</v>
      </c>
      <c r="O34" s="46">
        <f>SUMIFS('07导出'!$G$2:$G$1860,'07导出'!$A$2:$A$1860,A34,'07导出'!$D$2:$D$1860,"20509")</f>
        <v>636780.69000000006</v>
      </c>
      <c r="P34" s="46">
        <f>SUMIFS('07导出'!$H$2:$H$1860,'07导出'!$A$2:$A$1860,A34,'07导出'!$D$2:$D$1860,"20509")</f>
        <v>637000</v>
      </c>
      <c r="Q34" s="46">
        <f>SUMIFS('07导出'!$G$2:$G$1860,'07导出'!$A$2:$A$1860,A34,'07导出'!$C$2:$C$1860,"206")</f>
        <v>0</v>
      </c>
      <c r="R34" s="46">
        <f>SUMIFS('07导出'!$H$2:$H$1860,'07导出'!$A$2:$A$1860,A34,'07导出'!$C$2:$C$1860,"206")</f>
        <v>0</v>
      </c>
      <c r="S34" s="46">
        <f>SUMIFS('07导出'!$G$2:$G$1860,'07导出'!$A$2:$A$1860,A34,'07导出'!$D$2:$D$1860,"20607")</f>
        <v>0</v>
      </c>
      <c r="T34" s="46">
        <f>SUMIFS('07导出'!$H$2:$H$1860,'07导出'!$A$2:$A$1860,A34,'07导出'!$D$2:$D$1860,"20607")</f>
        <v>0</v>
      </c>
      <c r="U34" s="46">
        <f>SUMIFS('07导出'!$G$2:$G$1860,'07导出'!$A$2:$A$1860,A34,'07导出'!$C$2:$C$1860,"208")</f>
        <v>2728208.8100000005</v>
      </c>
      <c r="V34" s="46">
        <f>SUMIFS('07导出'!$H$2:$H$1860,'07导出'!$A$2:$A$1860,A34,'07导出'!$C$2:$C$1860,"208")</f>
        <v>2771641.04</v>
      </c>
      <c r="W34" s="46">
        <f>SUMIFS('07导出'!$G$2:$G$1860,'07导出'!$A$2:$A$1860,A34,'07导出'!$D$2:$D$1860,"20805")</f>
        <v>2728208.8100000005</v>
      </c>
      <c r="X34" s="46">
        <f>SUMIFS('07导出'!$H$2:$H$1860,'07导出'!$A$2:$A$1860,A34,'07导出'!$D$2:$D$1860,"20805")</f>
        <v>2771641.04</v>
      </c>
      <c r="Y34" s="46">
        <f>SUMIFS('07导出'!$G$2:$G$1860,'07导出'!$A$2:$A$1860,A34,'07导出'!$D$2:$D$1860,"20808")</f>
        <v>0</v>
      </c>
      <c r="Z34" s="46">
        <f>SUMIFS('07导出'!$H$2:$H$1860,'07导出'!$A$2:$A$1860,A34,'07导出'!$D$2:$D$1860,"20808")</f>
        <v>0</v>
      </c>
      <c r="AA34" s="46">
        <f>SUMIFS('07导出'!$G$2:$G$1860,'07导出'!$A$2:$A$1860,A34,'07导出'!$C$2:$C$1860,"210")</f>
        <v>1133311.77</v>
      </c>
      <c r="AB34" s="46">
        <f>SUMIFS('07导出'!$H$2:$H$1860,'07导出'!$A$2:$A$1860,A34,'07导出'!$C$2:$C$1860,"210")</f>
        <v>1143232.48</v>
      </c>
      <c r="AC34" s="46">
        <f>SUMIFS('07导出'!$G$2:$G$1860,'07导出'!$A$2:$A$1860,A34,'07导出'!$D$2:$D$1860,"21011")</f>
        <v>1133311.77</v>
      </c>
      <c r="AD34" s="46">
        <f>SUMIFS('07导出'!$H$2:$H$1860,'07导出'!$A$2:$A$1860,A34,'07导出'!$D$2:$D$1860,"21011")</f>
        <v>1143232.48</v>
      </c>
      <c r="AE34" s="46">
        <f>SUMIFS('07导出'!$G$2:$G$1860,'07导出'!$A$2:$A$1860,A34,'07导出'!$C$2:$C$1860,"212")</f>
        <v>0</v>
      </c>
      <c r="AF34" s="46">
        <f>SUMIFS('07导出'!$H$2:$H$1860,'07导出'!$A$2:$A$1860,A34,'07导出'!$C$2:$C$1860,"212")</f>
        <v>0</v>
      </c>
      <c r="AG34" s="46">
        <f>SUMIFS('07导出'!$G$2:$G$1860,'07导出'!$A$2:$A$1860,A34,'07导出'!$D$2:$D$1860,"21203")</f>
        <v>0</v>
      </c>
      <c r="AH34" s="46">
        <f>SUMIFS('07导出'!$H$2:$H$1860,'07导出'!$A$2:$A$1860,A34,'07导出'!$D$2:$D$1860,"21203")</f>
        <v>0</v>
      </c>
      <c r="AI34" s="46">
        <f>SUMIFS('07导出'!$G$2:$G$1860,'07导出'!$A$2:$A$1860,A34,'07导出'!$C$2:$C$1860,"213")</f>
        <v>0</v>
      </c>
      <c r="AJ34" s="46">
        <f>SUMIFS('07导出'!$H$2:$H$1860,'07导出'!$A$2:$A$1860,A34,'07导出'!$C$2:$C$1860,"213")</f>
        <v>0</v>
      </c>
      <c r="AK34" s="46">
        <f>SUMIFS('07导出'!$G$2:$G$1860,'07导出'!$A$2:$A$1860,A34,'07导出'!$D$2:$D$1860,"21305")</f>
        <v>0</v>
      </c>
      <c r="AL34" s="46">
        <f>SUMIFS('07导出'!$H$2:$H$1860,'07导出'!$A$2:$A$1860,A34,'07导出'!$D$2:$D$1860,"21305")</f>
        <v>0</v>
      </c>
      <c r="AM34" s="46">
        <f>SUMIFS('07导出'!$G$2:$G$1860,'07导出'!$A$2:$A$1860,A34,'07导出'!$C$2:$C$1860,"221")</f>
        <v>2969907</v>
      </c>
      <c r="AN34" s="46">
        <f>SUMIFS('07导出'!$H$2:$H$1860,'07导出'!$A$2:$A$1860,A34,'07导出'!$C$2:$C$1860,"221")</f>
        <v>2710703.52</v>
      </c>
      <c r="AO34" s="46">
        <f>SUMIFS('07导出'!$G$2:$G$1860,'07导出'!$A$2:$A$1860,A34,'07导出'!$D$2:$D$1860,"22102")</f>
        <v>2969907</v>
      </c>
      <c r="AP34" s="46">
        <f>SUMIFS('07导出'!$H$2:$H$1860,'07导出'!$A$2:$A$1860,A34,'07导出'!$D$2:$D$1860,"22102")</f>
        <v>2710703.52</v>
      </c>
    </row>
    <row r="35" spans="1:42">
      <c r="A35" s="43">
        <v>255042</v>
      </c>
      <c r="B35" s="44" t="s">
        <v>34</v>
      </c>
      <c r="C35" s="45">
        <f>SUMIFS('07导出'!$G$2:$G$1860,'07导出'!$A$2:$A$1860,A35,'07导出'!$C$2:$C$1860,"205")</f>
        <v>100575785.44999999</v>
      </c>
      <c r="D35" s="45">
        <f>SUMIFS('07导出'!$H$2:$H$1860,'07导出'!$A$2:$A$1860,A35,'07导出'!$C$2:$C$1860,"205")</f>
        <v>82355728.579999998</v>
      </c>
      <c r="E35" s="46">
        <f>SUMIFS('07导出'!$G$2:$G$1860,'07导出'!$A$2:$A$1860,A35,'07导出'!$D$2:$D$1860,"20502")</f>
        <v>100399210.92999999</v>
      </c>
      <c r="F35" s="46">
        <f>SUMIFS('07导出'!$H$2:$H$1860,'07导出'!$A$2:$A$1860,A35,'07导出'!$D$2:$D$1860,"20502")</f>
        <v>82054428.579999998</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124074.52</v>
      </c>
      <c r="N35" s="46">
        <f>SUMIFS('07导出'!$H$2:$H$1860,'07导出'!$A$2:$A$1860,A35,'07导出'!$D$2:$D$1860,"20508")</f>
        <v>248800</v>
      </c>
      <c r="O35" s="46">
        <f>SUMIFS('07导出'!$G$2:$G$1860,'07导出'!$A$2:$A$1860,A35,'07导出'!$D$2:$D$1860,"20509")</f>
        <v>52500</v>
      </c>
      <c r="P35" s="46">
        <f>SUMIFS('07导出'!$H$2:$H$1860,'07导出'!$A$2:$A$1860,A35,'07导出'!$D$2:$D$1860,"20509")</f>
        <v>52500</v>
      </c>
      <c r="Q35" s="46">
        <f>SUMIFS('07导出'!$G$2:$G$1860,'07导出'!$A$2:$A$1860,A35,'07导出'!$C$2:$C$1860,"206")</f>
        <v>0</v>
      </c>
      <c r="R35" s="46">
        <f>SUMIFS('07导出'!$H$2:$H$1860,'07导出'!$A$2:$A$1860,A35,'07导出'!$C$2:$C$1860,"206")</f>
        <v>0</v>
      </c>
      <c r="S35" s="46">
        <f>SUMIFS('07导出'!$G$2:$G$1860,'07导出'!$A$2:$A$1860,A35,'07导出'!$D$2:$D$1860,"20607")</f>
        <v>0</v>
      </c>
      <c r="T35" s="46">
        <f>SUMIFS('07导出'!$H$2:$H$1860,'07导出'!$A$2:$A$1860,A35,'07导出'!$D$2:$D$1860,"20607")</f>
        <v>0</v>
      </c>
      <c r="U35" s="46">
        <f>SUMIFS('07导出'!$G$2:$G$1860,'07导出'!$A$2:$A$1860,A35,'07导出'!$C$2:$C$1860,"208")</f>
        <v>14102452.380000001</v>
      </c>
      <c r="V35" s="46">
        <f>SUMIFS('07导出'!$H$2:$H$1860,'07导出'!$A$2:$A$1860,A35,'07导出'!$C$2:$C$1860,"208")</f>
        <v>14451715.52</v>
      </c>
      <c r="W35" s="46">
        <f>SUMIFS('07导出'!$G$2:$G$1860,'07导出'!$A$2:$A$1860,A35,'07导出'!$D$2:$D$1860,"20805")</f>
        <v>14102452.380000001</v>
      </c>
      <c r="X35" s="46">
        <f>SUMIFS('07导出'!$H$2:$H$1860,'07导出'!$A$2:$A$1860,A35,'07导出'!$D$2:$D$1860,"20805")</f>
        <v>14451715.52</v>
      </c>
      <c r="Y35" s="46">
        <f>SUMIFS('07导出'!$G$2:$G$1860,'07导出'!$A$2:$A$1860,A35,'07导出'!$D$2:$D$1860,"20808")</f>
        <v>0</v>
      </c>
      <c r="Z35" s="46">
        <f>SUMIFS('07导出'!$H$2:$H$1860,'07导出'!$A$2:$A$1860,A35,'07导出'!$D$2:$D$1860,"20808")</f>
        <v>0</v>
      </c>
      <c r="AA35" s="46">
        <f>SUMIFS('07导出'!$G$2:$G$1860,'07导出'!$A$2:$A$1860,A35,'07导出'!$C$2:$C$1860,"210")</f>
        <v>7513634.5</v>
      </c>
      <c r="AB35" s="46">
        <f>SUMIFS('07导出'!$H$2:$H$1860,'07导出'!$A$2:$A$1860,A35,'07导出'!$C$2:$C$1860,"210")</f>
        <v>6243217.2400000002</v>
      </c>
      <c r="AC35" s="46">
        <f>SUMIFS('07导出'!$G$2:$G$1860,'07导出'!$A$2:$A$1860,A35,'07导出'!$D$2:$D$1860,"21011")</f>
        <v>7513634.5</v>
      </c>
      <c r="AD35" s="46">
        <f>SUMIFS('07导出'!$H$2:$H$1860,'07导出'!$A$2:$A$1860,A35,'07导出'!$D$2:$D$1860,"21011")</f>
        <v>6243217.2400000002</v>
      </c>
      <c r="AE35" s="46">
        <f>SUMIFS('07导出'!$G$2:$G$1860,'07导出'!$A$2:$A$1860,A35,'07导出'!$C$2:$C$1860,"212")</f>
        <v>0</v>
      </c>
      <c r="AF35" s="46">
        <f>SUMIFS('07导出'!$H$2:$H$1860,'07导出'!$A$2:$A$1860,A35,'07导出'!$C$2:$C$1860,"212")</f>
        <v>0</v>
      </c>
      <c r="AG35" s="46">
        <f>SUMIFS('07导出'!$G$2:$G$1860,'07导出'!$A$2:$A$1860,A35,'07导出'!$D$2:$D$1860,"21203")</f>
        <v>0</v>
      </c>
      <c r="AH35" s="46">
        <f>SUMIFS('07导出'!$H$2:$H$1860,'07导出'!$A$2:$A$1860,A35,'07导出'!$D$2:$D$1860,"21203")</f>
        <v>0</v>
      </c>
      <c r="AI35" s="46">
        <f>SUMIFS('07导出'!$G$2:$G$1860,'07导出'!$A$2:$A$1860,A35,'07导出'!$C$2:$C$1860,"213")</f>
        <v>0</v>
      </c>
      <c r="AJ35" s="46">
        <f>SUMIFS('07导出'!$H$2:$H$1860,'07导出'!$A$2:$A$1860,A35,'07导出'!$C$2:$C$1860,"213")</f>
        <v>0</v>
      </c>
      <c r="AK35" s="46">
        <f>SUMIFS('07导出'!$G$2:$G$1860,'07导出'!$A$2:$A$1860,A35,'07导出'!$D$2:$D$1860,"21305")</f>
        <v>0</v>
      </c>
      <c r="AL35" s="46">
        <f>SUMIFS('07导出'!$H$2:$H$1860,'07导出'!$A$2:$A$1860,A35,'07导出'!$D$2:$D$1860,"21305")</f>
        <v>0</v>
      </c>
      <c r="AM35" s="46">
        <f>SUMIFS('07导出'!$G$2:$G$1860,'07导出'!$A$2:$A$1860,A35,'07导出'!$C$2:$C$1860,"221")</f>
        <v>15998072</v>
      </c>
      <c r="AN35" s="46">
        <f>SUMIFS('07导出'!$H$2:$H$1860,'07导出'!$A$2:$A$1860,A35,'07导出'!$C$2:$C$1860,"221")</f>
        <v>14868089.76</v>
      </c>
      <c r="AO35" s="46">
        <f>SUMIFS('07导出'!$G$2:$G$1860,'07导出'!$A$2:$A$1860,A35,'07导出'!$D$2:$D$1860,"22102")</f>
        <v>15998072</v>
      </c>
      <c r="AP35" s="46">
        <f>SUMIFS('07导出'!$H$2:$H$1860,'07导出'!$A$2:$A$1860,A35,'07导出'!$D$2:$D$1860,"22102")</f>
        <v>14868089.76</v>
      </c>
    </row>
    <row r="36" spans="1:42">
      <c r="A36" s="43">
        <v>255043</v>
      </c>
      <c r="B36" s="44" t="s">
        <v>35</v>
      </c>
      <c r="C36" s="45">
        <f>SUMIFS('07导出'!$G$2:$G$1860,'07导出'!$A$2:$A$1860,A36,'07导出'!$C$2:$C$1860,"205")</f>
        <v>13732366.76</v>
      </c>
      <c r="D36" s="45">
        <f>SUMIFS('07导出'!$H$2:$H$1860,'07导出'!$A$2:$A$1860,A36,'07导出'!$C$2:$C$1860,"205")</f>
        <v>11139824.539999999</v>
      </c>
      <c r="E36" s="46">
        <f>SUMIFS('07导出'!$G$2:$G$1860,'07导出'!$A$2:$A$1860,A36,'07导出'!$D$2:$D$1860,"20502")</f>
        <v>12464923.369999999</v>
      </c>
      <c r="F36" s="46">
        <f>SUMIFS('07导出'!$H$2:$H$1860,'07导出'!$A$2:$A$1860,A36,'07导出'!$D$2:$D$1860,"20502")</f>
        <v>9612324.5399999991</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13600</v>
      </c>
      <c r="N36" s="46">
        <f>SUMIFS('07导出'!$H$2:$H$1860,'07导出'!$A$2:$A$1860,A36,'07导出'!$D$2:$D$1860,"20508")</f>
        <v>27200</v>
      </c>
      <c r="O36" s="46">
        <f>SUMIFS('07导出'!$G$2:$G$1860,'07导出'!$A$2:$A$1860,A36,'07导出'!$D$2:$D$1860,"20509")</f>
        <v>1253843.3900000001</v>
      </c>
      <c r="P36" s="46">
        <f>SUMIFS('07导出'!$H$2:$H$1860,'07导出'!$A$2:$A$1860,A36,'07导出'!$D$2:$D$1860,"20509")</f>
        <v>1500300</v>
      </c>
      <c r="Q36" s="46">
        <f>SUMIFS('07导出'!$G$2:$G$1860,'07导出'!$A$2:$A$1860,A36,'07导出'!$C$2:$C$1860,"206")</f>
        <v>0</v>
      </c>
      <c r="R36" s="46">
        <f>SUMIFS('07导出'!$H$2:$H$1860,'07导出'!$A$2:$A$1860,A36,'07导出'!$C$2:$C$1860,"206")</f>
        <v>0</v>
      </c>
      <c r="S36" s="46">
        <f>SUMIFS('07导出'!$G$2:$G$1860,'07导出'!$A$2:$A$1860,A36,'07导出'!$D$2:$D$1860,"20607")</f>
        <v>0</v>
      </c>
      <c r="T36" s="46">
        <f>SUMIFS('07导出'!$H$2:$H$1860,'07导出'!$A$2:$A$1860,A36,'07导出'!$D$2:$D$1860,"20607")</f>
        <v>0</v>
      </c>
      <c r="U36" s="46">
        <f>SUMIFS('07导出'!$G$2:$G$1860,'07导出'!$A$2:$A$1860,A36,'07导出'!$C$2:$C$1860,"208")</f>
        <v>1790025.6800000002</v>
      </c>
      <c r="V36" s="46">
        <f>SUMIFS('07导出'!$H$2:$H$1860,'07导出'!$A$2:$A$1860,A36,'07导出'!$C$2:$C$1860,"208")</f>
        <v>1593994.7999999998</v>
      </c>
      <c r="W36" s="46">
        <f>SUMIFS('07导出'!$G$2:$G$1860,'07导出'!$A$2:$A$1860,A36,'07导出'!$D$2:$D$1860,"20805")</f>
        <v>1790025.6800000002</v>
      </c>
      <c r="X36" s="46">
        <f>SUMIFS('07导出'!$H$2:$H$1860,'07导出'!$A$2:$A$1860,A36,'07导出'!$D$2:$D$1860,"20805")</f>
        <v>1593994.7999999998</v>
      </c>
      <c r="Y36" s="46">
        <f>SUMIFS('07导出'!$G$2:$G$1860,'07导出'!$A$2:$A$1860,A36,'07导出'!$D$2:$D$1860,"20808")</f>
        <v>0</v>
      </c>
      <c r="Z36" s="46">
        <f>SUMIFS('07导出'!$H$2:$H$1860,'07导出'!$A$2:$A$1860,A36,'07导出'!$D$2:$D$1860,"20808")</f>
        <v>0</v>
      </c>
      <c r="AA36" s="46">
        <f>SUMIFS('07导出'!$G$2:$G$1860,'07导出'!$A$2:$A$1860,A36,'07导出'!$C$2:$C$1860,"210")</f>
        <v>727840.9</v>
      </c>
      <c r="AB36" s="46">
        <f>SUMIFS('07导出'!$H$2:$H$1860,'07导出'!$A$2:$A$1860,A36,'07导出'!$C$2:$C$1860,"210")</f>
        <v>624256.1</v>
      </c>
      <c r="AC36" s="46">
        <f>SUMIFS('07导出'!$G$2:$G$1860,'07导出'!$A$2:$A$1860,A36,'07导出'!$D$2:$D$1860,"21011")</f>
        <v>727840.9</v>
      </c>
      <c r="AD36" s="46">
        <f>SUMIFS('07导出'!$H$2:$H$1860,'07导出'!$A$2:$A$1860,A36,'07导出'!$D$2:$D$1860,"21011")</f>
        <v>624256.1</v>
      </c>
      <c r="AE36" s="46">
        <f>SUMIFS('07导出'!$G$2:$G$1860,'07导出'!$A$2:$A$1860,A36,'07导出'!$C$2:$C$1860,"212")</f>
        <v>0</v>
      </c>
      <c r="AF36" s="46">
        <f>SUMIFS('07导出'!$H$2:$H$1860,'07导出'!$A$2:$A$1860,A36,'07导出'!$C$2:$C$1860,"212")</f>
        <v>0</v>
      </c>
      <c r="AG36" s="46">
        <f>SUMIFS('07导出'!$G$2:$G$1860,'07导出'!$A$2:$A$1860,A36,'07导出'!$D$2:$D$1860,"21203")</f>
        <v>0</v>
      </c>
      <c r="AH36" s="46">
        <f>SUMIFS('07导出'!$H$2:$H$1860,'07导出'!$A$2:$A$1860,A36,'07导出'!$D$2:$D$1860,"21203")</f>
        <v>0</v>
      </c>
      <c r="AI36" s="46">
        <f>SUMIFS('07导出'!$G$2:$G$1860,'07导出'!$A$2:$A$1860,A36,'07导出'!$C$2:$C$1860,"213")</f>
        <v>0</v>
      </c>
      <c r="AJ36" s="46">
        <f>SUMIFS('07导出'!$H$2:$H$1860,'07导出'!$A$2:$A$1860,A36,'07导出'!$C$2:$C$1860,"213")</f>
        <v>0</v>
      </c>
      <c r="AK36" s="46">
        <f>SUMIFS('07导出'!$G$2:$G$1860,'07导出'!$A$2:$A$1860,A36,'07导出'!$D$2:$D$1860,"21305")</f>
        <v>0</v>
      </c>
      <c r="AL36" s="46">
        <f>SUMIFS('07导出'!$H$2:$H$1860,'07导出'!$A$2:$A$1860,A36,'07导出'!$D$2:$D$1860,"21305")</f>
        <v>0</v>
      </c>
      <c r="AM36" s="46">
        <f>SUMIFS('07导出'!$G$2:$G$1860,'07导出'!$A$2:$A$1860,A36,'07导出'!$C$2:$C$1860,"221")</f>
        <v>1739012</v>
      </c>
      <c r="AN36" s="46">
        <f>SUMIFS('07导出'!$H$2:$H$1860,'07导出'!$A$2:$A$1860,A36,'07导出'!$C$2:$C$1860,"221")</f>
        <v>1707872.4</v>
      </c>
      <c r="AO36" s="46">
        <f>SUMIFS('07导出'!$G$2:$G$1860,'07导出'!$A$2:$A$1860,A36,'07导出'!$D$2:$D$1860,"22102")</f>
        <v>1739012</v>
      </c>
      <c r="AP36" s="46">
        <f>SUMIFS('07导出'!$H$2:$H$1860,'07导出'!$A$2:$A$1860,A36,'07导出'!$D$2:$D$1860,"22102")</f>
        <v>1707872.4</v>
      </c>
    </row>
    <row r="37" spans="1:42">
      <c r="A37" s="43">
        <v>255044</v>
      </c>
      <c r="B37" s="44" t="s">
        <v>36</v>
      </c>
      <c r="C37" s="45">
        <f>SUMIFS('07导出'!$G$2:$G$1860,'07导出'!$A$2:$A$1860,A37,'07导出'!$C$2:$C$1860,"205")</f>
        <v>32964543.979999997</v>
      </c>
      <c r="D37" s="45">
        <f>SUMIFS('07导出'!$H$2:$H$1860,'07导出'!$A$2:$A$1860,A37,'07导出'!$C$2:$C$1860,"205")</f>
        <v>27407093.960000001</v>
      </c>
      <c r="E37" s="46">
        <f>SUMIFS('07导出'!$G$2:$G$1860,'07导出'!$A$2:$A$1860,A37,'07导出'!$D$2:$D$1860,"20502")</f>
        <v>32471606.149999999</v>
      </c>
      <c r="F37" s="46">
        <f>SUMIFS('07导出'!$H$2:$H$1860,'07导出'!$A$2:$A$1860,A37,'07导出'!$D$2:$D$1860,"20502")</f>
        <v>26833293.960000001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80800</v>
      </c>
      <c r="O37" s="46">
        <f>SUMIFS('07导出'!$G$2:$G$1860,'07导出'!$A$2:$A$1860,A37,'07导出'!$D$2:$D$1860,"20509")</f>
        <v>492937.83</v>
      </c>
      <c r="P37" s="46">
        <f>SUMIFS('07导出'!$H$2:$H$1860,'07导出'!$A$2:$A$1860,A37,'07导出'!$D$2:$D$1860,"20509")</f>
        <v>493000</v>
      </c>
      <c r="Q37" s="46">
        <f>SUMIFS('07导出'!$G$2:$G$1860,'07导出'!$A$2:$A$1860,A37,'07导出'!$C$2:$C$1860,"206")</f>
        <v>0</v>
      </c>
      <c r="R37" s="46">
        <f>SUMIFS('07导出'!$H$2:$H$1860,'07导出'!$A$2:$A$1860,A37,'07导出'!$C$2:$C$1860,"206")</f>
        <v>0</v>
      </c>
      <c r="S37" s="46">
        <f>SUMIFS('07导出'!$G$2:$G$1860,'07导出'!$A$2:$A$1860,A37,'07导出'!$D$2:$D$1860,"20607")</f>
        <v>0</v>
      </c>
      <c r="T37" s="46">
        <f>SUMIFS('07导出'!$H$2:$H$1860,'07导出'!$A$2:$A$1860,A37,'07导出'!$D$2:$D$1860,"20607")</f>
        <v>0</v>
      </c>
      <c r="U37" s="46">
        <f>SUMIFS('07导出'!$G$2:$G$1860,'07导出'!$A$2:$A$1860,A37,'07导出'!$C$2:$C$1860,"208")</f>
        <v>6592211.2200000007</v>
      </c>
      <c r="V37" s="46">
        <f>SUMIFS('07导出'!$H$2:$H$1860,'07导出'!$A$2:$A$1860,A37,'07导出'!$C$2:$C$1860,"208")</f>
        <v>6375366.46</v>
      </c>
      <c r="W37" s="46">
        <f>SUMIFS('07导出'!$G$2:$G$1860,'07导出'!$A$2:$A$1860,A37,'07导出'!$D$2:$D$1860,"20805")</f>
        <v>6592211.2200000007</v>
      </c>
      <c r="X37" s="46">
        <f>SUMIFS('07导出'!$H$2:$H$1860,'07导出'!$A$2:$A$1860,A37,'07导出'!$D$2:$D$1860,"20805")</f>
        <v>6375366.46</v>
      </c>
      <c r="Y37" s="46">
        <f>SUMIFS('07导出'!$G$2:$G$1860,'07导出'!$A$2:$A$1860,A37,'07导出'!$D$2:$D$1860,"20808")</f>
        <v>0</v>
      </c>
      <c r="Z37" s="46">
        <f>SUMIFS('07导出'!$H$2:$H$1860,'07导出'!$A$2:$A$1860,A37,'07导出'!$D$2:$D$1860,"20808")</f>
        <v>0</v>
      </c>
      <c r="AA37" s="46">
        <f>SUMIFS('07导出'!$G$2:$G$1860,'07导出'!$A$2:$A$1860,A37,'07导出'!$C$2:$C$1860,"210")</f>
        <v>2648261.86</v>
      </c>
      <c r="AB37" s="46">
        <f>SUMIFS('07导出'!$H$2:$H$1860,'07导出'!$A$2:$A$1860,A37,'07导出'!$C$2:$C$1860,"210")</f>
        <v>2445846.3200000003</v>
      </c>
      <c r="AC37" s="46">
        <f>SUMIFS('07导出'!$G$2:$G$1860,'07导出'!$A$2:$A$1860,A37,'07导出'!$D$2:$D$1860,"21011")</f>
        <v>2648261.86</v>
      </c>
      <c r="AD37" s="46">
        <f>SUMIFS('07导出'!$H$2:$H$1860,'07导出'!$A$2:$A$1860,A37,'07导出'!$D$2:$D$1860,"21011")</f>
        <v>2445846.3200000003</v>
      </c>
      <c r="AE37" s="46">
        <f>SUMIFS('07导出'!$G$2:$G$1860,'07导出'!$A$2:$A$1860,A37,'07导出'!$C$2:$C$1860,"212")</f>
        <v>0</v>
      </c>
      <c r="AF37" s="46">
        <f>SUMIFS('07导出'!$H$2:$H$1860,'07导出'!$A$2:$A$1860,A37,'07导出'!$C$2:$C$1860,"212")</f>
        <v>0</v>
      </c>
      <c r="AG37" s="46">
        <f>SUMIFS('07导出'!$G$2:$G$1860,'07导出'!$A$2:$A$1860,A37,'07导出'!$D$2:$D$1860,"21203")</f>
        <v>0</v>
      </c>
      <c r="AH37" s="46">
        <f>SUMIFS('07导出'!$H$2:$H$1860,'07导出'!$A$2:$A$1860,A37,'07导出'!$D$2:$D$1860,"21203")</f>
        <v>0</v>
      </c>
      <c r="AI37" s="46">
        <f>SUMIFS('07导出'!$G$2:$G$1860,'07导出'!$A$2:$A$1860,A37,'07导出'!$C$2:$C$1860,"213")</f>
        <v>0</v>
      </c>
      <c r="AJ37" s="46">
        <f>SUMIFS('07导出'!$H$2:$H$1860,'07导出'!$A$2:$A$1860,A37,'07导出'!$C$2:$C$1860,"213")</f>
        <v>0</v>
      </c>
      <c r="AK37" s="46">
        <f>SUMIFS('07导出'!$G$2:$G$1860,'07导出'!$A$2:$A$1860,A37,'07导出'!$D$2:$D$1860,"21305")</f>
        <v>0</v>
      </c>
      <c r="AL37" s="46">
        <f>SUMIFS('07导出'!$H$2:$H$1860,'07导出'!$A$2:$A$1860,A37,'07导出'!$D$2:$D$1860,"21305")</f>
        <v>0</v>
      </c>
      <c r="AM37" s="46">
        <f>SUMIFS('07导出'!$G$2:$G$1860,'07导出'!$A$2:$A$1860,A37,'07导出'!$C$2:$C$1860,"221")</f>
        <v>5029342</v>
      </c>
      <c r="AN37" s="46">
        <f>SUMIFS('07导出'!$H$2:$H$1860,'07导出'!$A$2:$A$1860,A37,'07导出'!$C$2:$C$1860,"221")</f>
        <v>5040847.68</v>
      </c>
      <c r="AO37" s="46">
        <f>SUMIFS('07导出'!$G$2:$G$1860,'07导出'!$A$2:$A$1860,A37,'07导出'!$D$2:$D$1860,"22102")</f>
        <v>5029342</v>
      </c>
      <c r="AP37" s="46">
        <f>SUMIFS('07导出'!$H$2:$H$1860,'07导出'!$A$2:$A$1860,A37,'07导出'!$D$2:$D$1860,"22102")</f>
        <v>5040847.68</v>
      </c>
    </row>
    <row r="38" spans="1:42">
      <c r="A38" s="43">
        <v>255047</v>
      </c>
      <c r="B38" s="44" t="s">
        <v>37</v>
      </c>
      <c r="C38" s="45">
        <f>SUMIFS('07导出'!$G$2:$G$1860,'07导出'!$A$2:$A$1860,A38,'07导出'!$C$2:$C$1860,"205")</f>
        <v>43055368</v>
      </c>
      <c r="D38" s="45">
        <f>SUMIFS('07导出'!$H$2:$H$1860,'07导出'!$A$2:$A$1860,A38,'07导出'!$C$2:$C$1860,"205")</f>
        <v>31605533.379999999</v>
      </c>
      <c r="E38" s="46">
        <f>SUMIFS('07导出'!$G$2:$G$1860,'07导出'!$A$2:$A$1860,A38,'07导出'!$D$2:$D$1860,"20502")</f>
        <v>42091868</v>
      </c>
      <c r="F38" s="46">
        <f>SUMIFS('07导出'!$H$2:$H$1860,'07导出'!$A$2:$A$1860,A38,'07导出'!$D$2:$D$1860,"20502")</f>
        <v>30598033.379999999</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44000</v>
      </c>
      <c r="N38" s="46">
        <f>SUMIFS('07导出'!$H$2:$H$1860,'07导出'!$A$2:$A$1860,A38,'07导出'!$D$2:$D$1860,"20508")</f>
        <v>88000</v>
      </c>
      <c r="O38" s="46">
        <f>SUMIFS('07导出'!$G$2:$G$1860,'07导出'!$A$2:$A$1860,A38,'07导出'!$D$2:$D$1860,"20509")</f>
        <v>919500</v>
      </c>
      <c r="P38" s="46">
        <f>SUMIFS('07导出'!$H$2:$H$1860,'07导出'!$A$2:$A$1860,A38,'07导出'!$D$2:$D$1860,"20509")</f>
        <v>919500</v>
      </c>
      <c r="Q38" s="46">
        <f>SUMIFS('07导出'!$G$2:$G$1860,'07导出'!$A$2:$A$1860,A38,'07导出'!$C$2:$C$1860,"206")</f>
        <v>0</v>
      </c>
      <c r="R38" s="46">
        <f>SUMIFS('07导出'!$H$2:$H$1860,'07导出'!$A$2:$A$1860,A38,'07导出'!$C$2:$C$1860,"206")</f>
        <v>0</v>
      </c>
      <c r="S38" s="46">
        <f>SUMIFS('07导出'!$G$2:$G$1860,'07导出'!$A$2:$A$1860,A38,'07导出'!$D$2:$D$1860,"20607")</f>
        <v>0</v>
      </c>
      <c r="T38" s="46">
        <f>SUMIFS('07导出'!$H$2:$H$1860,'07导出'!$A$2:$A$1860,A38,'07导出'!$D$2:$D$1860,"20607")</f>
        <v>0</v>
      </c>
      <c r="U38" s="46">
        <f>SUMIFS('07导出'!$G$2:$G$1860,'07导出'!$A$2:$A$1860,A38,'07导出'!$C$2:$C$1860,"208")</f>
        <v>4575679.4000000004</v>
      </c>
      <c r="V38" s="46">
        <f>SUMIFS('07导出'!$H$2:$H$1860,'07导出'!$A$2:$A$1860,A38,'07导出'!$C$2:$C$1860,"208")</f>
        <v>4671399.68</v>
      </c>
      <c r="W38" s="46">
        <f>SUMIFS('07导出'!$G$2:$G$1860,'07导出'!$A$2:$A$1860,A38,'07导出'!$D$2:$D$1860,"20805")</f>
        <v>4575679.4000000004</v>
      </c>
      <c r="X38" s="46">
        <f>SUMIFS('07导出'!$H$2:$H$1860,'07导出'!$A$2:$A$1860,A38,'07导出'!$D$2:$D$1860,"20805")</f>
        <v>4671399.68</v>
      </c>
      <c r="Y38" s="46">
        <f>SUMIFS('07导出'!$G$2:$G$1860,'07导出'!$A$2:$A$1860,A38,'07导出'!$D$2:$D$1860,"20808")</f>
        <v>0</v>
      </c>
      <c r="Z38" s="46">
        <f>SUMIFS('07导出'!$H$2:$H$1860,'07导出'!$A$2:$A$1860,A38,'07导出'!$D$2:$D$1860,"20808")</f>
        <v>0</v>
      </c>
      <c r="AA38" s="46">
        <f>SUMIFS('07导出'!$G$2:$G$1860,'07导出'!$A$2:$A$1860,A38,'07导出'!$C$2:$C$1860,"210")</f>
        <v>2481414.36</v>
      </c>
      <c r="AB38" s="46">
        <f>SUMIFS('07导出'!$H$2:$H$1860,'07导出'!$A$2:$A$1860,A38,'07导出'!$C$2:$C$1860,"210")</f>
        <v>2099013.41</v>
      </c>
      <c r="AC38" s="46">
        <f>SUMIFS('07导出'!$G$2:$G$1860,'07导出'!$A$2:$A$1860,A38,'07导出'!$D$2:$D$1860,"21011")</f>
        <v>2481414.36</v>
      </c>
      <c r="AD38" s="46">
        <f>SUMIFS('07导出'!$H$2:$H$1860,'07导出'!$A$2:$A$1860,A38,'07导出'!$D$2:$D$1860,"21011")</f>
        <v>2099013.41</v>
      </c>
      <c r="AE38" s="46">
        <f>SUMIFS('07导出'!$G$2:$G$1860,'07导出'!$A$2:$A$1860,A38,'07导出'!$C$2:$C$1860,"212")</f>
        <v>0</v>
      </c>
      <c r="AF38" s="46">
        <f>SUMIFS('07导出'!$H$2:$H$1860,'07导出'!$A$2:$A$1860,A38,'07导出'!$C$2:$C$1860,"212")</f>
        <v>0</v>
      </c>
      <c r="AG38" s="46">
        <f>SUMIFS('07导出'!$G$2:$G$1860,'07导出'!$A$2:$A$1860,A38,'07导出'!$D$2:$D$1860,"21203")</f>
        <v>0</v>
      </c>
      <c r="AH38" s="46">
        <f>SUMIFS('07导出'!$H$2:$H$1860,'07导出'!$A$2:$A$1860,A38,'07导出'!$D$2:$D$1860,"21203")</f>
        <v>0</v>
      </c>
      <c r="AI38" s="46">
        <f>SUMIFS('07导出'!$G$2:$G$1860,'07导出'!$A$2:$A$1860,A38,'07导出'!$C$2:$C$1860,"213")</f>
        <v>0</v>
      </c>
      <c r="AJ38" s="46">
        <f>SUMIFS('07导出'!$H$2:$H$1860,'07导出'!$A$2:$A$1860,A38,'07导出'!$C$2:$C$1860,"213")</f>
        <v>0</v>
      </c>
      <c r="AK38" s="46">
        <f>SUMIFS('07导出'!$G$2:$G$1860,'07导出'!$A$2:$A$1860,A38,'07导出'!$D$2:$D$1860,"21305")</f>
        <v>0</v>
      </c>
      <c r="AL38" s="46">
        <f>SUMIFS('07导出'!$H$2:$H$1860,'07导出'!$A$2:$A$1860,A38,'07导出'!$D$2:$D$1860,"21305")</f>
        <v>0</v>
      </c>
      <c r="AM38" s="46">
        <f>SUMIFS('07导出'!$G$2:$G$1860,'07导出'!$A$2:$A$1860,A38,'07导出'!$C$2:$C$1860,"221")</f>
        <v>5509245</v>
      </c>
      <c r="AN38" s="46">
        <f>SUMIFS('07导出'!$H$2:$H$1860,'07导出'!$A$2:$A$1860,A38,'07导出'!$C$2:$C$1860,"221")</f>
        <v>5412546.8399999999</v>
      </c>
      <c r="AO38" s="46">
        <f>SUMIFS('07导出'!$G$2:$G$1860,'07导出'!$A$2:$A$1860,A38,'07导出'!$D$2:$D$1860,"22102")</f>
        <v>5509245</v>
      </c>
      <c r="AP38" s="46">
        <f>SUMIFS('07导出'!$H$2:$H$1860,'07导出'!$A$2:$A$1860,A38,'07导出'!$D$2:$D$1860,"22102")</f>
        <v>5412546.8399999999</v>
      </c>
    </row>
    <row r="39" spans="1:42">
      <c r="A39" s="43">
        <v>255048</v>
      </c>
      <c r="B39" s="44" t="s">
        <v>38</v>
      </c>
      <c r="C39" s="45">
        <f>SUMIFS('07导出'!$G$2:$G$1860,'07导出'!$A$2:$A$1860,A39,'07导出'!$C$2:$C$1860,"205")</f>
        <v>92009454.280000001</v>
      </c>
      <c r="D39" s="45">
        <f>SUMIFS('07导出'!$H$2:$H$1860,'07导出'!$A$2:$A$1860,A39,'07导出'!$C$2:$C$1860,"205")</f>
        <v>70944755.420000002</v>
      </c>
      <c r="E39" s="46">
        <f>SUMIFS('07导出'!$G$2:$G$1860,'07导出'!$A$2:$A$1860,A39,'07导出'!$D$2:$D$1860,"20502")</f>
        <v>89075316.409999996</v>
      </c>
      <c r="F39" s="46">
        <f>SUMIFS('07导出'!$H$2:$H$1860,'07导出'!$A$2:$A$1860,A39,'07导出'!$D$2:$D$1860,"20502")</f>
        <v>67890331.420000002</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97328</v>
      </c>
      <c r="N39" s="46">
        <f>SUMIFS('07导出'!$H$2:$H$1860,'07导出'!$A$2:$A$1860,A39,'07导出'!$D$2:$D$1860,"20508")</f>
        <v>197600</v>
      </c>
      <c r="O39" s="46">
        <f>SUMIFS('07导出'!$G$2:$G$1860,'07导出'!$A$2:$A$1860,A39,'07导出'!$D$2:$D$1860,"20509")</f>
        <v>2836809.87</v>
      </c>
      <c r="P39" s="46">
        <f>SUMIFS('07导出'!$H$2:$H$1860,'07导出'!$A$2:$A$1860,A39,'07导出'!$D$2:$D$1860,"20509")</f>
        <v>2856824</v>
      </c>
      <c r="Q39" s="46">
        <f>SUMIFS('07导出'!$G$2:$G$1860,'07导出'!$A$2:$A$1860,A39,'07导出'!$C$2:$C$1860,"206")</f>
        <v>0</v>
      </c>
      <c r="R39" s="46">
        <f>SUMIFS('07导出'!$H$2:$H$1860,'07导出'!$A$2:$A$1860,A39,'07导出'!$C$2:$C$1860,"206")</f>
        <v>0</v>
      </c>
      <c r="S39" s="46">
        <f>SUMIFS('07导出'!$G$2:$G$1860,'07导出'!$A$2:$A$1860,A39,'07导出'!$D$2:$D$1860,"20607")</f>
        <v>0</v>
      </c>
      <c r="T39" s="46">
        <f>SUMIFS('07导出'!$H$2:$H$1860,'07导出'!$A$2:$A$1860,A39,'07导出'!$D$2:$D$1860,"20607")</f>
        <v>0</v>
      </c>
      <c r="U39" s="46">
        <f>SUMIFS('07导出'!$G$2:$G$1860,'07导出'!$A$2:$A$1860,A39,'07导出'!$C$2:$C$1860,"208")</f>
        <v>9521526.040000001</v>
      </c>
      <c r="V39" s="46">
        <f>SUMIFS('07导出'!$H$2:$H$1860,'07导出'!$A$2:$A$1860,A39,'07导出'!$C$2:$C$1860,"208")</f>
        <v>10473137.719999999</v>
      </c>
      <c r="W39" s="46">
        <f>SUMIFS('07导出'!$G$2:$G$1860,'07导出'!$A$2:$A$1860,A39,'07导出'!$D$2:$D$1860,"20805")</f>
        <v>9521526.040000001</v>
      </c>
      <c r="X39" s="46">
        <f>SUMIFS('07导出'!$H$2:$H$1860,'07导出'!$A$2:$A$1860,A39,'07导出'!$D$2:$D$1860,"20805")</f>
        <v>10473137.719999999</v>
      </c>
      <c r="Y39" s="46">
        <f>SUMIFS('07导出'!$G$2:$G$1860,'07导出'!$A$2:$A$1860,A39,'07导出'!$D$2:$D$1860,"20808")</f>
        <v>0</v>
      </c>
      <c r="Z39" s="46">
        <f>SUMIFS('07导出'!$H$2:$H$1860,'07导出'!$A$2:$A$1860,A39,'07导出'!$D$2:$D$1860,"20808")</f>
        <v>0</v>
      </c>
      <c r="AA39" s="46">
        <f>SUMIFS('07导出'!$G$2:$G$1860,'07导出'!$A$2:$A$1860,A39,'07导出'!$C$2:$C$1860,"210")</f>
        <v>4481406.09</v>
      </c>
      <c r="AB39" s="46">
        <f>SUMIFS('07导出'!$H$2:$H$1860,'07导出'!$A$2:$A$1860,A39,'07导出'!$C$2:$C$1860,"210")</f>
        <v>4933930.09</v>
      </c>
      <c r="AC39" s="46">
        <f>SUMIFS('07导出'!$G$2:$G$1860,'07导出'!$A$2:$A$1860,A39,'07导出'!$D$2:$D$1860,"21011")</f>
        <v>4481406.09</v>
      </c>
      <c r="AD39" s="46">
        <f>SUMIFS('07导出'!$H$2:$H$1860,'07导出'!$A$2:$A$1860,A39,'07导出'!$D$2:$D$1860,"21011")</f>
        <v>4933930.09</v>
      </c>
      <c r="AE39" s="46">
        <f>SUMIFS('07导出'!$G$2:$G$1860,'07导出'!$A$2:$A$1860,A39,'07导出'!$C$2:$C$1860,"212")</f>
        <v>0</v>
      </c>
      <c r="AF39" s="46">
        <f>SUMIFS('07导出'!$H$2:$H$1860,'07导出'!$A$2:$A$1860,A39,'07导出'!$C$2:$C$1860,"212")</f>
        <v>0</v>
      </c>
      <c r="AG39" s="46">
        <f>SUMIFS('07导出'!$G$2:$G$1860,'07导出'!$A$2:$A$1860,A39,'07导出'!$D$2:$D$1860,"21203")</f>
        <v>0</v>
      </c>
      <c r="AH39" s="46">
        <f>SUMIFS('07导出'!$H$2:$H$1860,'07导出'!$A$2:$A$1860,A39,'07导出'!$D$2:$D$1860,"21203")</f>
        <v>0</v>
      </c>
      <c r="AI39" s="46">
        <f>SUMIFS('07导出'!$G$2:$G$1860,'07导出'!$A$2:$A$1860,A39,'07导出'!$C$2:$C$1860,"213")</f>
        <v>0</v>
      </c>
      <c r="AJ39" s="46">
        <f>SUMIFS('07导出'!$H$2:$H$1860,'07导出'!$A$2:$A$1860,A39,'07导出'!$C$2:$C$1860,"213")</f>
        <v>0</v>
      </c>
      <c r="AK39" s="46">
        <f>SUMIFS('07导出'!$G$2:$G$1860,'07导出'!$A$2:$A$1860,A39,'07导出'!$D$2:$D$1860,"21305")</f>
        <v>0</v>
      </c>
      <c r="AL39" s="46">
        <f>SUMIFS('07导出'!$H$2:$H$1860,'07导出'!$A$2:$A$1860,A39,'07导出'!$D$2:$D$1860,"21305")</f>
        <v>0</v>
      </c>
      <c r="AM39" s="46">
        <f>SUMIFS('07导出'!$G$2:$G$1860,'07导出'!$A$2:$A$1860,A39,'07导出'!$C$2:$C$1860,"221")</f>
        <v>12925952</v>
      </c>
      <c r="AN39" s="46">
        <f>SUMIFS('07导出'!$H$2:$H$1860,'07导出'!$A$2:$A$1860,A39,'07导出'!$C$2:$C$1860,"221")</f>
        <v>12770495.16</v>
      </c>
      <c r="AO39" s="46">
        <f>SUMIFS('07导出'!$G$2:$G$1860,'07导出'!$A$2:$A$1860,A39,'07导出'!$D$2:$D$1860,"22102")</f>
        <v>12925952</v>
      </c>
      <c r="AP39" s="46">
        <f>SUMIFS('07导出'!$H$2:$H$1860,'07导出'!$A$2:$A$1860,A39,'07导出'!$D$2:$D$1860,"22102")</f>
        <v>12770495.16</v>
      </c>
    </row>
    <row r="40" spans="1:42">
      <c r="A40" s="43">
        <v>255049</v>
      </c>
      <c r="B40" s="44" t="s">
        <v>39</v>
      </c>
      <c r="C40" s="45">
        <f>SUMIFS('07导出'!$G$2:$G$1860,'07导出'!$A$2:$A$1860,A40,'07导出'!$C$2:$C$1860,"205")</f>
        <v>22871500.129999999</v>
      </c>
      <c r="D40" s="45">
        <f>SUMIFS('07导出'!$H$2:$H$1860,'07导出'!$A$2:$A$1860,A40,'07导出'!$C$2:$C$1860,"205")</f>
        <v>17788398.93</v>
      </c>
      <c r="E40" s="46">
        <f>SUMIFS('07导出'!$G$2:$G$1860,'07导出'!$A$2:$A$1860,A40,'07导出'!$D$2:$D$1860,"20502")</f>
        <v>22675200.129999999</v>
      </c>
      <c r="F40" s="46">
        <f>SUMIFS('07导出'!$H$2:$H$1860,'07导出'!$A$2:$A$1860,A40,'07导出'!$D$2:$D$1860,"20502")</f>
        <v>17539294.73</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52800</v>
      </c>
      <c r="O40" s="46">
        <f>SUMIFS('07导出'!$G$2:$G$1860,'07导出'!$A$2:$A$1860,A40,'07导出'!$D$2:$D$1860,"20509")</f>
        <v>196300</v>
      </c>
      <c r="P40" s="46">
        <f>SUMIFS('07导出'!$H$2:$H$1860,'07导出'!$A$2:$A$1860,A40,'07导出'!$D$2:$D$1860,"20509")</f>
        <v>196304.2</v>
      </c>
      <c r="Q40" s="46">
        <f>SUMIFS('07导出'!$G$2:$G$1860,'07导出'!$A$2:$A$1860,A40,'07导出'!$C$2:$C$1860,"206")</f>
        <v>0</v>
      </c>
      <c r="R40" s="46">
        <f>SUMIFS('07导出'!$H$2:$H$1860,'07导出'!$A$2:$A$1860,A40,'07导出'!$C$2:$C$1860,"206")</f>
        <v>0</v>
      </c>
      <c r="S40" s="46">
        <f>SUMIFS('07导出'!$G$2:$G$1860,'07导出'!$A$2:$A$1860,A40,'07导出'!$D$2:$D$1860,"20607")</f>
        <v>0</v>
      </c>
      <c r="T40" s="46">
        <f>SUMIFS('07导出'!$H$2:$H$1860,'07导出'!$A$2:$A$1860,A40,'07导出'!$D$2:$D$1860,"20607")</f>
        <v>0</v>
      </c>
      <c r="U40" s="46">
        <f>SUMIFS('07导出'!$G$2:$G$1860,'07导出'!$A$2:$A$1860,A40,'07导出'!$C$2:$C$1860,"208")</f>
        <v>2452712.3199999998</v>
      </c>
      <c r="V40" s="46">
        <f>SUMIFS('07导出'!$H$2:$H$1860,'07导出'!$A$2:$A$1860,A40,'07导出'!$C$2:$C$1860,"208")</f>
        <v>2495403.04</v>
      </c>
      <c r="W40" s="46">
        <f>SUMIFS('07导出'!$G$2:$G$1860,'07导出'!$A$2:$A$1860,A40,'07导出'!$D$2:$D$1860,"20805")</f>
        <v>2452712.3199999998</v>
      </c>
      <c r="X40" s="46">
        <f>SUMIFS('07导出'!$H$2:$H$1860,'07导出'!$A$2:$A$1860,A40,'07导出'!$D$2:$D$1860,"20805")</f>
        <v>2495403.04</v>
      </c>
      <c r="Y40" s="46">
        <f>SUMIFS('07导出'!$G$2:$G$1860,'07导出'!$A$2:$A$1860,A40,'07导出'!$D$2:$D$1860,"20808")</f>
        <v>0</v>
      </c>
      <c r="Z40" s="46">
        <f>SUMIFS('07导出'!$H$2:$H$1860,'07导出'!$A$2:$A$1860,A40,'07导出'!$D$2:$D$1860,"20808")</f>
        <v>0</v>
      </c>
      <c r="AA40" s="46">
        <f>SUMIFS('07导出'!$G$2:$G$1860,'07导出'!$A$2:$A$1860,A40,'07导出'!$C$2:$C$1860,"210")</f>
        <v>1313036.04</v>
      </c>
      <c r="AB40" s="46">
        <f>SUMIFS('07导出'!$H$2:$H$1860,'07导出'!$A$2:$A$1860,A40,'07导出'!$C$2:$C$1860,"210")</f>
        <v>1146501.98</v>
      </c>
      <c r="AC40" s="46">
        <f>SUMIFS('07导出'!$G$2:$G$1860,'07导出'!$A$2:$A$1860,A40,'07导出'!$D$2:$D$1860,"21011")</f>
        <v>1313036.04</v>
      </c>
      <c r="AD40" s="46">
        <f>SUMIFS('07导出'!$H$2:$H$1860,'07导出'!$A$2:$A$1860,A40,'07导出'!$D$2:$D$1860,"21011")</f>
        <v>1146501.98</v>
      </c>
      <c r="AE40" s="46">
        <f>SUMIFS('07导出'!$G$2:$G$1860,'07导出'!$A$2:$A$1860,A40,'07导出'!$C$2:$C$1860,"212")</f>
        <v>0</v>
      </c>
      <c r="AF40" s="46">
        <f>SUMIFS('07导出'!$H$2:$H$1860,'07导出'!$A$2:$A$1860,A40,'07导出'!$C$2:$C$1860,"212")</f>
        <v>0</v>
      </c>
      <c r="AG40" s="46">
        <f>SUMIFS('07导出'!$G$2:$G$1860,'07导出'!$A$2:$A$1860,A40,'07导出'!$D$2:$D$1860,"21203")</f>
        <v>0</v>
      </c>
      <c r="AH40" s="46">
        <f>SUMIFS('07导出'!$H$2:$H$1860,'07导出'!$A$2:$A$1860,A40,'07导出'!$D$2:$D$1860,"21203")</f>
        <v>0</v>
      </c>
      <c r="AI40" s="46">
        <f>SUMIFS('07导出'!$G$2:$G$1860,'07导出'!$A$2:$A$1860,A40,'07导出'!$C$2:$C$1860,"213")</f>
        <v>0</v>
      </c>
      <c r="AJ40" s="46">
        <f>SUMIFS('07导出'!$H$2:$H$1860,'07导出'!$A$2:$A$1860,A40,'07导出'!$C$2:$C$1860,"213")</f>
        <v>0</v>
      </c>
      <c r="AK40" s="46">
        <f>SUMIFS('07导出'!$G$2:$G$1860,'07导出'!$A$2:$A$1860,A40,'07导出'!$D$2:$D$1860,"21305")</f>
        <v>0</v>
      </c>
      <c r="AL40" s="46">
        <f>SUMIFS('07导出'!$H$2:$H$1860,'07导出'!$A$2:$A$1860,A40,'07导出'!$D$2:$D$1860,"21305")</f>
        <v>0</v>
      </c>
      <c r="AM40" s="46">
        <f>SUMIFS('07导出'!$G$2:$G$1860,'07导出'!$A$2:$A$1860,A40,'07导出'!$C$2:$C$1860,"221")</f>
        <v>3327072</v>
      </c>
      <c r="AN40" s="46">
        <f>SUMIFS('07导出'!$H$2:$H$1860,'07导出'!$A$2:$A$1860,A40,'07导出'!$C$2:$C$1860,"221")</f>
        <v>3072893.52</v>
      </c>
      <c r="AO40" s="46">
        <f>SUMIFS('07导出'!$G$2:$G$1860,'07导出'!$A$2:$A$1860,A40,'07导出'!$D$2:$D$1860,"22102")</f>
        <v>3327072</v>
      </c>
      <c r="AP40" s="46">
        <f>SUMIFS('07导出'!$H$2:$H$1860,'07导出'!$A$2:$A$1860,A40,'07导出'!$D$2:$D$1860,"22102")</f>
        <v>3072893.52</v>
      </c>
    </row>
    <row r="41" spans="1:42">
      <c r="A41" s="43">
        <v>255050</v>
      </c>
      <c r="B41" s="44" t="s">
        <v>40</v>
      </c>
      <c r="C41" s="45">
        <f>SUMIFS('07导出'!$G$2:$G$1860,'07导出'!$A$2:$A$1860,A41,'07导出'!$C$2:$C$1860,"205")</f>
        <v>29557245.93</v>
      </c>
      <c r="D41" s="45">
        <f>SUMIFS('07导出'!$H$2:$H$1860,'07导出'!$A$2:$A$1860,A41,'07导出'!$C$2:$C$1860,"205")</f>
        <v>23355664.809999999</v>
      </c>
      <c r="E41" s="46">
        <f>SUMIFS('07导出'!$G$2:$G$1860,'07导出'!$A$2:$A$1860,A41,'07导出'!$D$2:$D$1860,"20502")</f>
        <v>29523245.93</v>
      </c>
      <c r="F41" s="46">
        <f>SUMIFS('07导出'!$H$2:$H$1860,'07导出'!$A$2:$A$1860,A41,'07导出'!$D$2:$D$1860,"20502")</f>
        <v>22578828.809999999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67200</v>
      </c>
      <c r="O41" s="46">
        <f>SUMIFS('07导出'!$G$2:$G$1860,'07导出'!$A$2:$A$1860,A41,'07导出'!$D$2:$D$1860,"20509")</f>
        <v>34000</v>
      </c>
      <c r="P41" s="46">
        <f>SUMIFS('07导出'!$H$2:$H$1860,'07导出'!$A$2:$A$1860,A41,'07导出'!$D$2:$D$1860,"20509")</f>
        <v>709636</v>
      </c>
      <c r="Q41" s="46">
        <f>SUMIFS('07导出'!$G$2:$G$1860,'07导出'!$A$2:$A$1860,A41,'07导出'!$C$2:$C$1860,"206")</f>
        <v>0</v>
      </c>
      <c r="R41" s="46">
        <f>SUMIFS('07导出'!$H$2:$H$1860,'07导出'!$A$2:$A$1860,A41,'07导出'!$C$2:$C$1860,"206")</f>
        <v>0</v>
      </c>
      <c r="S41" s="46">
        <f>SUMIFS('07导出'!$G$2:$G$1860,'07导出'!$A$2:$A$1860,A41,'07导出'!$D$2:$D$1860,"20607")</f>
        <v>0</v>
      </c>
      <c r="T41" s="46">
        <f>SUMIFS('07导出'!$H$2:$H$1860,'07导出'!$A$2:$A$1860,A41,'07导出'!$D$2:$D$1860,"20607")</f>
        <v>0</v>
      </c>
      <c r="U41" s="46">
        <f>SUMIFS('07导出'!$G$2:$G$1860,'07导出'!$A$2:$A$1860,A41,'07导出'!$C$2:$C$1860,"208")</f>
        <v>6446034.4400000004</v>
      </c>
      <c r="V41" s="46">
        <f>SUMIFS('07导出'!$H$2:$H$1860,'07导出'!$A$2:$A$1860,A41,'07导出'!$C$2:$C$1860,"208")</f>
        <v>4829325.16</v>
      </c>
      <c r="W41" s="46">
        <f>SUMIFS('07导出'!$G$2:$G$1860,'07导出'!$A$2:$A$1860,A41,'07导出'!$D$2:$D$1860,"20805")</f>
        <v>6446034.4400000004</v>
      </c>
      <c r="X41" s="46">
        <f>SUMIFS('07导出'!$H$2:$H$1860,'07导出'!$A$2:$A$1860,A41,'07导出'!$D$2:$D$1860,"20805")</f>
        <v>4829325.16</v>
      </c>
      <c r="Y41" s="46">
        <f>SUMIFS('07导出'!$G$2:$G$1860,'07导出'!$A$2:$A$1860,A41,'07导出'!$D$2:$D$1860,"20808")</f>
        <v>0</v>
      </c>
      <c r="Z41" s="46">
        <f>SUMIFS('07导出'!$H$2:$H$1860,'07导出'!$A$2:$A$1860,A41,'07导出'!$D$2:$D$1860,"20808")</f>
        <v>0</v>
      </c>
      <c r="AA41" s="46">
        <f>SUMIFS('07导出'!$G$2:$G$1860,'07导出'!$A$2:$A$1860,A41,'07导出'!$C$2:$C$1860,"210")</f>
        <v>1837972.91</v>
      </c>
      <c r="AB41" s="46">
        <f>SUMIFS('07导出'!$H$2:$H$1860,'07导出'!$A$2:$A$1860,A41,'07导出'!$C$2:$C$1860,"210")</f>
        <v>1682358.17</v>
      </c>
      <c r="AC41" s="46">
        <f>SUMIFS('07导出'!$G$2:$G$1860,'07导出'!$A$2:$A$1860,A41,'07导出'!$D$2:$D$1860,"21011")</f>
        <v>1837972.91</v>
      </c>
      <c r="AD41" s="46">
        <f>SUMIFS('07导出'!$H$2:$H$1860,'07导出'!$A$2:$A$1860,A41,'07导出'!$D$2:$D$1860,"21011")</f>
        <v>1682358.17</v>
      </c>
      <c r="AE41" s="46">
        <f>SUMIFS('07导出'!$G$2:$G$1860,'07导出'!$A$2:$A$1860,A41,'07导出'!$C$2:$C$1860,"212")</f>
        <v>0</v>
      </c>
      <c r="AF41" s="46">
        <f>SUMIFS('07导出'!$H$2:$H$1860,'07导出'!$A$2:$A$1860,A41,'07导出'!$C$2:$C$1860,"212")</f>
        <v>0</v>
      </c>
      <c r="AG41" s="46">
        <f>SUMIFS('07导出'!$G$2:$G$1860,'07导出'!$A$2:$A$1860,A41,'07导出'!$D$2:$D$1860,"21203")</f>
        <v>0</v>
      </c>
      <c r="AH41" s="46">
        <f>SUMIFS('07导出'!$H$2:$H$1860,'07导出'!$A$2:$A$1860,A41,'07导出'!$D$2:$D$1860,"21203")</f>
        <v>0</v>
      </c>
      <c r="AI41" s="46">
        <f>SUMIFS('07导出'!$G$2:$G$1860,'07导出'!$A$2:$A$1860,A41,'07导出'!$C$2:$C$1860,"213")</f>
        <v>0</v>
      </c>
      <c r="AJ41" s="46">
        <f>SUMIFS('07导出'!$H$2:$H$1860,'07导出'!$A$2:$A$1860,A41,'07导出'!$C$2:$C$1860,"213")</f>
        <v>0</v>
      </c>
      <c r="AK41" s="46">
        <f>SUMIFS('07导出'!$G$2:$G$1860,'07导出'!$A$2:$A$1860,A41,'07导出'!$D$2:$D$1860,"21305")</f>
        <v>0</v>
      </c>
      <c r="AL41" s="46">
        <f>SUMIFS('07导出'!$H$2:$H$1860,'07导出'!$A$2:$A$1860,A41,'07导出'!$D$2:$D$1860,"21305")</f>
        <v>0</v>
      </c>
      <c r="AM41" s="46">
        <f>SUMIFS('07导出'!$G$2:$G$1860,'07导出'!$A$2:$A$1860,A41,'07导出'!$C$2:$C$1860,"221")</f>
        <v>4149965</v>
      </c>
      <c r="AN41" s="46">
        <f>SUMIFS('07导出'!$H$2:$H$1860,'07导出'!$A$2:$A$1860,A41,'07导出'!$C$2:$C$1860,"221")</f>
        <v>4000837.08</v>
      </c>
      <c r="AO41" s="46">
        <f>SUMIFS('07导出'!$G$2:$G$1860,'07导出'!$A$2:$A$1860,A41,'07导出'!$D$2:$D$1860,"22102")</f>
        <v>4149965</v>
      </c>
      <c r="AP41" s="46">
        <f>SUMIFS('07导出'!$H$2:$H$1860,'07导出'!$A$2:$A$1860,A41,'07导出'!$D$2:$D$1860,"22102")</f>
        <v>4000837.08</v>
      </c>
    </row>
    <row r="42" spans="1:42">
      <c r="A42" s="43">
        <v>255052</v>
      </c>
      <c r="B42" s="44" t="s">
        <v>41</v>
      </c>
      <c r="C42" s="45">
        <f>SUMIFS('07导出'!$G$2:$G$1860,'07导出'!$A$2:$A$1860,A42,'07导出'!$C$2:$C$1860,"205")</f>
        <v>21547750.300000001</v>
      </c>
      <c r="D42" s="45">
        <f>SUMIFS('07导出'!$H$2:$H$1860,'07导出'!$A$2:$A$1860,A42,'07导出'!$C$2:$C$1860,"205")</f>
        <v>17147661.479999997</v>
      </c>
      <c r="E42" s="46">
        <f>SUMIFS('07导出'!$G$2:$G$1860,'07导出'!$A$2:$A$1860,A42,'07导出'!$D$2:$D$1860,"20502")</f>
        <v>19577946.300000001</v>
      </c>
      <c r="F42" s="46">
        <f>SUMIFS('07导出'!$H$2:$H$1860,'07导出'!$A$2:$A$1860,A42,'07导出'!$D$2:$D$1860,"20502")</f>
        <v>15153021.479999999</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24800</v>
      </c>
      <c r="N42" s="46">
        <f>SUMIFS('07导出'!$H$2:$H$1860,'07导出'!$A$2:$A$1860,A42,'07导出'!$D$2:$D$1860,"20508")</f>
        <v>49600</v>
      </c>
      <c r="O42" s="46">
        <f>SUMIFS('07导出'!$G$2:$G$1860,'07导出'!$A$2:$A$1860,A42,'07导出'!$D$2:$D$1860,"20509")</f>
        <v>1945004</v>
      </c>
      <c r="P42" s="46">
        <f>SUMIFS('07导出'!$H$2:$H$1860,'07导出'!$A$2:$A$1860,A42,'07导出'!$D$2:$D$1860,"20509")</f>
        <v>1945040</v>
      </c>
      <c r="Q42" s="46">
        <f>SUMIFS('07导出'!$G$2:$G$1860,'07导出'!$A$2:$A$1860,A42,'07导出'!$C$2:$C$1860,"206")</f>
        <v>0</v>
      </c>
      <c r="R42" s="46">
        <f>SUMIFS('07导出'!$H$2:$H$1860,'07导出'!$A$2:$A$1860,A42,'07导出'!$C$2:$C$1860,"206")</f>
        <v>0</v>
      </c>
      <c r="S42" s="46">
        <f>SUMIFS('07导出'!$G$2:$G$1860,'07导出'!$A$2:$A$1860,A42,'07导出'!$D$2:$D$1860,"20607")</f>
        <v>0</v>
      </c>
      <c r="T42" s="46">
        <f>SUMIFS('07导出'!$H$2:$H$1860,'07导出'!$A$2:$A$1860,A42,'07导出'!$D$2:$D$1860,"20607")</f>
        <v>0</v>
      </c>
      <c r="U42" s="46">
        <f>SUMIFS('07导出'!$G$2:$G$1860,'07导出'!$A$2:$A$1860,A42,'07导出'!$C$2:$C$1860,"208")</f>
        <v>3218542.6599999997</v>
      </c>
      <c r="V42" s="46">
        <f>SUMIFS('07导出'!$H$2:$H$1860,'07导出'!$A$2:$A$1860,A42,'07导出'!$C$2:$C$1860,"208")</f>
        <v>3628169.76</v>
      </c>
      <c r="W42" s="46">
        <f>SUMIFS('07导出'!$G$2:$G$1860,'07导出'!$A$2:$A$1860,A42,'07导出'!$D$2:$D$1860,"20805")</f>
        <v>3218542.6599999997</v>
      </c>
      <c r="X42" s="46">
        <f>SUMIFS('07导出'!$H$2:$H$1860,'07导出'!$A$2:$A$1860,A42,'07导出'!$D$2:$D$1860,"20805")</f>
        <v>3628169.76</v>
      </c>
      <c r="Y42" s="46">
        <f>SUMIFS('07导出'!$G$2:$G$1860,'07导出'!$A$2:$A$1860,A42,'07导出'!$D$2:$D$1860,"20808")</f>
        <v>0</v>
      </c>
      <c r="Z42" s="46">
        <f>SUMIFS('07导出'!$H$2:$H$1860,'07导出'!$A$2:$A$1860,A42,'07导出'!$D$2:$D$1860,"20808")</f>
        <v>0</v>
      </c>
      <c r="AA42" s="46">
        <f>SUMIFS('07导出'!$G$2:$G$1860,'07导出'!$A$2:$A$1860,A42,'07导出'!$C$2:$C$1860,"210")</f>
        <v>1224230.79</v>
      </c>
      <c r="AB42" s="46">
        <f>SUMIFS('07导出'!$H$2:$H$1860,'07导出'!$A$2:$A$1860,A42,'07导出'!$C$2:$C$1860,"210")</f>
        <v>1569196.12</v>
      </c>
      <c r="AC42" s="46">
        <f>SUMIFS('07导出'!$G$2:$G$1860,'07导出'!$A$2:$A$1860,A42,'07导出'!$D$2:$D$1860,"21011")</f>
        <v>1224230.79</v>
      </c>
      <c r="AD42" s="46">
        <f>SUMIFS('07导出'!$H$2:$H$1860,'07导出'!$A$2:$A$1860,A42,'07导出'!$D$2:$D$1860,"21011")</f>
        <v>1569196.12</v>
      </c>
      <c r="AE42" s="46">
        <f>SUMIFS('07导出'!$G$2:$G$1860,'07导出'!$A$2:$A$1860,A42,'07导出'!$C$2:$C$1860,"212")</f>
        <v>0</v>
      </c>
      <c r="AF42" s="46">
        <f>SUMIFS('07导出'!$H$2:$H$1860,'07导出'!$A$2:$A$1860,A42,'07导出'!$C$2:$C$1860,"212")</f>
        <v>0</v>
      </c>
      <c r="AG42" s="46">
        <f>SUMIFS('07导出'!$G$2:$G$1860,'07导出'!$A$2:$A$1860,A42,'07导出'!$D$2:$D$1860,"21203")</f>
        <v>0</v>
      </c>
      <c r="AH42" s="46">
        <f>SUMIFS('07导出'!$H$2:$H$1860,'07导出'!$A$2:$A$1860,A42,'07导出'!$D$2:$D$1860,"21203")</f>
        <v>0</v>
      </c>
      <c r="AI42" s="46">
        <f>SUMIFS('07导出'!$G$2:$G$1860,'07导出'!$A$2:$A$1860,A42,'07导出'!$C$2:$C$1860,"213")</f>
        <v>0</v>
      </c>
      <c r="AJ42" s="46">
        <f>SUMIFS('07导出'!$H$2:$H$1860,'07导出'!$A$2:$A$1860,A42,'07导出'!$C$2:$C$1860,"213")</f>
        <v>0</v>
      </c>
      <c r="AK42" s="46">
        <f>SUMIFS('07导出'!$G$2:$G$1860,'07导出'!$A$2:$A$1860,A42,'07导出'!$D$2:$D$1860,"21305")</f>
        <v>0</v>
      </c>
      <c r="AL42" s="46">
        <f>SUMIFS('07导出'!$H$2:$H$1860,'07导出'!$A$2:$A$1860,A42,'07导出'!$D$2:$D$1860,"21305")</f>
        <v>0</v>
      </c>
      <c r="AM42" s="46">
        <f>SUMIFS('07导出'!$G$2:$G$1860,'07导出'!$A$2:$A$1860,A42,'07导出'!$C$2:$C$1860,"221")</f>
        <v>3109602</v>
      </c>
      <c r="AN42" s="46">
        <f>SUMIFS('07导出'!$H$2:$H$1860,'07导出'!$A$2:$A$1860,A42,'07导出'!$C$2:$C$1860,"221")</f>
        <v>3015866.88</v>
      </c>
      <c r="AO42" s="46">
        <f>SUMIFS('07导出'!$G$2:$G$1860,'07导出'!$A$2:$A$1860,A42,'07导出'!$D$2:$D$1860,"22102")</f>
        <v>3109602</v>
      </c>
      <c r="AP42" s="46">
        <f>SUMIFS('07导出'!$H$2:$H$1860,'07导出'!$A$2:$A$1860,A42,'07导出'!$D$2:$D$1860,"22102")</f>
        <v>3015866.88</v>
      </c>
    </row>
    <row r="43" spans="1:42">
      <c r="A43" s="43">
        <v>255053</v>
      </c>
      <c r="B43" s="44" t="s">
        <v>42</v>
      </c>
      <c r="C43" s="45">
        <f>SUMIFS('07导出'!$G$2:$G$1860,'07导出'!$A$2:$A$1860,A43,'07导出'!$C$2:$C$1860,"205")</f>
        <v>38752060.179999992</v>
      </c>
      <c r="D43" s="45">
        <f>SUMIFS('07导出'!$H$2:$H$1860,'07导出'!$A$2:$A$1860,A43,'07导出'!$C$2:$C$1860,"205")</f>
        <v>31210561.210000001</v>
      </c>
      <c r="E43" s="46">
        <f>SUMIFS('07导出'!$G$2:$G$1860,'07导出'!$A$2:$A$1860,A43,'07导出'!$D$2:$D$1860,"20502")</f>
        <v>33759405.439999998</v>
      </c>
      <c r="F43" s="46">
        <f>SUMIFS('07导出'!$H$2:$H$1860,'07导出'!$A$2:$A$1860,A43,'07导出'!$D$2:$D$1860,"20502")</f>
        <v>25979445.210000001</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80000</v>
      </c>
      <c r="O43" s="46">
        <f>SUMIFS('07导出'!$G$2:$G$1860,'07导出'!$A$2:$A$1860,A43,'07导出'!$D$2:$D$1860,"20509")</f>
        <v>4992654.74</v>
      </c>
      <c r="P43" s="46">
        <f>SUMIFS('07导出'!$H$2:$H$1860,'07导出'!$A$2:$A$1860,A43,'07导出'!$D$2:$D$1860,"20509")</f>
        <v>5151116</v>
      </c>
      <c r="Q43" s="46">
        <f>SUMIFS('07导出'!$G$2:$G$1860,'07导出'!$A$2:$A$1860,A43,'07导出'!$C$2:$C$1860,"206")</f>
        <v>0</v>
      </c>
      <c r="R43" s="46">
        <f>SUMIFS('07导出'!$H$2:$H$1860,'07导出'!$A$2:$A$1860,A43,'07导出'!$C$2:$C$1860,"206")</f>
        <v>0</v>
      </c>
      <c r="S43" s="46">
        <f>SUMIFS('07导出'!$G$2:$G$1860,'07导出'!$A$2:$A$1860,A43,'07导出'!$D$2:$D$1860,"20607")</f>
        <v>0</v>
      </c>
      <c r="T43" s="46">
        <f>SUMIFS('07导出'!$H$2:$H$1860,'07导出'!$A$2:$A$1860,A43,'07导出'!$D$2:$D$1860,"20607")</f>
        <v>0</v>
      </c>
      <c r="U43" s="46">
        <f>SUMIFS('07导出'!$G$2:$G$1860,'07导出'!$A$2:$A$1860,A43,'07导出'!$C$2:$C$1860,"208")</f>
        <v>5113613.0199999996</v>
      </c>
      <c r="V43" s="46">
        <f>SUMIFS('07导出'!$H$2:$H$1860,'07导出'!$A$2:$A$1860,A43,'07导出'!$C$2:$C$1860,"208")</f>
        <v>4240812.88</v>
      </c>
      <c r="W43" s="46">
        <f>SUMIFS('07导出'!$G$2:$G$1860,'07导出'!$A$2:$A$1860,A43,'07导出'!$D$2:$D$1860,"20805")</f>
        <v>5113613.0199999996</v>
      </c>
      <c r="X43" s="46">
        <f>SUMIFS('07导出'!$H$2:$H$1860,'07导出'!$A$2:$A$1860,A43,'07导出'!$D$2:$D$1860,"20805")</f>
        <v>4240812.88</v>
      </c>
      <c r="Y43" s="46">
        <f>SUMIFS('07导出'!$G$2:$G$1860,'07导出'!$A$2:$A$1860,A43,'07导出'!$D$2:$D$1860,"20808")</f>
        <v>0</v>
      </c>
      <c r="Z43" s="46">
        <f>SUMIFS('07导出'!$H$2:$H$1860,'07导出'!$A$2:$A$1860,A43,'07导出'!$D$2:$D$1860,"20808")</f>
        <v>0</v>
      </c>
      <c r="AA43" s="46">
        <f>SUMIFS('07导出'!$G$2:$G$1860,'07导出'!$A$2:$A$1860,A43,'07导出'!$C$2:$C$1860,"210")</f>
        <v>2091480.99</v>
      </c>
      <c r="AB43" s="46">
        <f>SUMIFS('07导出'!$H$2:$H$1860,'07导出'!$A$2:$A$1860,A43,'07导出'!$C$2:$C$1860,"210")</f>
        <v>1731835.56</v>
      </c>
      <c r="AC43" s="46">
        <f>SUMIFS('07导出'!$G$2:$G$1860,'07导出'!$A$2:$A$1860,A43,'07导出'!$D$2:$D$1860,"21011")</f>
        <v>2091480.99</v>
      </c>
      <c r="AD43" s="46">
        <f>SUMIFS('07导出'!$H$2:$H$1860,'07导出'!$A$2:$A$1860,A43,'07导出'!$D$2:$D$1860,"21011")</f>
        <v>1731835.56</v>
      </c>
      <c r="AE43" s="46">
        <f>SUMIFS('07导出'!$G$2:$G$1860,'07导出'!$A$2:$A$1860,A43,'07导出'!$C$2:$C$1860,"212")</f>
        <v>0</v>
      </c>
      <c r="AF43" s="46">
        <f>SUMIFS('07导出'!$H$2:$H$1860,'07导出'!$A$2:$A$1860,A43,'07导出'!$C$2:$C$1860,"212")</f>
        <v>0</v>
      </c>
      <c r="AG43" s="46">
        <f>SUMIFS('07导出'!$G$2:$G$1860,'07导出'!$A$2:$A$1860,A43,'07导出'!$D$2:$D$1860,"21203")</f>
        <v>0</v>
      </c>
      <c r="AH43" s="46">
        <f>SUMIFS('07导出'!$H$2:$H$1860,'07导出'!$A$2:$A$1860,A43,'07导出'!$D$2:$D$1860,"21203")</f>
        <v>0</v>
      </c>
      <c r="AI43" s="46">
        <f>SUMIFS('07导出'!$G$2:$G$1860,'07导出'!$A$2:$A$1860,A43,'07导出'!$C$2:$C$1860,"213")</f>
        <v>0</v>
      </c>
      <c r="AJ43" s="46">
        <f>SUMIFS('07导出'!$H$2:$H$1860,'07导出'!$A$2:$A$1860,A43,'07导出'!$C$2:$C$1860,"213")</f>
        <v>0</v>
      </c>
      <c r="AK43" s="46">
        <f>SUMIFS('07导出'!$G$2:$G$1860,'07导出'!$A$2:$A$1860,A43,'07导出'!$D$2:$D$1860,"21305")</f>
        <v>0</v>
      </c>
      <c r="AL43" s="46">
        <f>SUMIFS('07导出'!$H$2:$H$1860,'07导出'!$A$2:$A$1860,A43,'07导出'!$D$2:$D$1860,"21305")</f>
        <v>0</v>
      </c>
      <c r="AM43" s="46">
        <f>SUMIFS('07导出'!$G$2:$G$1860,'07导出'!$A$2:$A$1860,A43,'07导出'!$C$2:$C$1860,"221")</f>
        <v>4935228</v>
      </c>
      <c r="AN43" s="46">
        <f>SUMIFS('07导出'!$H$2:$H$1860,'07导出'!$A$2:$A$1860,A43,'07导出'!$C$2:$C$1860,"221")</f>
        <v>4547017.4399999995</v>
      </c>
      <c r="AO43" s="46">
        <f>SUMIFS('07导出'!$G$2:$G$1860,'07导出'!$A$2:$A$1860,A43,'07导出'!$D$2:$D$1860,"22102")</f>
        <v>4935228</v>
      </c>
      <c r="AP43" s="46">
        <f>SUMIFS('07导出'!$H$2:$H$1860,'07导出'!$A$2:$A$1860,A43,'07导出'!$D$2:$D$1860,"22102")</f>
        <v>4547017.4399999995</v>
      </c>
    </row>
    <row r="44" spans="1:42">
      <c r="A44" s="43">
        <v>255055</v>
      </c>
      <c r="B44" s="44" t="s">
        <v>43</v>
      </c>
      <c r="C44" s="45">
        <f>SUMIFS('07导出'!$G$2:$G$1860,'07导出'!$A$2:$A$1860,A44,'07导出'!$C$2:$C$1860,"205")</f>
        <v>44657682.640000001</v>
      </c>
      <c r="D44" s="45">
        <f>SUMIFS('07导出'!$H$2:$H$1860,'07导出'!$A$2:$A$1860,A44,'07导出'!$C$2:$C$1860,"205")</f>
        <v>33963174.450000003</v>
      </c>
      <c r="E44" s="46">
        <f>SUMIFS('07导出'!$G$2:$G$1860,'07导出'!$A$2:$A$1860,A44,'07导出'!$D$2:$D$1860,"20502")</f>
        <v>42608109.299999997</v>
      </c>
      <c r="F44" s="46">
        <f>SUMIFS('07导出'!$H$2:$H$1860,'07导出'!$A$2:$A$1860,A44,'07导出'!$D$2:$D$1860,"20502")</f>
        <v>31540774.449999999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3000</v>
      </c>
      <c r="N44" s="46">
        <f>SUMIFS('07导出'!$H$2:$H$1860,'07导出'!$A$2:$A$1860,A44,'07导出'!$D$2:$D$1860,"20508")</f>
        <v>102400</v>
      </c>
      <c r="O44" s="46">
        <f>SUMIFS('07导出'!$G$2:$G$1860,'07导出'!$A$2:$A$1860,A44,'07导出'!$D$2:$D$1860,"20509")</f>
        <v>2046573.3399999999</v>
      </c>
      <c r="P44" s="46">
        <f>SUMIFS('07导出'!$H$2:$H$1860,'07导出'!$A$2:$A$1860,A44,'07导出'!$D$2:$D$1860,"20509")</f>
        <v>2320000</v>
      </c>
      <c r="Q44" s="46">
        <f>SUMIFS('07导出'!$G$2:$G$1860,'07导出'!$A$2:$A$1860,A44,'07导出'!$C$2:$C$1860,"206")</f>
        <v>0</v>
      </c>
      <c r="R44" s="46">
        <f>SUMIFS('07导出'!$H$2:$H$1860,'07导出'!$A$2:$A$1860,A44,'07导出'!$C$2:$C$1860,"206")</f>
        <v>0</v>
      </c>
      <c r="S44" s="46">
        <f>SUMIFS('07导出'!$G$2:$G$1860,'07导出'!$A$2:$A$1860,A44,'07导出'!$D$2:$D$1860,"20607")</f>
        <v>0</v>
      </c>
      <c r="T44" s="46">
        <f>SUMIFS('07导出'!$H$2:$H$1860,'07导出'!$A$2:$A$1860,A44,'07导出'!$D$2:$D$1860,"20607")</f>
        <v>0</v>
      </c>
      <c r="U44" s="46">
        <f>SUMIFS('07导出'!$G$2:$G$1860,'07导出'!$A$2:$A$1860,A44,'07导出'!$C$2:$C$1860,"208")</f>
        <v>6795819.2999999998</v>
      </c>
      <c r="V44" s="46">
        <f>SUMIFS('07导出'!$H$2:$H$1860,'07导出'!$A$2:$A$1860,A44,'07导出'!$C$2:$C$1860,"208")</f>
        <v>5913564</v>
      </c>
      <c r="W44" s="46">
        <f>SUMIFS('07导出'!$G$2:$G$1860,'07导出'!$A$2:$A$1860,A44,'07导出'!$D$2:$D$1860,"20805")</f>
        <v>6795819.2999999998</v>
      </c>
      <c r="X44" s="46">
        <f>SUMIFS('07导出'!$H$2:$H$1860,'07导出'!$A$2:$A$1860,A44,'07导出'!$D$2:$D$1860,"20805")</f>
        <v>5913564</v>
      </c>
      <c r="Y44" s="46">
        <f>SUMIFS('07导出'!$G$2:$G$1860,'07导出'!$A$2:$A$1860,A44,'07导出'!$D$2:$D$1860,"20808")</f>
        <v>0</v>
      </c>
      <c r="Z44" s="46">
        <f>SUMIFS('07导出'!$H$2:$H$1860,'07导出'!$A$2:$A$1860,A44,'07导出'!$D$2:$D$1860,"20808")</f>
        <v>0</v>
      </c>
      <c r="AA44" s="46">
        <f>SUMIFS('07导出'!$G$2:$G$1860,'07导出'!$A$2:$A$1860,A44,'07导出'!$C$2:$C$1860,"210")</f>
        <v>2198696.06</v>
      </c>
      <c r="AB44" s="46">
        <f>SUMIFS('07导出'!$H$2:$H$1860,'07导出'!$A$2:$A$1860,A44,'07导出'!$C$2:$C$1860,"210")</f>
        <v>2183097.5</v>
      </c>
      <c r="AC44" s="46">
        <f>SUMIFS('07导出'!$G$2:$G$1860,'07导出'!$A$2:$A$1860,A44,'07导出'!$D$2:$D$1860,"21011")</f>
        <v>2198696.06</v>
      </c>
      <c r="AD44" s="46">
        <f>SUMIFS('07导出'!$H$2:$H$1860,'07导出'!$A$2:$A$1860,A44,'07导出'!$D$2:$D$1860,"21011")</f>
        <v>2183097.5</v>
      </c>
      <c r="AE44" s="46">
        <f>SUMIFS('07导出'!$G$2:$G$1860,'07导出'!$A$2:$A$1860,A44,'07导出'!$C$2:$C$1860,"212")</f>
        <v>0</v>
      </c>
      <c r="AF44" s="46">
        <f>SUMIFS('07导出'!$H$2:$H$1860,'07导出'!$A$2:$A$1860,A44,'07导出'!$C$2:$C$1860,"212")</f>
        <v>0</v>
      </c>
      <c r="AG44" s="46">
        <f>SUMIFS('07导出'!$G$2:$G$1860,'07导出'!$A$2:$A$1860,A44,'07导出'!$D$2:$D$1860,"21203")</f>
        <v>0</v>
      </c>
      <c r="AH44" s="46">
        <f>SUMIFS('07导出'!$H$2:$H$1860,'07导出'!$A$2:$A$1860,A44,'07导出'!$D$2:$D$1860,"21203")</f>
        <v>0</v>
      </c>
      <c r="AI44" s="46">
        <f>SUMIFS('07导出'!$G$2:$G$1860,'07导出'!$A$2:$A$1860,A44,'07导出'!$C$2:$C$1860,"213")</f>
        <v>0</v>
      </c>
      <c r="AJ44" s="46">
        <f>SUMIFS('07导出'!$H$2:$H$1860,'07导出'!$A$2:$A$1860,A44,'07导出'!$C$2:$C$1860,"213")</f>
        <v>0</v>
      </c>
      <c r="AK44" s="46">
        <f>SUMIFS('07导出'!$G$2:$G$1860,'07导出'!$A$2:$A$1860,A44,'07导出'!$D$2:$D$1860,"21305")</f>
        <v>0</v>
      </c>
      <c r="AL44" s="46">
        <f>SUMIFS('07导出'!$H$2:$H$1860,'07导出'!$A$2:$A$1860,A44,'07导出'!$D$2:$D$1860,"21305")</f>
        <v>0</v>
      </c>
      <c r="AM44" s="46">
        <f>SUMIFS('07导出'!$G$2:$G$1860,'07导出'!$A$2:$A$1860,A44,'07导出'!$C$2:$C$1860,"221")</f>
        <v>6676448</v>
      </c>
      <c r="AN44" s="46">
        <f>SUMIFS('07导出'!$H$2:$H$1860,'07导出'!$A$2:$A$1860,A44,'07导出'!$C$2:$C$1860,"221")</f>
        <v>5933982</v>
      </c>
      <c r="AO44" s="46">
        <f>SUMIFS('07导出'!$G$2:$G$1860,'07导出'!$A$2:$A$1860,A44,'07导出'!$D$2:$D$1860,"22102")</f>
        <v>6676448</v>
      </c>
      <c r="AP44" s="46">
        <f>SUMIFS('07导出'!$H$2:$H$1860,'07导出'!$A$2:$A$1860,A44,'07导出'!$D$2:$D$1860,"22102")</f>
        <v>5933982</v>
      </c>
    </row>
    <row r="45" spans="1:42">
      <c r="A45" s="43">
        <v>255056</v>
      </c>
      <c r="B45" s="44" t="s">
        <v>44</v>
      </c>
      <c r="C45" s="45">
        <f>SUMIFS('07导出'!$G$2:$G$1860,'07导出'!$A$2:$A$1860,A45,'07导出'!$C$2:$C$1860,"205")</f>
        <v>27069813.82</v>
      </c>
      <c r="D45" s="45">
        <f>SUMIFS('07导出'!$H$2:$H$1860,'07导出'!$A$2:$A$1860,A45,'07导出'!$C$2:$C$1860,"205")</f>
        <v>21034061.170000002</v>
      </c>
      <c r="E45" s="46">
        <f>SUMIFS('07导出'!$G$2:$G$1860,'07导出'!$A$2:$A$1860,A45,'07导出'!$D$2:$D$1860,"20502")</f>
        <v>25284090.859999999</v>
      </c>
      <c r="F45" s="46">
        <f>SUMIFS('07导出'!$H$2:$H$1860,'07导出'!$A$2:$A$1860,A45,'07导出'!$D$2:$D$1860,"20502")</f>
        <v>19143561.170000002</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1560</v>
      </c>
      <c r="N45" s="46">
        <f>SUMIFS('07导出'!$H$2:$H$1860,'07导出'!$A$2:$A$1860,A45,'07导出'!$D$2:$D$1860,"20508")</f>
        <v>60800</v>
      </c>
      <c r="O45" s="46">
        <f>SUMIFS('07导出'!$G$2:$G$1860,'07导出'!$A$2:$A$1860,A45,'07导出'!$D$2:$D$1860,"20509")</f>
        <v>1784162.96</v>
      </c>
      <c r="P45" s="46">
        <f>SUMIFS('07导出'!$H$2:$H$1860,'07导出'!$A$2:$A$1860,A45,'07导出'!$D$2:$D$1860,"20509")</f>
        <v>1829700</v>
      </c>
      <c r="Q45" s="46">
        <f>SUMIFS('07导出'!$G$2:$G$1860,'07导出'!$A$2:$A$1860,A45,'07导出'!$C$2:$C$1860,"206")</f>
        <v>0</v>
      </c>
      <c r="R45" s="46">
        <f>SUMIFS('07导出'!$H$2:$H$1860,'07导出'!$A$2:$A$1860,A45,'07导出'!$C$2:$C$1860,"206")</f>
        <v>0</v>
      </c>
      <c r="S45" s="46">
        <f>SUMIFS('07导出'!$G$2:$G$1860,'07导出'!$A$2:$A$1860,A45,'07导出'!$D$2:$D$1860,"20607")</f>
        <v>0</v>
      </c>
      <c r="T45" s="46">
        <f>SUMIFS('07导出'!$H$2:$H$1860,'07导出'!$A$2:$A$1860,A45,'07导出'!$D$2:$D$1860,"20607")</f>
        <v>0</v>
      </c>
      <c r="U45" s="46">
        <f>SUMIFS('07导出'!$G$2:$G$1860,'07导出'!$A$2:$A$1860,A45,'07导出'!$C$2:$C$1860,"208")</f>
        <v>3545457.68</v>
      </c>
      <c r="V45" s="46">
        <f>SUMIFS('07导出'!$H$2:$H$1860,'07导出'!$A$2:$A$1860,A45,'07导出'!$C$2:$C$1860,"208")</f>
        <v>3373793.0400000005</v>
      </c>
      <c r="W45" s="46">
        <f>SUMIFS('07导出'!$G$2:$G$1860,'07导出'!$A$2:$A$1860,A45,'07导出'!$D$2:$D$1860,"20805")</f>
        <v>3545457.68</v>
      </c>
      <c r="X45" s="46">
        <f>SUMIFS('07导出'!$H$2:$H$1860,'07导出'!$A$2:$A$1860,A45,'07导出'!$D$2:$D$1860,"20805")</f>
        <v>3373793.0400000005</v>
      </c>
      <c r="Y45" s="46">
        <f>SUMIFS('07导出'!$G$2:$G$1860,'07导出'!$A$2:$A$1860,A45,'07导出'!$D$2:$D$1860,"20808")</f>
        <v>0</v>
      </c>
      <c r="Z45" s="46">
        <f>SUMIFS('07导出'!$H$2:$H$1860,'07导出'!$A$2:$A$1860,A45,'07导出'!$D$2:$D$1860,"20808")</f>
        <v>0</v>
      </c>
      <c r="AA45" s="46">
        <f>SUMIFS('07导出'!$G$2:$G$1860,'07导出'!$A$2:$A$1860,A45,'07导出'!$C$2:$C$1860,"210")</f>
        <v>1263456.29</v>
      </c>
      <c r="AB45" s="46">
        <f>SUMIFS('07导出'!$H$2:$H$1860,'07导出'!$A$2:$A$1860,A45,'07导出'!$C$2:$C$1860,"210")</f>
        <v>1282104.98</v>
      </c>
      <c r="AC45" s="46">
        <f>SUMIFS('07导出'!$G$2:$G$1860,'07导出'!$A$2:$A$1860,A45,'07导出'!$D$2:$D$1860,"21011")</f>
        <v>1263456.29</v>
      </c>
      <c r="AD45" s="46">
        <f>SUMIFS('07导出'!$H$2:$H$1860,'07导出'!$A$2:$A$1860,A45,'07导出'!$D$2:$D$1860,"21011")</f>
        <v>1282104.98</v>
      </c>
      <c r="AE45" s="46">
        <f>SUMIFS('07导出'!$G$2:$G$1860,'07导出'!$A$2:$A$1860,A45,'07导出'!$C$2:$C$1860,"212")</f>
        <v>0</v>
      </c>
      <c r="AF45" s="46">
        <f>SUMIFS('07导出'!$H$2:$H$1860,'07导出'!$A$2:$A$1860,A45,'07导出'!$C$2:$C$1860,"212")</f>
        <v>0</v>
      </c>
      <c r="AG45" s="46">
        <f>SUMIFS('07导出'!$G$2:$G$1860,'07导出'!$A$2:$A$1860,A45,'07导出'!$D$2:$D$1860,"21203")</f>
        <v>0</v>
      </c>
      <c r="AH45" s="46">
        <f>SUMIFS('07导出'!$H$2:$H$1860,'07导出'!$A$2:$A$1860,A45,'07导出'!$D$2:$D$1860,"21203")</f>
        <v>0</v>
      </c>
      <c r="AI45" s="46">
        <f>SUMIFS('07导出'!$G$2:$G$1860,'07导出'!$A$2:$A$1860,A45,'07导出'!$C$2:$C$1860,"213")</f>
        <v>0</v>
      </c>
      <c r="AJ45" s="46">
        <f>SUMIFS('07导出'!$H$2:$H$1860,'07导出'!$A$2:$A$1860,A45,'07导出'!$C$2:$C$1860,"213")</f>
        <v>0</v>
      </c>
      <c r="AK45" s="46">
        <f>SUMIFS('07导出'!$G$2:$G$1860,'07导出'!$A$2:$A$1860,A45,'07导出'!$D$2:$D$1860,"21305")</f>
        <v>0</v>
      </c>
      <c r="AL45" s="46">
        <f>SUMIFS('07导出'!$H$2:$H$1860,'07导出'!$A$2:$A$1860,A45,'07导出'!$D$2:$D$1860,"21305")</f>
        <v>0</v>
      </c>
      <c r="AM45" s="46">
        <f>SUMIFS('07导出'!$G$2:$G$1860,'07导出'!$A$2:$A$1860,A45,'07导出'!$C$2:$C$1860,"221")</f>
        <v>3699640</v>
      </c>
      <c r="AN45" s="46">
        <f>SUMIFS('07导出'!$H$2:$H$1860,'07导出'!$A$2:$A$1860,A45,'07导出'!$C$2:$C$1860,"221")</f>
        <v>3363425.52</v>
      </c>
      <c r="AO45" s="46">
        <f>SUMIFS('07导出'!$G$2:$G$1860,'07导出'!$A$2:$A$1860,A45,'07导出'!$D$2:$D$1860,"22102")</f>
        <v>3699640</v>
      </c>
      <c r="AP45" s="46">
        <f>SUMIFS('07导出'!$H$2:$H$1860,'07导出'!$A$2:$A$1860,A45,'07导出'!$D$2:$D$1860,"22102")</f>
        <v>3363425.52</v>
      </c>
    </row>
    <row r="46" spans="1:42">
      <c r="A46" s="43">
        <v>255058</v>
      </c>
      <c r="B46" s="44" t="s">
        <v>45</v>
      </c>
      <c r="C46" s="45">
        <f>SUMIFS('07导出'!$G$2:$G$1860,'07导出'!$A$2:$A$1860,A46,'07导出'!$C$2:$C$1860,"205")</f>
        <v>41092100.969999999</v>
      </c>
      <c r="D46" s="45">
        <f>SUMIFS('07导出'!$H$2:$H$1860,'07导出'!$A$2:$A$1860,A46,'07导出'!$C$2:$C$1860,"205")</f>
        <v>33269302.629999999</v>
      </c>
      <c r="E46" s="46">
        <f>SUMIFS('07导出'!$G$2:$G$1860,'07导出'!$A$2:$A$1860,A46,'07导出'!$D$2:$D$1860,"20502")</f>
        <v>40082523.969999999</v>
      </c>
      <c r="F46" s="46">
        <f>SUMIFS('07导出'!$H$2:$H$1860,'07导出'!$A$2:$A$1860,A46,'07导出'!$D$2:$D$1860,"20502")</f>
        <v>32164045.629999999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3520</v>
      </c>
      <c r="N46" s="46">
        <f>SUMIFS('07导出'!$H$2:$H$1860,'07导出'!$A$2:$A$1860,A46,'07导出'!$D$2:$D$1860,"20508")</f>
        <v>99200</v>
      </c>
      <c r="O46" s="46">
        <f>SUMIFS('07导出'!$G$2:$G$1860,'07导出'!$A$2:$A$1860,A46,'07导出'!$D$2:$D$1860,"20509")</f>
        <v>1006057</v>
      </c>
      <c r="P46" s="46">
        <f>SUMIFS('07导出'!$H$2:$H$1860,'07导出'!$A$2:$A$1860,A46,'07导出'!$D$2:$D$1860,"20509")</f>
        <v>1006057</v>
      </c>
      <c r="Q46" s="46">
        <f>SUMIFS('07导出'!$G$2:$G$1860,'07导出'!$A$2:$A$1860,A46,'07导出'!$C$2:$C$1860,"206")</f>
        <v>0</v>
      </c>
      <c r="R46" s="46">
        <f>SUMIFS('07导出'!$H$2:$H$1860,'07导出'!$A$2:$A$1860,A46,'07导出'!$C$2:$C$1860,"206")</f>
        <v>0</v>
      </c>
      <c r="S46" s="46">
        <f>SUMIFS('07导出'!$G$2:$G$1860,'07导出'!$A$2:$A$1860,A46,'07导出'!$D$2:$D$1860,"20607")</f>
        <v>0</v>
      </c>
      <c r="T46" s="46">
        <f>SUMIFS('07导出'!$H$2:$H$1860,'07导出'!$A$2:$A$1860,A46,'07导出'!$D$2:$D$1860,"20607")</f>
        <v>0</v>
      </c>
      <c r="U46" s="46">
        <f>SUMIFS('07导出'!$G$2:$G$1860,'07导出'!$A$2:$A$1860,A46,'07导出'!$C$2:$C$1860,"208")</f>
        <v>4920013.68</v>
      </c>
      <c r="V46" s="46">
        <f>SUMIFS('07导出'!$H$2:$H$1860,'07导出'!$A$2:$A$1860,A46,'07导出'!$C$2:$C$1860,"208")</f>
        <v>4930793.28</v>
      </c>
      <c r="W46" s="46">
        <f>SUMIFS('07导出'!$G$2:$G$1860,'07导出'!$A$2:$A$1860,A46,'07导出'!$D$2:$D$1860,"20805")</f>
        <v>4920013.68</v>
      </c>
      <c r="X46" s="46">
        <f>SUMIFS('07导出'!$H$2:$H$1860,'07导出'!$A$2:$A$1860,A46,'07导出'!$D$2:$D$1860,"20805")</f>
        <v>4930793.28</v>
      </c>
      <c r="Y46" s="46">
        <f>SUMIFS('07导出'!$G$2:$G$1860,'07导出'!$A$2:$A$1860,A46,'07导出'!$D$2:$D$1860,"20808")</f>
        <v>0</v>
      </c>
      <c r="Z46" s="46">
        <f>SUMIFS('07导出'!$H$2:$H$1860,'07导出'!$A$2:$A$1860,A46,'07导出'!$D$2:$D$1860,"20808")</f>
        <v>0</v>
      </c>
      <c r="AA46" s="46">
        <f>SUMIFS('07导出'!$G$2:$G$1860,'07导出'!$A$2:$A$1860,A46,'07导出'!$C$2:$C$1860,"210")</f>
        <v>2504366.4</v>
      </c>
      <c r="AB46" s="46">
        <f>SUMIFS('07导出'!$H$2:$H$1860,'07导出'!$A$2:$A$1860,A46,'07导出'!$C$2:$C$1860,"210")</f>
        <v>2174259.36</v>
      </c>
      <c r="AC46" s="46">
        <f>SUMIFS('07导出'!$G$2:$G$1860,'07导出'!$A$2:$A$1860,A46,'07导出'!$D$2:$D$1860,"21011")</f>
        <v>2504366.4</v>
      </c>
      <c r="AD46" s="46">
        <f>SUMIFS('07导出'!$H$2:$H$1860,'07导出'!$A$2:$A$1860,A46,'07导出'!$D$2:$D$1860,"21011")</f>
        <v>2174259.36</v>
      </c>
      <c r="AE46" s="46">
        <f>SUMIFS('07导出'!$G$2:$G$1860,'07导出'!$A$2:$A$1860,A46,'07导出'!$C$2:$C$1860,"212")</f>
        <v>0</v>
      </c>
      <c r="AF46" s="46">
        <f>SUMIFS('07导出'!$H$2:$H$1860,'07导出'!$A$2:$A$1860,A46,'07导出'!$C$2:$C$1860,"212")</f>
        <v>0</v>
      </c>
      <c r="AG46" s="46">
        <f>SUMIFS('07导出'!$G$2:$G$1860,'07导出'!$A$2:$A$1860,A46,'07导出'!$D$2:$D$1860,"21203")</f>
        <v>0</v>
      </c>
      <c r="AH46" s="46">
        <f>SUMIFS('07导出'!$H$2:$H$1860,'07导出'!$A$2:$A$1860,A46,'07导出'!$D$2:$D$1860,"21203")</f>
        <v>0</v>
      </c>
      <c r="AI46" s="46">
        <f>SUMIFS('07导出'!$G$2:$G$1860,'07导出'!$A$2:$A$1860,A46,'07导出'!$C$2:$C$1860,"213")</f>
        <v>0</v>
      </c>
      <c r="AJ46" s="46">
        <f>SUMIFS('07导出'!$H$2:$H$1860,'07导出'!$A$2:$A$1860,A46,'07导出'!$C$2:$C$1860,"213")</f>
        <v>0</v>
      </c>
      <c r="AK46" s="46">
        <f>SUMIFS('07导出'!$G$2:$G$1860,'07导出'!$A$2:$A$1860,A46,'07导出'!$D$2:$D$1860,"21305")</f>
        <v>0</v>
      </c>
      <c r="AL46" s="46">
        <f>SUMIFS('07导出'!$H$2:$H$1860,'07导出'!$A$2:$A$1860,A46,'07导出'!$D$2:$D$1860,"21305")</f>
        <v>0</v>
      </c>
      <c r="AM46" s="46">
        <f>SUMIFS('07导出'!$G$2:$G$1860,'07导出'!$A$2:$A$1860,A46,'07导出'!$C$2:$C$1860,"221")</f>
        <v>6361123</v>
      </c>
      <c r="AN46" s="46">
        <f>SUMIFS('07导出'!$H$2:$H$1860,'07导出'!$A$2:$A$1860,A46,'07导出'!$C$2:$C$1860,"221")</f>
        <v>6084632.6400000006</v>
      </c>
      <c r="AO46" s="46">
        <f>SUMIFS('07导出'!$G$2:$G$1860,'07导出'!$A$2:$A$1860,A46,'07导出'!$D$2:$D$1860,"22102")</f>
        <v>6361123</v>
      </c>
      <c r="AP46" s="46">
        <f>SUMIFS('07导出'!$H$2:$H$1860,'07导出'!$A$2:$A$1860,A46,'07导出'!$D$2:$D$1860,"22102")</f>
        <v>6084632.6400000006</v>
      </c>
    </row>
    <row r="47" spans="1:42">
      <c r="A47" s="43">
        <v>255059</v>
      </c>
      <c r="B47" s="44" t="s">
        <v>46</v>
      </c>
      <c r="C47" s="45">
        <f>SUMIFS('07导出'!$G$2:$G$1860,'07导出'!$A$2:$A$1860,A47,'07导出'!$C$2:$C$1860,"205")</f>
        <v>18876489.490000002</v>
      </c>
      <c r="D47" s="45">
        <f>SUMIFS('07导出'!$H$2:$H$1860,'07导出'!$A$2:$A$1860,A47,'07导出'!$C$2:$C$1860,"205")</f>
        <v>14621687.84</v>
      </c>
      <c r="E47" s="46">
        <f>SUMIFS('07导出'!$G$2:$G$1860,'07导出'!$A$2:$A$1860,A47,'07导出'!$D$2:$D$1860,"20502")</f>
        <v>17605817.710000001</v>
      </c>
      <c r="F47" s="46">
        <f>SUMIFS('07导出'!$H$2:$H$1860,'07导出'!$A$2:$A$1860,A47,'07导出'!$D$2:$D$1860,"20502")</f>
        <v>13160133.039999999</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44000</v>
      </c>
      <c r="O47" s="46">
        <f>SUMIFS('07导出'!$G$2:$G$1860,'07导出'!$A$2:$A$1860,A47,'07导出'!$D$2:$D$1860,"20509")</f>
        <v>1270671.78</v>
      </c>
      <c r="P47" s="46">
        <f>SUMIFS('07导出'!$H$2:$H$1860,'07导出'!$A$2:$A$1860,A47,'07导出'!$D$2:$D$1860,"20509")</f>
        <v>1417554.8</v>
      </c>
      <c r="Q47" s="46">
        <f>SUMIFS('07导出'!$G$2:$G$1860,'07导出'!$A$2:$A$1860,A47,'07导出'!$C$2:$C$1860,"206")</f>
        <v>0</v>
      </c>
      <c r="R47" s="46">
        <f>SUMIFS('07导出'!$H$2:$H$1860,'07导出'!$A$2:$A$1860,A47,'07导出'!$C$2:$C$1860,"206")</f>
        <v>0</v>
      </c>
      <c r="S47" s="46">
        <f>SUMIFS('07导出'!$G$2:$G$1860,'07导出'!$A$2:$A$1860,A47,'07导出'!$D$2:$D$1860,"20607")</f>
        <v>0</v>
      </c>
      <c r="T47" s="46">
        <f>SUMIFS('07导出'!$H$2:$H$1860,'07导出'!$A$2:$A$1860,A47,'07导出'!$D$2:$D$1860,"20607")</f>
        <v>0</v>
      </c>
      <c r="U47" s="46">
        <f>SUMIFS('07导出'!$G$2:$G$1860,'07导出'!$A$2:$A$1860,A47,'07导出'!$C$2:$C$1860,"208")</f>
        <v>4540700.4000000004</v>
      </c>
      <c r="V47" s="46">
        <f>SUMIFS('07导出'!$H$2:$H$1860,'07导出'!$A$2:$A$1860,A47,'07导出'!$C$2:$C$1860,"208")</f>
        <v>3646063.1999999997</v>
      </c>
      <c r="W47" s="46">
        <f>SUMIFS('07导出'!$G$2:$G$1860,'07导出'!$A$2:$A$1860,A47,'07导出'!$D$2:$D$1860,"20805")</f>
        <v>4540700.4000000004</v>
      </c>
      <c r="X47" s="46">
        <f>SUMIFS('07导出'!$H$2:$H$1860,'07导出'!$A$2:$A$1860,A47,'07导出'!$D$2:$D$1860,"20805")</f>
        <v>3646063.1999999997</v>
      </c>
      <c r="Y47" s="46">
        <f>SUMIFS('07导出'!$G$2:$G$1860,'07导出'!$A$2:$A$1860,A47,'07导出'!$D$2:$D$1860,"20808")</f>
        <v>0</v>
      </c>
      <c r="Z47" s="46">
        <f>SUMIFS('07导出'!$H$2:$H$1860,'07导出'!$A$2:$A$1860,A47,'07导出'!$D$2:$D$1860,"20808")</f>
        <v>0</v>
      </c>
      <c r="AA47" s="46">
        <f>SUMIFS('07导出'!$G$2:$G$1860,'07导出'!$A$2:$A$1860,A47,'07导出'!$C$2:$C$1860,"210")</f>
        <v>890228.3</v>
      </c>
      <c r="AB47" s="46">
        <f>SUMIFS('07导出'!$H$2:$H$1860,'07导出'!$A$2:$A$1860,A47,'07导出'!$C$2:$C$1860,"210")</f>
        <v>871244.4</v>
      </c>
      <c r="AC47" s="46">
        <f>SUMIFS('07导出'!$G$2:$G$1860,'07导出'!$A$2:$A$1860,A47,'07导出'!$D$2:$D$1860,"21011")</f>
        <v>890228.3</v>
      </c>
      <c r="AD47" s="46">
        <f>SUMIFS('07导出'!$H$2:$H$1860,'07导出'!$A$2:$A$1860,A47,'07导出'!$D$2:$D$1860,"21011")</f>
        <v>871244.4</v>
      </c>
      <c r="AE47" s="46">
        <f>SUMIFS('07导出'!$G$2:$G$1860,'07导出'!$A$2:$A$1860,A47,'07导出'!$C$2:$C$1860,"212")</f>
        <v>0</v>
      </c>
      <c r="AF47" s="46">
        <f>SUMIFS('07导出'!$H$2:$H$1860,'07导出'!$A$2:$A$1860,A47,'07导出'!$C$2:$C$1860,"212")</f>
        <v>0</v>
      </c>
      <c r="AG47" s="46">
        <f>SUMIFS('07导出'!$G$2:$G$1860,'07导出'!$A$2:$A$1860,A47,'07导出'!$D$2:$D$1860,"21203")</f>
        <v>0</v>
      </c>
      <c r="AH47" s="46">
        <f>SUMIFS('07导出'!$H$2:$H$1860,'07导出'!$A$2:$A$1860,A47,'07导出'!$D$2:$D$1860,"21203")</f>
        <v>0</v>
      </c>
      <c r="AI47" s="46">
        <f>SUMIFS('07导出'!$G$2:$G$1860,'07导出'!$A$2:$A$1860,A47,'07导出'!$C$2:$C$1860,"213")</f>
        <v>0</v>
      </c>
      <c r="AJ47" s="46">
        <f>SUMIFS('07导出'!$H$2:$H$1860,'07导出'!$A$2:$A$1860,A47,'07导出'!$C$2:$C$1860,"213")</f>
        <v>0</v>
      </c>
      <c r="AK47" s="46">
        <f>SUMIFS('07导出'!$G$2:$G$1860,'07导出'!$A$2:$A$1860,A47,'07导出'!$D$2:$D$1860,"21305")</f>
        <v>0</v>
      </c>
      <c r="AL47" s="46">
        <f>SUMIFS('07导出'!$H$2:$H$1860,'07导出'!$A$2:$A$1860,A47,'07导出'!$D$2:$D$1860,"21305")</f>
        <v>0</v>
      </c>
      <c r="AM47" s="46">
        <f>SUMIFS('07导出'!$G$2:$G$1860,'07导出'!$A$2:$A$1860,A47,'07导出'!$C$2:$C$1860,"221")</f>
        <v>2591591.6</v>
      </c>
      <c r="AN47" s="46">
        <f>SUMIFS('07导出'!$H$2:$H$1860,'07导出'!$A$2:$A$1860,A47,'07导出'!$C$2:$C$1860,"221")</f>
        <v>2526513.6</v>
      </c>
      <c r="AO47" s="46">
        <f>SUMIFS('07导出'!$G$2:$G$1860,'07导出'!$A$2:$A$1860,A47,'07导出'!$D$2:$D$1860,"22102")</f>
        <v>2591591.6</v>
      </c>
      <c r="AP47" s="46">
        <f>SUMIFS('07导出'!$H$2:$H$1860,'07导出'!$A$2:$A$1860,A47,'07导出'!$D$2:$D$1860,"22102")</f>
        <v>2526513.6</v>
      </c>
    </row>
    <row r="48" spans="1:42">
      <c r="A48" s="43">
        <v>255060</v>
      </c>
      <c r="B48" s="44" t="s">
        <v>47</v>
      </c>
      <c r="C48" s="45">
        <f>SUMIFS('07导出'!$G$2:$G$1860,'07导出'!$A$2:$A$1860,A48,'07导出'!$C$2:$C$1860,"205")</f>
        <v>21208466.93</v>
      </c>
      <c r="D48" s="45">
        <f>SUMIFS('07导出'!$H$2:$H$1860,'07导出'!$A$2:$A$1860,A48,'07导出'!$C$2:$C$1860,"205")</f>
        <v>16909047.600000001</v>
      </c>
      <c r="E48" s="46">
        <f>SUMIFS('07导出'!$G$2:$G$1860,'07导出'!$A$2:$A$1860,A48,'07导出'!$D$2:$D$1860,"20502")</f>
        <v>20688949.530000001</v>
      </c>
      <c r="F48" s="46">
        <f>SUMIFS('07导出'!$H$2:$H$1860,'07导出'!$A$2:$A$1860,A48,'07导出'!$D$2:$D$1860,"20502")</f>
        <v>16129248.6</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0</v>
      </c>
      <c r="N48" s="46">
        <f>SUMIFS('07导出'!$H$2:$H$1860,'07导出'!$A$2:$A$1860,A48,'07导出'!$D$2:$D$1860,"20508")</f>
        <v>48800</v>
      </c>
      <c r="O48" s="46">
        <f>SUMIFS('07导出'!$G$2:$G$1860,'07导出'!$A$2:$A$1860,A48,'07导出'!$D$2:$D$1860,"20509")</f>
        <v>519517.4</v>
      </c>
      <c r="P48" s="46">
        <f>SUMIFS('07导出'!$H$2:$H$1860,'07导出'!$A$2:$A$1860,A48,'07导出'!$D$2:$D$1860,"20509")</f>
        <v>730999</v>
      </c>
      <c r="Q48" s="46">
        <f>SUMIFS('07导出'!$G$2:$G$1860,'07导出'!$A$2:$A$1860,A48,'07导出'!$C$2:$C$1860,"206")</f>
        <v>0</v>
      </c>
      <c r="R48" s="46">
        <f>SUMIFS('07导出'!$H$2:$H$1860,'07导出'!$A$2:$A$1860,A48,'07导出'!$C$2:$C$1860,"206")</f>
        <v>0</v>
      </c>
      <c r="S48" s="46">
        <f>SUMIFS('07导出'!$G$2:$G$1860,'07导出'!$A$2:$A$1860,A48,'07导出'!$D$2:$D$1860,"20607")</f>
        <v>0</v>
      </c>
      <c r="T48" s="46">
        <f>SUMIFS('07导出'!$H$2:$H$1860,'07导出'!$A$2:$A$1860,A48,'07导出'!$D$2:$D$1860,"20607")</f>
        <v>0</v>
      </c>
      <c r="U48" s="46">
        <f>SUMIFS('07导出'!$G$2:$G$1860,'07导出'!$A$2:$A$1860,A48,'07导出'!$C$2:$C$1860,"208")</f>
        <v>3576785.84</v>
      </c>
      <c r="V48" s="46">
        <f>SUMIFS('07导出'!$H$2:$H$1860,'07导出'!$A$2:$A$1860,A48,'07导出'!$C$2:$C$1860,"208")</f>
        <v>3239968.4</v>
      </c>
      <c r="W48" s="46">
        <f>SUMIFS('07导出'!$G$2:$G$1860,'07导出'!$A$2:$A$1860,A48,'07导出'!$D$2:$D$1860,"20805")</f>
        <v>3576785.84</v>
      </c>
      <c r="X48" s="46">
        <f>SUMIFS('07导出'!$H$2:$H$1860,'07导出'!$A$2:$A$1860,A48,'07导出'!$D$2:$D$1860,"20805")</f>
        <v>3239968.4</v>
      </c>
      <c r="Y48" s="46">
        <f>SUMIFS('07导出'!$G$2:$G$1860,'07导出'!$A$2:$A$1860,A48,'07导出'!$D$2:$D$1860,"20808")</f>
        <v>0</v>
      </c>
      <c r="Z48" s="46">
        <f>SUMIFS('07导出'!$H$2:$H$1860,'07导出'!$A$2:$A$1860,A48,'07导出'!$D$2:$D$1860,"20808")</f>
        <v>0</v>
      </c>
      <c r="AA48" s="46">
        <f>SUMIFS('07导出'!$G$2:$G$1860,'07导出'!$A$2:$A$1860,A48,'07导出'!$C$2:$C$1860,"210")</f>
        <v>1453213.97</v>
      </c>
      <c r="AB48" s="46">
        <f>SUMIFS('07导出'!$H$2:$H$1860,'07导出'!$A$2:$A$1860,A48,'07导出'!$C$2:$C$1860,"210")</f>
        <v>1309540.1000000001</v>
      </c>
      <c r="AC48" s="46">
        <f>SUMIFS('07导出'!$G$2:$G$1860,'07导出'!$A$2:$A$1860,A48,'07导出'!$D$2:$D$1860,"21011")</f>
        <v>1453213.97</v>
      </c>
      <c r="AD48" s="46">
        <f>SUMIFS('07导出'!$H$2:$H$1860,'07导出'!$A$2:$A$1860,A48,'07导出'!$D$2:$D$1860,"21011")</f>
        <v>1309540.1000000001</v>
      </c>
      <c r="AE48" s="46">
        <f>SUMIFS('07导出'!$G$2:$G$1860,'07导出'!$A$2:$A$1860,A48,'07导出'!$C$2:$C$1860,"212")</f>
        <v>0</v>
      </c>
      <c r="AF48" s="46">
        <f>SUMIFS('07导出'!$H$2:$H$1860,'07导出'!$A$2:$A$1860,A48,'07导出'!$C$2:$C$1860,"212")</f>
        <v>0</v>
      </c>
      <c r="AG48" s="46">
        <f>SUMIFS('07导出'!$G$2:$G$1860,'07导出'!$A$2:$A$1860,A48,'07导出'!$D$2:$D$1860,"21203")</f>
        <v>0</v>
      </c>
      <c r="AH48" s="46">
        <f>SUMIFS('07导出'!$H$2:$H$1860,'07导出'!$A$2:$A$1860,A48,'07导出'!$D$2:$D$1860,"21203")</f>
        <v>0</v>
      </c>
      <c r="AI48" s="46">
        <f>SUMIFS('07导出'!$G$2:$G$1860,'07导出'!$A$2:$A$1860,A48,'07导出'!$C$2:$C$1860,"213")</f>
        <v>0</v>
      </c>
      <c r="AJ48" s="46">
        <f>SUMIFS('07导出'!$H$2:$H$1860,'07导出'!$A$2:$A$1860,A48,'07导出'!$C$2:$C$1860,"213")</f>
        <v>0</v>
      </c>
      <c r="AK48" s="46">
        <f>SUMIFS('07导出'!$G$2:$G$1860,'07导出'!$A$2:$A$1860,A48,'07导出'!$D$2:$D$1860,"21305")</f>
        <v>0</v>
      </c>
      <c r="AL48" s="46">
        <f>SUMIFS('07导出'!$H$2:$H$1860,'07导出'!$A$2:$A$1860,A48,'07导出'!$D$2:$D$1860,"21305")</f>
        <v>0</v>
      </c>
      <c r="AM48" s="46">
        <f>SUMIFS('07导出'!$G$2:$G$1860,'07导出'!$A$2:$A$1860,A48,'07导出'!$C$2:$C$1860,"221")</f>
        <v>3133283</v>
      </c>
      <c r="AN48" s="46">
        <f>SUMIFS('07导出'!$H$2:$H$1860,'07导出'!$A$2:$A$1860,A48,'07导出'!$C$2:$C$1860,"221")</f>
        <v>3054896.4</v>
      </c>
      <c r="AO48" s="46">
        <f>SUMIFS('07导出'!$G$2:$G$1860,'07导出'!$A$2:$A$1860,A48,'07导出'!$D$2:$D$1860,"22102")</f>
        <v>3133283</v>
      </c>
      <c r="AP48" s="46">
        <f>SUMIFS('07导出'!$H$2:$H$1860,'07导出'!$A$2:$A$1860,A48,'07导出'!$D$2:$D$1860,"22102")</f>
        <v>3054896.4</v>
      </c>
    </row>
    <row r="49" spans="1:42">
      <c r="A49" s="43">
        <v>255061</v>
      </c>
      <c r="B49" s="44" t="s">
        <v>48</v>
      </c>
      <c r="C49" s="45">
        <f>SUMIFS('07导出'!$G$2:$G$1860,'07导出'!$A$2:$A$1860,A49,'07导出'!$C$2:$C$1860,"205")</f>
        <v>85486365.38000001</v>
      </c>
      <c r="D49" s="45">
        <f>SUMIFS('07导出'!$H$2:$H$1860,'07导出'!$A$2:$A$1860,A49,'07导出'!$C$2:$C$1860,"205")</f>
        <v>63461937.969999999</v>
      </c>
      <c r="E49" s="46">
        <f>SUMIFS('07导出'!$G$2:$G$1860,'07导出'!$A$2:$A$1860,A49,'07导出'!$D$2:$D$1860,"20502")</f>
        <v>81408445.180000007</v>
      </c>
      <c r="F49" s="46">
        <f>SUMIFS('07导出'!$H$2:$H$1860,'07导出'!$A$2:$A$1860,A49,'07导出'!$D$2:$D$1860,"20502")</f>
        <v>58824397.969999999</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5600</v>
      </c>
      <c r="N49" s="46">
        <f>SUMIFS('07导出'!$H$2:$H$1860,'07导出'!$A$2:$A$1860,A49,'07导出'!$D$2:$D$1860,"20508")</f>
        <v>166400</v>
      </c>
      <c r="O49" s="46">
        <f>SUMIFS('07导出'!$G$2:$G$1860,'07导出'!$A$2:$A$1860,A49,'07导出'!$D$2:$D$1860,"20509")</f>
        <v>4072320.2</v>
      </c>
      <c r="P49" s="46">
        <f>SUMIFS('07导出'!$H$2:$H$1860,'07导出'!$A$2:$A$1860,A49,'07导出'!$D$2:$D$1860,"20509")</f>
        <v>4471140</v>
      </c>
      <c r="Q49" s="46">
        <f>SUMIFS('07导出'!$G$2:$G$1860,'07导出'!$A$2:$A$1860,A49,'07导出'!$C$2:$C$1860,"206")</f>
        <v>0</v>
      </c>
      <c r="R49" s="46">
        <f>SUMIFS('07导出'!$H$2:$H$1860,'07导出'!$A$2:$A$1860,A49,'07导出'!$C$2:$C$1860,"206")</f>
        <v>0</v>
      </c>
      <c r="S49" s="46">
        <f>SUMIFS('07导出'!$G$2:$G$1860,'07导出'!$A$2:$A$1860,A49,'07导出'!$D$2:$D$1860,"20607")</f>
        <v>0</v>
      </c>
      <c r="T49" s="46">
        <f>SUMIFS('07导出'!$H$2:$H$1860,'07导出'!$A$2:$A$1860,A49,'07导出'!$D$2:$D$1860,"20607")</f>
        <v>0</v>
      </c>
      <c r="U49" s="46">
        <f>SUMIFS('07导出'!$G$2:$G$1860,'07导出'!$A$2:$A$1860,A49,'07导出'!$C$2:$C$1860,"208")</f>
        <v>8280617.8399999999</v>
      </c>
      <c r="V49" s="46">
        <f>SUMIFS('07导出'!$H$2:$H$1860,'07导出'!$A$2:$A$1860,A49,'07导出'!$C$2:$C$1860,"208")</f>
        <v>8935370.3999999985</v>
      </c>
      <c r="W49" s="46">
        <f>SUMIFS('07导出'!$G$2:$G$1860,'07导出'!$A$2:$A$1860,A49,'07导出'!$D$2:$D$1860,"20805")</f>
        <v>8280617.8399999999</v>
      </c>
      <c r="X49" s="46">
        <f>SUMIFS('07导出'!$H$2:$H$1860,'07导出'!$A$2:$A$1860,A49,'07导出'!$D$2:$D$1860,"20805")</f>
        <v>8935370.3999999985</v>
      </c>
      <c r="Y49" s="46">
        <f>SUMIFS('07导出'!$G$2:$G$1860,'07导出'!$A$2:$A$1860,A49,'07导出'!$D$2:$D$1860,"20808")</f>
        <v>0</v>
      </c>
      <c r="Z49" s="46">
        <f>SUMIFS('07导出'!$H$2:$H$1860,'07导出'!$A$2:$A$1860,A49,'07导出'!$D$2:$D$1860,"20808")</f>
        <v>0</v>
      </c>
      <c r="AA49" s="46">
        <f>SUMIFS('07导出'!$G$2:$G$1860,'07导出'!$A$2:$A$1860,A49,'07导出'!$C$2:$C$1860,"210")</f>
        <v>4214838.2300000004</v>
      </c>
      <c r="AB49" s="46">
        <f>SUMIFS('07导出'!$H$2:$H$1860,'07导出'!$A$2:$A$1860,A49,'07导出'!$C$2:$C$1860,"210")</f>
        <v>4046790.8</v>
      </c>
      <c r="AC49" s="46">
        <f>SUMIFS('07导出'!$G$2:$G$1860,'07导出'!$A$2:$A$1860,A49,'07导出'!$D$2:$D$1860,"21011")</f>
        <v>4214838.2300000004</v>
      </c>
      <c r="AD49" s="46">
        <f>SUMIFS('07导出'!$H$2:$H$1860,'07导出'!$A$2:$A$1860,A49,'07导出'!$D$2:$D$1860,"21011")</f>
        <v>4046790.8</v>
      </c>
      <c r="AE49" s="46">
        <f>SUMIFS('07导出'!$G$2:$G$1860,'07导出'!$A$2:$A$1860,A49,'07导出'!$C$2:$C$1860,"212")</f>
        <v>0</v>
      </c>
      <c r="AF49" s="46">
        <f>SUMIFS('07导出'!$H$2:$H$1860,'07导出'!$A$2:$A$1860,A49,'07导出'!$C$2:$C$1860,"212")</f>
        <v>0</v>
      </c>
      <c r="AG49" s="46">
        <f>SUMIFS('07导出'!$G$2:$G$1860,'07导出'!$A$2:$A$1860,A49,'07导出'!$D$2:$D$1860,"21203")</f>
        <v>0</v>
      </c>
      <c r="AH49" s="46">
        <f>SUMIFS('07导出'!$H$2:$H$1860,'07导出'!$A$2:$A$1860,A49,'07导出'!$D$2:$D$1860,"21203")</f>
        <v>0</v>
      </c>
      <c r="AI49" s="46">
        <f>SUMIFS('07导出'!$G$2:$G$1860,'07导出'!$A$2:$A$1860,A49,'07导出'!$C$2:$C$1860,"213")</f>
        <v>0</v>
      </c>
      <c r="AJ49" s="46">
        <f>SUMIFS('07导出'!$H$2:$H$1860,'07导出'!$A$2:$A$1860,A49,'07导出'!$C$2:$C$1860,"213")</f>
        <v>0</v>
      </c>
      <c r="AK49" s="46">
        <f>SUMIFS('07导出'!$G$2:$G$1860,'07导出'!$A$2:$A$1860,A49,'07导出'!$D$2:$D$1860,"21305")</f>
        <v>0</v>
      </c>
      <c r="AL49" s="46">
        <f>SUMIFS('07导出'!$H$2:$H$1860,'07导出'!$A$2:$A$1860,A49,'07导出'!$D$2:$D$1860,"21305")</f>
        <v>0</v>
      </c>
      <c r="AM49" s="46">
        <f>SUMIFS('07导出'!$G$2:$G$1860,'07导出'!$A$2:$A$1860,A49,'07导出'!$C$2:$C$1860,"221")</f>
        <v>11114700</v>
      </c>
      <c r="AN49" s="46">
        <f>SUMIFS('07导出'!$H$2:$H$1860,'07导出'!$A$2:$A$1860,A49,'07导出'!$C$2:$C$1860,"221")</f>
        <v>10558930.199999999</v>
      </c>
      <c r="AO49" s="46">
        <f>SUMIFS('07导出'!$G$2:$G$1860,'07导出'!$A$2:$A$1860,A49,'07导出'!$D$2:$D$1860,"22102")</f>
        <v>11114700</v>
      </c>
      <c r="AP49" s="46">
        <f>SUMIFS('07导出'!$H$2:$H$1860,'07导出'!$A$2:$A$1860,A49,'07导出'!$D$2:$D$1860,"22102")</f>
        <v>10558930.199999999</v>
      </c>
    </row>
    <row r="50" spans="1:42">
      <c r="A50" s="43">
        <v>255062</v>
      </c>
      <c r="B50" s="44" t="s">
        <v>49</v>
      </c>
      <c r="C50" s="45">
        <f>SUMIFS('07导出'!$G$2:$G$1860,'07导出'!$A$2:$A$1860,A50,'07导出'!$C$2:$C$1860,"205")</f>
        <v>143542419.65000001</v>
      </c>
      <c r="D50" s="45">
        <f>SUMIFS('07导出'!$H$2:$H$1860,'07导出'!$A$2:$A$1860,A50,'07导出'!$C$2:$C$1860,"205")</f>
        <v>117261057.16</v>
      </c>
      <c r="E50" s="46">
        <f>SUMIFS('07导出'!$G$2:$G$1860,'07导出'!$A$2:$A$1860,A50,'07导出'!$D$2:$D$1860,"20502")</f>
        <v>140548243.59999999</v>
      </c>
      <c r="F50" s="46">
        <f>SUMIFS('07导出'!$H$2:$H$1860,'07导出'!$A$2:$A$1860,A50,'07导出'!$D$2:$D$1860,"20502")</f>
        <v>113638268.86999999</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14749</v>
      </c>
      <c r="N50" s="46">
        <f>SUMIFS('07导出'!$H$2:$H$1860,'07导出'!$A$2:$A$1860,A50,'07导出'!$D$2:$D$1860,"20508")</f>
        <v>316000</v>
      </c>
      <c r="O50" s="46">
        <f>SUMIFS('07导出'!$G$2:$G$1860,'07导出'!$A$2:$A$1860,A50,'07导出'!$D$2:$D$1860,"20509")</f>
        <v>2979427.05</v>
      </c>
      <c r="P50" s="46">
        <f>SUMIFS('07导出'!$H$2:$H$1860,'07导出'!$A$2:$A$1860,A50,'07导出'!$D$2:$D$1860,"20509")</f>
        <v>3306788.29</v>
      </c>
      <c r="Q50" s="46">
        <f>SUMIFS('07导出'!$G$2:$G$1860,'07导出'!$A$2:$A$1860,A50,'07导出'!$C$2:$C$1860,"206")</f>
        <v>0</v>
      </c>
      <c r="R50" s="46">
        <f>SUMIFS('07导出'!$H$2:$H$1860,'07导出'!$A$2:$A$1860,A50,'07导出'!$C$2:$C$1860,"206")</f>
        <v>0</v>
      </c>
      <c r="S50" s="46">
        <f>SUMIFS('07导出'!$G$2:$G$1860,'07导出'!$A$2:$A$1860,A50,'07导出'!$D$2:$D$1860,"20607")</f>
        <v>0</v>
      </c>
      <c r="T50" s="46">
        <f>SUMIFS('07导出'!$H$2:$H$1860,'07导出'!$A$2:$A$1860,A50,'07导出'!$D$2:$D$1860,"20607")</f>
        <v>0</v>
      </c>
      <c r="U50" s="46">
        <f>SUMIFS('07导出'!$G$2:$G$1860,'07导出'!$A$2:$A$1860,A50,'07导出'!$C$2:$C$1860,"208")</f>
        <v>19806845.57</v>
      </c>
      <c r="V50" s="46">
        <f>SUMIFS('07导出'!$H$2:$H$1860,'07导出'!$A$2:$A$1860,A50,'07导出'!$C$2:$C$1860,"208")</f>
        <v>19903645.32</v>
      </c>
      <c r="W50" s="46">
        <f>SUMIFS('07导出'!$G$2:$G$1860,'07导出'!$A$2:$A$1860,A50,'07导出'!$D$2:$D$1860,"20805")</f>
        <v>19806845.57</v>
      </c>
      <c r="X50" s="46">
        <f>SUMIFS('07导出'!$H$2:$H$1860,'07导出'!$A$2:$A$1860,A50,'07导出'!$D$2:$D$1860,"20805")</f>
        <v>19903645.32</v>
      </c>
      <c r="Y50" s="46">
        <f>SUMIFS('07导出'!$G$2:$G$1860,'07导出'!$A$2:$A$1860,A50,'07导出'!$D$2:$D$1860,"20808")</f>
        <v>0</v>
      </c>
      <c r="Z50" s="46">
        <f>SUMIFS('07导出'!$H$2:$H$1860,'07导出'!$A$2:$A$1860,A50,'07导出'!$D$2:$D$1860,"20808")</f>
        <v>0</v>
      </c>
      <c r="AA50" s="46">
        <f>SUMIFS('07导出'!$G$2:$G$1860,'07导出'!$A$2:$A$1860,A50,'07导出'!$C$2:$C$1860,"210")</f>
        <v>9445216.8599999994</v>
      </c>
      <c r="AB50" s="46">
        <f>SUMIFS('07导出'!$H$2:$H$1860,'07导出'!$A$2:$A$1860,A50,'07导出'!$C$2:$C$1860,"210")</f>
        <v>8555683.3399999999</v>
      </c>
      <c r="AC50" s="46">
        <f>SUMIFS('07导出'!$G$2:$G$1860,'07导出'!$A$2:$A$1860,A50,'07导出'!$D$2:$D$1860,"21011")</f>
        <v>9445216.8599999994</v>
      </c>
      <c r="AD50" s="46">
        <f>SUMIFS('07导出'!$H$2:$H$1860,'07导出'!$A$2:$A$1860,A50,'07导出'!$D$2:$D$1860,"21011")</f>
        <v>8555683.3399999999</v>
      </c>
      <c r="AE50" s="46">
        <f>SUMIFS('07导出'!$G$2:$G$1860,'07导出'!$A$2:$A$1860,A50,'07导出'!$C$2:$C$1860,"212")</f>
        <v>0</v>
      </c>
      <c r="AF50" s="46">
        <f>SUMIFS('07导出'!$H$2:$H$1860,'07导出'!$A$2:$A$1860,A50,'07导出'!$C$2:$C$1860,"212")</f>
        <v>0</v>
      </c>
      <c r="AG50" s="46">
        <f>SUMIFS('07导出'!$G$2:$G$1860,'07导出'!$A$2:$A$1860,A50,'07导出'!$D$2:$D$1860,"21203")</f>
        <v>0</v>
      </c>
      <c r="AH50" s="46">
        <f>SUMIFS('07导出'!$H$2:$H$1860,'07导出'!$A$2:$A$1860,A50,'07导出'!$D$2:$D$1860,"21203")</f>
        <v>0</v>
      </c>
      <c r="AI50" s="46">
        <f>SUMIFS('07导出'!$G$2:$G$1860,'07导出'!$A$2:$A$1860,A50,'07导出'!$C$2:$C$1860,"213")</f>
        <v>0</v>
      </c>
      <c r="AJ50" s="46">
        <f>SUMIFS('07导出'!$H$2:$H$1860,'07导出'!$A$2:$A$1860,A50,'07导出'!$C$2:$C$1860,"213")</f>
        <v>0</v>
      </c>
      <c r="AK50" s="46">
        <f>SUMIFS('07导出'!$G$2:$G$1860,'07导出'!$A$2:$A$1860,A50,'07导出'!$D$2:$D$1860,"21305")</f>
        <v>0</v>
      </c>
      <c r="AL50" s="46">
        <f>SUMIFS('07导出'!$H$2:$H$1860,'07导出'!$A$2:$A$1860,A50,'07导出'!$D$2:$D$1860,"21305")</f>
        <v>0</v>
      </c>
      <c r="AM50" s="46">
        <f>SUMIFS('07导出'!$G$2:$G$1860,'07导出'!$A$2:$A$1860,A50,'07导出'!$C$2:$C$1860,"221")</f>
        <v>22709168</v>
      </c>
      <c r="AN50" s="46">
        <f>SUMIFS('07导出'!$H$2:$H$1860,'07导出'!$A$2:$A$1860,A50,'07导出'!$C$2:$C$1860,"221")</f>
        <v>21005954.16</v>
      </c>
      <c r="AO50" s="46">
        <f>SUMIFS('07导出'!$G$2:$G$1860,'07导出'!$A$2:$A$1860,A50,'07导出'!$D$2:$D$1860,"22102")</f>
        <v>22709168</v>
      </c>
      <c r="AP50" s="46">
        <f>SUMIFS('07导出'!$H$2:$H$1860,'07导出'!$A$2:$A$1860,A50,'07导出'!$D$2:$D$1860,"22102")</f>
        <v>21005954.16</v>
      </c>
    </row>
    <row r="51" spans="1:42">
      <c r="A51" s="43">
        <v>255063</v>
      </c>
      <c r="B51" s="44" t="s">
        <v>50</v>
      </c>
      <c r="C51" s="45">
        <f>SUMIFS('07导出'!$G$2:$G$1860,'07导出'!$A$2:$A$1860,A51,'07导出'!$C$2:$C$1860,"205")</f>
        <v>16027199.869999999</v>
      </c>
      <c r="D51" s="45">
        <f>SUMIFS('07导出'!$H$2:$H$1860,'07导出'!$A$2:$A$1860,A51,'07导出'!$C$2:$C$1860,"205")</f>
        <v>12493060.09</v>
      </c>
      <c r="E51" s="46">
        <f>SUMIFS('07导出'!$G$2:$G$1860,'07导出'!$A$2:$A$1860,A51,'07导出'!$D$2:$D$1860,"20502")</f>
        <v>15354885.379999999</v>
      </c>
      <c r="F51" s="46">
        <f>SUMIFS('07导出'!$H$2:$H$1860,'07导出'!$A$2:$A$1860,A51,'07导出'!$D$2:$D$1860,"20502")</f>
        <v>11785060.09</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10559</v>
      </c>
      <c r="N51" s="46">
        <f>SUMIFS('07导出'!$H$2:$H$1860,'07导出'!$A$2:$A$1860,A51,'07导出'!$D$2:$D$1860,"20508")</f>
        <v>36800</v>
      </c>
      <c r="O51" s="46">
        <f>SUMIFS('07导出'!$G$2:$G$1860,'07导出'!$A$2:$A$1860,A51,'07导出'!$D$2:$D$1860,"20509")</f>
        <v>661755.49</v>
      </c>
      <c r="P51" s="46">
        <f>SUMIFS('07导出'!$H$2:$H$1860,'07导出'!$A$2:$A$1860,A51,'07导出'!$D$2:$D$1860,"20509")</f>
        <v>671200</v>
      </c>
      <c r="Q51" s="46">
        <f>SUMIFS('07导出'!$G$2:$G$1860,'07导出'!$A$2:$A$1860,A51,'07导出'!$C$2:$C$1860,"206")</f>
        <v>0</v>
      </c>
      <c r="R51" s="46">
        <f>SUMIFS('07导出'!$H$2:$H$1860,'07导出'!$A$2:$A$1860,A51,'07导出'!$C$2:$C$1860,"206")</f>
        <v>0</v>
      </c>
      <c r="S51" s="46">
        <f>SUMIFS('07导出'!$G$2:$G$1860,'07导出'!$A$2:$A$1860,A51,'07导出'!$D$2:$D$1860,"20607")</f>
        <v>0</v>
      </c>
      <c r="T51" s="46">
        <f>SUMIFS('07导出'!$H$2:$H$1860,'07导出'!$A$2:$A$1860,A51,'07导出'!$D$2:$D$1860,"20607")</f>
        <v>0</v>
      </c>
      <c r="U51" s="46">
        <f>SUMIFS('07导出'!$G$2:$G$1860,'07导出'!$A$2:$A$1860,A51,'07导出'!$C$2:$C$1860,"208")</f>
        <v>2314664.6799999997</v>
      </c>
      <c r="V51" s="46">
        <f>SUMIFS('07导出'!$H$2:$H$1860,'07导出'!$A$2:$A$1860,A51,'07导出'!$C$2:$C$1860,"208")</f>
        <v>1938565.3599999999</v>
      </c>
      <c r="W51" s="46">
        <f>SUMIFS('07导出'!$G$2:$G$1860,'07导出'!$A$2:$A$1860,A51,'07导出'!$D$2:$D$1860,"20805")</f>
        <v>2314664.6799999997</v>
      </c>
      <c r="X51" s="46">
        <f>SUMIFS('07导出'!$H$2:$H$1860,'07导出'!$A$2:$A$1860,A51,'07导出'!$D$2:$D$1860,"20805")</f>
        <v>1938565.3599999999</v>
      </c>
      <c r="Y51" s="46">
        <f>SUMIFS('07导出'!$G$2:$G$1860,'07导出'!$A$2:$A$1860,A51,'07导出'!$D$2:$D$1860,"20808")</f>
        <v>0</v>
      </c>
      <c r="Z51" s="46">
        <f>SUMIFS('07导出'!$H$2:$H$1860,'07导出'!$A$2:$A$1860,A51,'07导出'!$D$2:$D$1860,"20808")</f>
        <v>0</v>
      </c>
      <c r="AA51" s="46">
        <f>SUMIFS('07导出'!$G$2:$G$1860,'07导出'!$A$2:$A$1860,A51,'07导出'!$C$2:$C$1860,"210")</f>
        <v>876248.91</v>
      </c>
      <c r="AB51" s="46">
        <f>SUMIFS('07导出'!$H$2:$H$1860,'07导出'!$A$2:$A$1860,A51,'07导出'!$C$2:$C$1860,"210")</f>
        <v>815433.32</v>
      </c>
      <c r="AC51" s="46">
        <f>SUMIFS('07导出'!$G$2:$G$1860,'07导出'!$A$2:$A$1860,A51,'07导出'!$D$2:$D$1860,"21011")</f>
        <v>876248.91</v>
      </c>
      <c r="AD51" s="46">
        <f>SUMIFS('07导出'!$H$2:$H$1860,'07导出'!$A$2:$A$1860,A51,'07导出'!$D$2:$D$1860,"21011")</f>
        <v>815433.32</v>
      </c>
      <c r="AE51" s="46">
        <f>SUMIFS('07导出'!$G$2:$G$1860,'07导出'!$A$2:$A$1860,A51,'07导出'!$C$2:$C$1860,"212")</f>
        <v>0</v>
      </c>
      <c r="AF51" s="46">
        <f>SUMIFS('07导出'!$H$2:$H$1860,'07导出'!$A$2:$A$1860,A51,'07导出'!$C$2:$C$1860,"212")</f>
        <v>0</v>
      </c>
      <c r="AG51" s="46">
        <f>SUMIFS('07导出'!$G$2:$G$1860,'07导出'!$A$2:$A$1860,A51,'07导出'!$D$2:$D$1860,"21203")</f>
        <v>0</v>
      </c>
      <c r="AH51" s="46">
        <f>SUMIFS('07导出'!$H$2:$H$1860,'07导出'!$A$2:$A$1860,A51,'07导出'!$D$2:$D$1860,"21203")</f>
        <v>0</v>
      </c>
      <c r="AI51" s="46">
        <f>SUMIFS('07导出'!$G$2:$G$1860,'07导出'!$A$2:$A$1860,A51,'07导出'!$C$2:$C$1860,"213")</f>
        <v>0</v>
      </c>
      <c r="AJ51" s="46">
        <f>SUMIFS('07导出'!$H$2:$H$1860,'07导出'!$A$2:$A$1860,A51,'07导出'!$C$2:$C$1860,"213")</f>
        <v>0</v>
      </c>
      <c r="AK51" s="46">
        <f>SUMIFS('07导出'!$G$2:$G$1860,'07导出'!$A$2:$A$1860,A51,'07导出'!$D$2:$D$1860,"21305")</f>
        <v>0</v>
      </c>
      <c r="AL51" s="46">
        <f>SUMIFS('07导出'!$H$2:$H$1860,'07导出'!$A$2:$A$1860,A51,'07导出'!$D$2:$D$1860,"21305")</f>
        <v>0</v>
      </c>
      <c r="AM51" s="46">
        <f>SUMIFS('07导出'!$G$2:$G$1860,'07导出'!$A$2:$A$1860,A51,'07导出'!$C$2:$C$1860,"221")</f>
        <v>2508136</v>
      </c>
      <c r="AN51" s="46">
        <f>SUMIFS('07导出'!$H$2:$H$1860,'07导出'!$A$2:$A$1860,A51,'07导出'!$C$2:$C$1860,"221")</f>
        <v>2366815.6800000002</v>
      </c>
      <c r="AO51" s="46">
        <f>SUMIFS('07导出'!$G$2:$G$1860,'07导出'!$A$2:$A$1860,A51,'07导出'!$D$2:$D$1860,"22102")</f>
        <v>2508136</v>
      </c>
      <c r="AP51" s="46">
        <f>SUMIFS('07导出'!$H$2:$H$1860,'07导出'!$A$2:$A$1860,A51,'07导出'!$D$2:$D$1860,"22102")</f>
        <v>2366815.6800000002</v>
      </c>
    </row>
    <row r="52" spans="1:42">
      <c r="A52" s="43">
        <v>255064</v>
      </c>
      <c r="B52" s="44" t="s">
        <v>51</v>
      </c>
      <c r="C52" s="45">
        <f>SUMIFS('07导出'!$G$2:$G$1860,'07导出'!$A$2:$A$1860,A52,'07导出'!$C$2:$C$1860,"205")</f>
        <v>50083873.969999999</v>
      </c>
      <c r="D52" s="45">
        <f>SUMIFS('07导出'!$H$2:$H$1860,'07导出'!$A$2:$A$1860,A52,'07导出'!$C$2:$C$1860,"205")</f>
        <v>40894380.880000003</v>
      </c>
      <c r="E52" s="46">
        <f>SUMIFS('07导出'!$G$2:$G$1860,'07导出'!$A$2:$A$1860,A52,'07导出'!$D$2:$D$1860,"20502")</f>
        <v>46549927.420000002</v>
      </c>
      <c r="F52" s="46">
        <f>SUMIFS('07导出'!$H$2:$H$1860,'07导出'!$A$2:$A$1860,A52,'07导出'!$D$2:$D$1860,"20502")</f>
        <v>37003698.289999999</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57600</v>
      </c>
      <c r="N52" s="46">
        <f>SUMIFS('07导出'!$H$2:$H$1860,'07导出'!$A$2:$A$1860,A52,'07导出'!$D$2:$D$1860,"20508")</f>
        <v>115200</v>
      </c>
      <c r="O52" s="46">
        <f>SUMIFS('07导出'!$G$2:$G$1860,'07导出'!$A$2:$A$1860,A52,'07导出'!$D$2:$D$1860,"20509")</f>
        <v>3476346.55</v>
      </c>
      <c r="P52" s="46">
        <f>SUMIFS('07导出'!$H$2:$H$1860,'07导出'!$A$2:$A$1860,A52,'07导出'!$D$2:$D$1860,"20509")</f>
        <v>3775482.59</v>
      </c>
      <c r="Q52" s="46">
        <f>SUMIFS('07导出'!$G$2:$G$1860,'07导出'!$A$2:$A$1860,A52,'07导出'!$C$2:$C$1860,"206")</f>
        <v>0</v>
      </c>
      <c r="R52" s="46">
        <f>SUMIFS('07导出'!$H$2:$H$1860,'07导出'!$A$2:$A$1860,A52,'07导出'!$C$2:$C$1860,"206")</f>
        <v>0</v>
      </c>
      <c r="S52" s="46">
        <f>SUMIFS('07导出'!$G$2:$G$1860,'07导出'!$A$2:$A$1860,A52,'07导出'!$D$2:$D$1860,"20607")</f>
        <v>0</v>
      </c>
      <c r="T52" s="46">
        <f>SUMIFS('07导出'!$H$2:$H$1860,'07导出'!$A$2:$A$1860,A52,'07导出'!$D$2:$D$1860,"20607")</f>
        <v>0</v>
      </c>
      <c r="U52" s="46">
        <f>SUMIFS('07导出'!$G$2:$G$1860,'07导出'!$A$2:$A$1860,A52,'07导出'!$C$2:$C$1860,"208")</f>
        <v>6428261.0600000005</v>
      </c>
      <c r="V52" s="46">
        <f>SUMIFS('07导出'!$H$2:$H$1860,'07导出'!$A$2:$A$1860,A52,'07导出'!$C$2:$C$1860,"208")</f>
        <v>6239281.8400000008</v>
      </c>
      <c r="W52" s="46">
        <f>SUMIFS('07导出'!$G$2:$G$1860,'07导出'!$A$2:$A$1860,A52,'07导出'!$D$2:$D$1860,"20805")</f>
        <v>6169223.0600000005</v>
      </c>
      <c r="X52" s="46">
        <f>SUMIFS('07导出'!$H$2:$H$1860,'07导出'!$A$2:$A$1860,A52,'07导出'!$D$2:$D$1860,"20805")</f>
        <v>6239281.8400000008</v>
      </c>
      <c r="Y52" s="46">
        <f>SUMIFS('07导出'!$G$2:$G$1860,'07导出'!$A$2:$A$1860,A52,'07导出'!$D$2:$D$1860,"20808")</f>
        <v>259038</v>
      </c>
      <c r="Z52" s="46">
        <f>SUMIFS('07导出'!$H$2:$H$1860,'07导出'!$A$2:$A$1860,A52,'07导出'!$D$2:$D$1860,"20808")</f>
        <v>0</v>
      </c>
      <c r="AA52" s="46">
        <f>SUMIFS('07导出'!$G$2:$G$1860,'07导出'!$A$2:$A$1860,A52,'07导出'!$C$2:$C$1860,"210")</f>
        <v>3544843.06</v>
      </c>
      <c r="AB52" s="46">
        <f>SUMIFS('07导出'!$H$2:$H$1860,'07导出'!$A$2:$A$1860,A52,'07导出'!$C$2:$C$1860,"210")</f>
        <v>2734474.08</v>
      </c>
      <c r="AC52" s="46">
        <f>SUMIFS('07导出'!$G$2:$G$1860,'07导出'!$A$2:$A$1860,A52,'07导出'!$D$2:$D$1860,"21011")</f>
        <v>3544843.06</v>
      </c>
      <c r="AD52" s="46">
        <f>SUMIFS('07导出'!$H$2:$H$1860,'07导出'!$A$2:$A$1860,A52,'07导出'!$D$2:$D$1860,"21011")</f>
        <v>2734474.08</v>
      </c>
      <c r="AE52" s="46">
        <f>SUMIFS('07导出'!$G$2:$G$1860,'07导出'!$A$2:$A$1860,A52,'07导出'!$C$2:$C$1860,"212")</f>
        <v>0</v>
      </c>
      <c r="AF52" s="46">
        <f>SUMIFS('07导出'!$H$2:$H$1860,'07导出'!$A$2:$A$1860,A52,'07导出'!$C$2:$C$1860,"212")</f>
        <v>0</v>
      </c>
      <c r="AG52" s="46">
        <f>SUMIFS('07导出'!$G$2:$G$1860,'07导出'!$A$2:$A$1860,A52,'07导出'!$D$2:$D$1860,"21203")</f>
        <v>0</v>
      </c>
      <c r="AH52" s="46">
        <f>SUMIFS('07导出'!$H$2:$H$1860,'07导出'!$A$2:$A$1860,A52,'07导出'!$D$2:$D$1860,"21203")</f>
        <v>0</v>
      </c>
      <c r="AI52" s="46">
        <f>SUMIFS('07导出'!$G$2:$G$1860,'07导出'!$A$2:$A$1860,A52,'07导出'!$C$2:$C$1860,"213")</f>
        <v>0</v>
      </c>
      <c r="AJ52" s="46">
        <f>SUMIFS('07导出'!$H$2:$H$1860,'07导出'!$A$2:$A$1860,A52,'07导出'!$C$2:$C$1860,"213")</f>
        <v>0</v>
      </c>
      <c r="AK52" s="46">
        <f>SUMIFS('07导出'!$G$2:$G$1860,'07导出'!$A$2:$A$1860,A52,'07导出'!$D$2:$D$1860,"21305")</f>
        <v>0</v>
      </c>
      <c r="AL52" s="46">
        <f>SUMIFS('07导出'!$H$2:$H$1860,'07导出'!$A$2:$A$1860,A52,'07导出'!$D$2:$D$1860,"21305")</f>
        <v>0</v>
      </c>
      <c r="AM52" s="46">
        <f>SUMIFS('07导出'!$G$2:$G$1860,'07导出'!$A$2:$A$1860,A52,'07导出'!$C$2:$C$1860,"221")</f>
        <v>7525912</v>
      </c>
      <c r="AN52" s="46">
        <f>SUMIFS('07导出'!$H$2:$H$1860,'07导出'!$A$2:$A$1860,A52,'07导出'!$C$2:$C$1860,"221")</f>
        <v>7194829.9199999999</v>
      </c>
      <c r="AO52" s="46">
        <f>SUMIFS('07导出'!$G$2:$G$1860,'07导出'!$A$2:$A$1860,A52,'07导出'!$D$2:$D$1860,"22102")</f>
        <v>7525912</v>
      </c>
      <c r="AP52" s="46">
        <f>SUMIFS('07导出'!$H$2:$H$1860,'07导出'!$A$2:$A$1860,A52,'07导出'!$D$2:$D$1860,"22102")</f>
        <v>7194829.9199999999</v>
      </c>
    </row>
    <row r="53" spans="1:42">
      <c r="A53" s="43">
        <v>255065</v>
      </c>
      <c r="B53" s="44" t="s">
        <v>52</v>
      </c>
      <c r="C53" s="45">
        <f>SUMIFS('07导出'!$G$2:$G$1860,'07导出'!$A$2:$A$1860,A53,'07导出'!$C$2:$C$1860,"205")</f>
        <v>48512372.100000001</v>
      </c>
      <c r="D53" s="45">
        <f>SUMIFS('07导出'!$H$2:$H$1860,'07导出'!$A$2:$A$1860,A53,'07导出'!$C$2:$C$1860,"205")</f>
        <v>40079588.539999999</v>
      </c>
      <c r="E53" s="46">
        <f>SUMIFS('07导出'!$G$2:$G$1860,'07导出'!$A$2:$A$1860,A53,'07导出'!$D$2:$D$1860,"20502")</f>
        <v>47952972.100000001</v>
      </c>
      <c r="F53" s="46">
        <f>SUMIFS('07导出'!$H$2:$H$1860,'07导出'!$A$2:$A$1860,A53,'07导出'!$D$2:$D$1860,"20502")</f>
        <v>39402588.539999999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0</v>
      </c>
      <c r="N53" s="46">
        <f>SUMIFS('07导出'!$H$2:$H$1860,'07导出'!$A$2:$A$1860,A53,'07导出'!$D$2:$D$1860,"20508")</f>
        <v>117600</v>
      </c>
      <c r="O53" s="46">
        <f>SUMIFS('07导出'!$G$2:$G$1860,'07导出'!$A$2:$A$1860,A53,'07导出'!$D$2:$D$1860,"20509")</f>
        <v>559400</v>
      </c>
      <c r="P53" s="46">
        <f>SUMIFS('07导出'!$H$2:$H$1860,'07导出'!$A$2:$A$1860,A53,'07导出'!$D$2:$D$1860,"20509")</f>
        <v>559400</v>
      </c>
      <c r="Q53" s="46">
        <f>SUMIFS('07导出'!$G$2:$G$1860,'07导出'!$A$2:$A$1860,A53,'07导出'!$C$2:$C$1860,"206")</f>
        <v>0</v>
      </c>
      <c r="R53" s="46">
        <f>SUMIFS('07导出'!$H$2:$H$1860,'07导出'!$A$2:$A$1860,A53,'07导出'!$C$2:$C$1860,"206")</f>
        <v>0</v>
      </c>
      <c r="S53" s="46">
        <f>SUMIFS('07导出'!$G$2:$G$1860,'07导出'!$A$2:$A$1860,A53,'07导出'!$D$2:$D$1860,"20607")</f>
        <v>0</v>
      </c>
      <c r="T53" s="46">
        <f>SUMIFS('07导出'!$H$2:$H$1860,'07导出'!$A$2:$A$1860,A53,'07导出'!$D$2:$D$1860,"20607")</f>
        <v>0</v>
      </c>
      <c r="U53" s="46">
        <f>SUMIFS('07导出'!$G$2:$G$1860,'07导出'!$A$2:$A$1860,A53,'07导出'!$C$2:$C$1860,"208")</f>
        <v>7134331.7200000007</v>
      </c>
      <c r="V53" s="46">
        <f>SUMIFS('07导出'!$H$2:$H$1860,'07导出'!$A$2:$A$1860,A53,'07导出'!$C$2:$C$1860,"208")</f>
        <v>6880182.5600000005</v>
      </c>
      <c r="W53" s="46">
        <f>SUMIFS('07导出'!$G$2:$G$1860,'07导出'!$A$2:$A$1860,A53,'07导出'!$D$2:$D$1860,"20805")</f>
        <v>7134331.7200000007</v>
      </c>
      <c r="X53" s="46">
        <f>SUMIFS('07导出'!$H$2:$H$1860,'07导出'!$A$2:$A$1860,A53,'07导出'!$D$2:$D$1860,"20805")</f>
        <v>6880182.5600000005</v>
      </c>
      <c r="Y53" s="46">
        <f>SUMIFS('07导出'!$G$2:$G$1860,'07导出'!$A$2:$A$1860,A53,'07导出'!$D$2:$D$1860,"20808")</f>
        <v>0</v>
      </c>
      <c r="Z53" s="46">
        <f>SUMIFS('07导出'!$H$2:$H$1860,'07导出'!$A$2:$A$1860,A53,'07导出'!$D$2:$D$1860,"20808")</f>
        <v>0</v>
      </c>
      <c r="AA53" s="46">
        <f>SUMIFS('07导出'!$G$2:$G$1860,'07导出'!$A$2:$A$1860,A53,'07导出'!$C$2:$C$1860,"210")</f>
        <v>3016464.21</v>
      </c>
      <c r="AB53" s="46">
        <f>SUMIFS('07导出'!$H$2:$H$1860,'07导出'!$A$2:$A$1860,A53,'07导出'!$C$2:$C$1860,"210")</f>
        <v>3103466.22</v>
      </c>
      <c r="AC53" s="46">
        <f>SUMIFS('07导出'!$G$2:$G$1860,'07导出'!$A$2:$A$1860,A53,'07导出'!$D$2:$D$1860,"21011")</f>
        <v>3016464.21</v>
      </c>
      <c r="AD53" s="46">
        <f>SUMIFS('07导出'!$H$2:$H$1860,'07导出'!$A$2:$A$1860,A53,'07导出'!$D$2:$D$1860,"21011")</f>
        <v>3103466.22</v>
      </c>
      <c r="AE53" s="46">
        <f>SUMIFS('07导出'!$G$2:$G$1860,'07导出'!$A$2:$A$1860,A53,'07导出'!$C$2:$C$1860,"212")</f>
        <v>0</v>
      </c>
      <c r="AF53" s="46">
        <f>SUMIFS('07导出'!$H$2:$H$1860,'07导出'!$A$2:$A$1860,A53,'07导出'!$C$2:$C$1860,"212")</f>
        <v>0</v>
      </c>
      <c r="AG53" s="46">
        <f>SUMIFS('07导出'!$G$2:$G$1860,'07导出'!$A$2:$A$1860,A53,'07导出'!$D$2:$D$1860,"21203")</f>
        <v>0</v>
      </c>
      <c r="AH53" s="46">
        <f>SUMIFS('07导出'!$H$2:$H$1860,'07导出'!$A$2:$A$1860,A53,'07导出'!$D$2:$D$1860,"21203")</f>
        <v>0</v>
      </c>
      <c r="AI53" s="46">
        <f>SUMIFS('07导出'!$G$2:$G$1860,'07导出'!$A$2:$A$1860,A53,'07导出'!$C$2:$C$1860,"213")</f>
        <v>0</v>
      </c>
      <c r="AJ53" s="46">
        <f>SUMIFS('07导出'!$H$2:$H$1860,'07导出'!$A$2:$A$1860,A53,'07导出'!$C$2:$C$1860,"213")</f>
        <v>0</v>
      </c>
      <c r="AK53" s="46">
        <f>SUMIFS('07导出'!$G$2:$G$1860,'07导出'!$A$2:$A$1860,A53,'07导出'!$D$2:$D$1860,"21305")</f>
        <v>0</v>
      </c>
      <c r="AL53" s="46">
        <f>SUMIFS('07导出'!$H$2:$H$1860,'07导出'!$A$2:$A$1860,A53,'07导出'!$D$2:$D$1860,"21305")</f>
        <v>0</v>
      </c>
      <c r="AM53" s="46">
        <f>SUMIFS('07导出'!$G$2:$G$1860,'07导出'!$A$2:$A$1860,A53,'07导出'!$C$2:$C$1860,"221")</f>
        <v>7783139</v>
      </c>
      <c r="AN53" s="46">
        <f>SUMIFS('07导出'!$H$2:$H$1860,'07导出'!$A$2:$A$1860,A53,'07导出'!$C$2:$C$1860,"221")</f>
        <v>7577231.2799999993</v>
      </c>
      <c r="AO53" s="46">
        <f>SUMIFS('07导出'!$G$2:$G$1860,'07导出'!$A$2:$A$1860,A53,'07导出'!$D$2:$D$1860,"22102")</f>
        <v>7783139</v>
      </c>
      <c r="AP53" s="46">
        <f>SUMIFS('07导出'!$H$2:$H$1860,'07导出'!$A$2:$A$1860,A53,'07导出'!$D$2:$D$1860,"22102")</f>
        <v>7577231.2799999993</v>
      </c>
    </row>
    <row r="54" spans="1:42">
      <c r="A54" s="43">
        <v>255066</v>
      </c>
      <c r="B54" s="44" t="s">
        <v>53</v>
      </c>
      <c r="C54" s="45">
        <f>SUMIFS('07导出'!$G$2:$G$1860,'07导出'!$A$2:$A$1860,A54,'07导出'!$C$2:$C$1860,"205")</f>
        <v>53492917.469999999</v>
      </c>
      <c r="D54" s="45">
        <f>SUMIFS('07导出'!$H$2:$H$1860,'07导出'!$A$2:$A$1860,A54,'07导出'!$C$2:$C$1860,"205")</f>
        <v>45978037.699999996</v>
      </c>
      <c r="E54" s="46">
        <f>SUMIFS('07导出'!$G$2:$G$1860,'07导出'!$A$2:$A$1860,A54,'07导出'!$D$2:$D$1860,"20502")</f>
        <v>46433794.879999995</v>
      </c>
      <c r="F54" s="46">
        <f>SUMIFS('07导出'!$H$2:$H$1860,'07导出'!$A$2:$A$1860,A54,'07导出'!$D$2:$D$1860,"20502")</f>
        <v>35816677.699999996</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0</v>
      </c>
      <c r="N54" s="46">
        <f>SUMIFS('07导出'!$H$2:$H$1860,'07导出'!$A$2:$A$1860,A54,'07导出'!$D$2:$D$1860,"20508")</f>
        <v>112800</v>
      </c>
      <c r="O54" s="46">
        <f>SUMIFS('07导出'!$G$2:$G$1860,'07导出'!$A$2:$A$1860,A54,'07导出'!$D$2:$D$1860,"20509")</f>
        <v>7059122.5899999999</v>
      </c>
      <c r="P54" s="46">
        <f>SUMIFS('07导出'!$H$2:$H$1860,'07导出'!$A$2:$A$1860,A54,'07导出'!$D$2:$D$1860,"20509")</f>
        <v>10048560</v>
      </c>
      <c r="Q54" s="46">
        <f>SUMIFS('07导出'!$G$2:$G$1860,'07导出'!$A$2:$A$1860,A54,'07导出'!$C$2:$C$1860,"206")</f>
        <v>0</v>
      </c>
      <c r="R54" s="46">
        <f>SUMIFS('07导出'!$H$2:$H$1860,'07导出'!$A$2:$A$1860,A54,'07导出'!$C$2:$C$1860,"206")</f>
        <v>0</v>
      </c>
      <c r="S54" s="46">
        <f>SUMIFS('07导出'!$G$2:$G$1860,'07导出'!$A$2:$A$1860,A54,'07导出'!$D$2:$D$1860,"20607")</f>
        <v>0</v>
      </c>
      <c r="T54" s="46">
        <f>SUMIFS('07导出'!$H$2:$H$1860,'07导出'!$A$2:$A$1860,A54,'07导出'!$D$2:$D$1860,"20607")</f>
        <v>0</v>
      </c>
      <c r="U54" s="46">
        <f>SUMIFS('07导出'!$G$2:$G$1860,'07导出'!$A$2:$A$1860,A54,'07导出'!$C$2:$C$1860,"208")</f>
        <v>9054255.7699999996</v>
      </c>
      <c r="V54" s="46">
        <f>SUMIFS('07导出'!$H$2:$H$1860,'07导出'!$A$2:$A$1860,A54,'07导出'!$C$2:$C$1860,"208")</f>
        <v>7667966.8200000003</v>
      </c>
      <c r="W54" s="46">
        <f>SUMIFS('07导出'!$G$2:$G$1860,'07导出'!$A$2:$A$1860,A54,'07导出'!$D$2:$D$1860,"20805")</f>
        <v>9054255.7699999996</v>
      </c>
      <c r="X54" s="46">
        <f>SUMIFS('07导出'!$H$2:$H$1860,'07导出'!$A$2:$A$1860,A54,'07导出'!$D$2:$D$1860,"20805")</f>
        <v>7667966.8200000003</v>
      </c>
      <c r="Y54" s="46">
        <f>SUMIFS('07导出'!$G$2:$G$1860,'07导出'!$A$2:$A$1860,A54,'07导出'!$D$2:$D$1860,"20808")</f>
        <v>0</v>
      </c>
      <c r="Z54" s="46">
        <f>SUMIFS('07导出'!$H$2:$H$1860,'07导出'!$A$2:$A$1860,A54,'07导出'!$D$2:$D$1860,"20808")</f>
        <v>0</v>
      </c>
      <c r="AA54" s="46">
        <f>SUMIFS('07导出'!$G$2:$G$1860,'07导出'!$A$2:$A$1860,A54,'07导出'!$C$2:$C$1860,"210")</f>
        <v>3602953.92</v>
      </c>
      <c r="AB54" s="46">
        <f>SUMIFS('07导出'!$H$2:$H$1860,'07导出'!$A$2:$A$1860,A54,'07导出'!$C$2:$C$1860,"210")</f>
        <v>2860631.64</v>
      </c>
      <c r="AC54" s="46">
        <f>SUMIFS('07导出'!$G$2:$G$1860,'07导出'!$A$2:$A$1860,A54,'07导出'!$D$2:$D$1860,"21011")</f>
        <v>3602953.92</v>
      </c>
      <c r="AD54" s="46">
        <f>SUMIFS('07导出'!$H$2:$H$1860,'07导出'!$A$2:$A$1860,A54,'07导出'!$D$2:$D$1860,"21011")</f>
        <v>2860631.64</v>
      </c>
      <c r="AE54" s="46">
        <f>SUMIFS('07导出'!$G$2:$G$1860,'07导出'!$A$2:$A$1860,A54,'07导出'!$C$2:$C$1860,"212")</f>
        <v>0</v>
      </c>
      <c r="AF54" s="46">
        <f>SUMIFS('07导出'!$H$2:$H$1860,'07导出'!$A$2:$A$1860,A54,'07导出'!$C$2:$C$1860,"212")</f>
        <v>0</v>
      </c>
      <c r="AG54" s="46">
        <f>SUMIFS('07导出'!$G$2:$G$1860,'07导出'!$A$2:$A$1860,A54,'07导出'!$D$2:$D$1860,"21203")</f>
        <v>0</v>
      </c>
      <c r="AH54" s="46">
        <f>SUMIFS('07导出'!$H$2:$H$1860,'07导出'!$A$2:$A$1860,A54,'07导出'!$D$2:$D$1860,"21203")</f>
        <v>0</v>
      </c>
      <c r="AI54" s="46">
        <f>SUMIFS('07导出'!$G$2:$G$1860,'07导出'!$A$2:$A$1860,A54,'07导出'!$C$2:$C$1860,"213")</f>
        <v>0</v>
      </c>
      <c r="AJ54" s="46">
        <f>SUMIFS('07导出'!$H$2:$H$1860,'07导出'!$A$2:$A$1860,A54,'07导出'!$C$2:$C$1860,"213")</f>
        <v>0</v>
      </c>
      <c r="AK54" s="46">
        <f>SUMIFS('07导出'!$G$2:$G$1860,'07导出'!$A$2:$A$1860,A54,'07导出'!$D$2:$D$1860,"21305")</f>
        <v>0</v>
      </c>
      <c r="AL54" s="46">
        <f>SUMIFS('07导出'!$H$2:$H$1860,'07导出'!$A$2:$A$1860,A54,'07导出'!$D$2:$D$1860,"21305")</f>
        <v>0</v>
      </c>
      <c r="AM54" s="46">
        <f>SUMIFS('07导出'!$G$2:$G$1860,'07导出'!$A$2:$A$1860,A54,'07导出'!$C$2:$C$1860,"221")</f>
        <v>7629063</v>
      </c>
      <c r="AN54" s="46">
        <f>SUMIFS('07导出'!$H$2:$H$1860,'07导出'!$A$2:$A$1860,A54,'07导出'!$C$2:$C$1860,"221")</f>
        <v>6624747.3599999994</v>
      </c>
      <c r="AO54" s="46">
        <f>SUMIFS('07导出'!$G$2:$G$1860,'07导出'!$A$2:$A$1860,A54,'07导出'!$D$2:$D$1860,"22102")</f>
        <v>7629063</v>
      </c>
      <c r="AP54" s="46">
        <f>SUMIFS('07导出'!$H$2:$H$1860,'07导出'!$A$2:$A$1860,A54,'07导出'!$D$2:$D$1860,"22102")</f>
        <v>6624747.3599999994</v>
      </c>
    </row>
    <row r="55" spans="1:42">
      <c r="A55" s="43">
        <v>255067</v>
      </c>
      <c r="B55" s="44" t="s">
        <v>54</v>
      </c>
      <c r="C55" s="45">
        <f>SUMIFS('07导出'!$G$2:$G$1860,'07导出'!$A$2:$A$1860,A55,'07导出'!$C$2:$C$1860,"205")</f>
        <v>64768855.530000001</v>
      </c>
      <c r="D55" s="45">
        <f>SUMIFS('07导出'!$H$2:$H$1860,'07导出'!$A$2:$A$1860,A55,'07导出'!$C$2:$C$1860,"205")</f>
        <v>49040650.32</v>
      </c>
      <c r="E55" s="46">
        <f>SUMIFS('07导出'!$G$2:$G$1860,'07导出'!$A$2:$A$1860,A55,'07导出'!$D$2:$D$1860,"20502")</f>
        <v>63495843.530000001</v>
      </c>
      <c r="F55" s="46">
        <f>SUMIFS('07导出'!$H$2:$H$1860,'07导出'!$A$2:$A$1860,A55,'07导出'!$D$2:$D$1860,"20502")</f>
        <v>47576518.32</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680</v>
      </c>
      <c r="N55" s="46">
        <f>SUMIFS('07导出'!$H$2:$H$1860,'07导出'!$A$2:$A$1860,A55,'07导出'!$D$2:$D$1860,"20508")</f>
        <v>116800</v>
      </c>
      <c r="O55" s="46">
        <f>SUMIFS('07导出'!$G$2:$G$1860,'07导出'!$A$2:$A$1860,A55,'07导出'!$D$2:$D$1860,"20509")</f>
        <v>1272332</v>
      </c>
      <c r="P55" s="46">
        <f>SUMIFS('07导出'!$H$2:$H$1860,'07导出'!$A$2:$A$1860,A55,'07导出'!$D$2:$D$1860,"20509")</f>
        <v>1347332</v>
      </c>
      <c r="Q55" s="46">
        <f>SUMIFS('07导出'!$G$2:$G$1860,'07导出'!$A$2:$A$1860,A55,'07导出'!$C$2:$C$1860,"206")</f>
        <v>0</v>
      </c>
      <c r="R55" s="46">
        <f>SUMIFS('07导出'!$H$2:$H$1860,'07导出'!$A$2:$A$1860,A55,'07导出'!$C$2:$C$1860,"206")</f>
        <v>0</v>
      </c>
      <c r="S55" s="46">
        <f>SUMIFS('07导出'!$G$2:$G$1860,'07导出'!$A$2:$A$1860,A55,'07导出'!$D$2:$D$1860,"20607")</f>
        <v>0</v>
      </c>
      <c r="T55" s="46">
        <f>SUMIFS('07导出'!$H$2:$H$1860,'07导出'!$A$2:$A$1860,A55,'07导出'!$D$2:$D$1860,"20607")</f>
        <v>0</v>
      </c>
      <c r="U55" s="46">
        <f>SUMIFS('07导出'!$G$2:$G$1860,'07导出'!$A$2:$A$1860,A55,'07导出'!$C$2:$C$1860,"208")</f>
        <v>8358917.5800000001</v>
      </c>
      <c r="V55" s="46">
        <f>SUMIFS('07导出'!$H$2:$H$1860,'07导出'!$A$2:$A$1860,A55,'07导出'!$C$2:$C$1860,"208")</f>
        <v>7899043.540000001</v>
      </c>
      <c r="W55" s="46">
        <f>SUMIFS('07导出'!$G$2:$G$1860,'07导出'!$A$2:$A$1860,A55,'07导出'!$D$2:$D$1860,"20805")</f>
        <v>8358917.5800000001</v>
      </c>
      <c r="X55" s="46">
        <f>SUMIFS('07导出'!$H$2:$H$1860,'07导出'!$A$2:$A$1860,A55,'07导出'!$D$2:$D$1860,"20805")</f>
        <v>7899043.540000001</v>
      </c>
      <c r="Y55" s="46">
        <f>SUMIFS('07导出'!$G$2:$G$1860,'07导出'!$A$2:$A$1860,A55,'07导出'!$D$2:$D$1860,"20808")</f>
        <v>0</v>
      </c>
      <c r="Z55" s="46">
        <f>SUMIFS('07导出'!$H$2:$H$1860,'07导出'!$A$2:$A$1860,A55,'07导出'!$D$2:$D$1860,"20808")</f>
        <v>0</v>
      </c>
      <c r="AA55" s="46">
        <f>SUMIFS('07导出'!$G$2:$G$1860,'07导出'!$A$2:$A$1860,A55,'07导出'!$C$2:$C$1860,"210")</f>
        <v>3485805.03</v>
      </c>
      <c r="AB55" s="46">
        <f>SUMIFS('07导出'!$H$2:$H$1860,'07导出'!$A$2:$A$1860,A55,'07导出'!$C$2:$C$1860,"210")</f>
        <v>3158305.03</v>
      </c>
      <c r="AC55" s="46">
        <f>SUMIFS('07导出'!$G$2:$G$1860,'07导出'!$A$2:$A$1860,A55,'07导出'!$D$2:$D$1860,"21011")</f>
        <v>3485805.03</v>
      </c>
      <c r="AD55" s="46">
        <f>SUMIFS('07导出'!$H$2:$H$1860,'07导出'!$A$2:$A$1860,A55,'07导出'!$D$2:$D$1860,"21011")</f>
        <v>3158305.03</v>
      </c>
      <c r="AE55" s="46">
        <f>SUMIFS('07导出'!$G$2:$G$1860,'07导出'!$A$2:$A$1860,A55,'07导出'!$C$2:$C$1860,"212")</f>
        <v>0</v>
      </c>
      <c r="AF55" s="46">
        <f>SUMIFS('07导出'!$H$2:$H$1860,'07导出'!$A$2:$A$1860,A55,'07导出'!$C$2:$C$1860,"212")</f>
        <v>0</v>
      </c>
      <c r="AG55" s="46">
        <f>SUMIFS('07导出'!$G$2:$G$1860,'07导出'!$A$2:$A$1860,A55,'07导出'!$D$2:$D$1860,"21203")</f>
        <v>0</v>
      </c>
      <c r="AH55" s="46">
        <f>SUMIFS('07导出'!$H$2:$H$1860,'07导出'!$A$2:$A$1860,A55,'07导出'!$D$2:$D$1860,"21203")</f>
        <v>0</v>
      </c>
      <c r="AI55" s="46">
        <f>SUMIFS('07导出'!$G$2:$G$1860,'07导出'!$A$2:$A$1860,A55,'07导出'!$C$2:$C$1860,"213")</f>
        <v>0</v>
      </c>
      <c r="AJ55" s="46">
        <f>SUMIFS('07导出'!$H$2:$H$1860,'07导出'!$A$2:$A$1860,A55,'07导出'!$C$2:$C$1860,"213")</f>
        <v>0</v>
      </c>
      <c r="AK55" s="46">
        <f>SUMIFS('07导出'!$G$2:$G$1860,'07导出'!$A$2:$A$1860,A55,'07导出'!$D$2:$D$1860,"21305")</f>
        <v>0</v>
      </c>
      <c r="AL55" s="46">
        <f>SUMIFS('07导出'!$H$2:$H$1860,'07导出'!$A$2:$A$1860,A55,'07导出'!$D$2:$D$1860,"21305")</f>
        <v>0</v>
      </c>
      <c r="AM55" s="46">
        <f>SUMIFS('07导出'!$G$2:$G$1860,'07导出'!$A$2:$A$1860,A55,'07导出'!$C$2:$C$1860,"221")</f>
        <v>7365184</v>
      </c>
      <c r="AN55" s="46">
        <f>SUMIFS('07导出'!$H$2:$H$1860,'07导出'!$A$2:$A$1860,A55,'07导出'!$C$2:$C$1860,"221")</f>
        <v>7147203.7200000007</v>
      </c>
      <c r="AO55" s="46">
        <f>SUMIFS('07导出'!$G$2:$G$1860,'07导出'!$A$2:$A$1860,A55,'07导出'!$D$2:$D$1860,"22102")</f>
        <v>7365184</v>
      </c>
      <c r="AP55" s="46">
        <f>SUMIFS('07导出'!$H$2:$H$1860,'07导出'!$A$2:$A$1860,A55,'07导出'!$D$2:$D$1860,"22102")</f>
        <v>7147203.7200000007</v>
      </c>
    </row>
    <row r="56" spans="1:42">
      <c r="A56" s="43">
        <v>255068</v>
      </c>
      <c r="B56" s="44" t="s">
        <v>55</v>
      </c>
      <c r="C56" s="45">
        <f>SUMIFS('07导出'!$G$2:$G$1860,'07导出'!$A$2:$A$1860,A56,'07导出'!$C$2:$C$1860,"205")</f>
        <v>27504016.989999998</v>
      </c>
      <c r="D56" s="45">
        <f>SUMIFS('07导出'!$H$2:$H$1860,'07导出'!$A$2:$A$1860,A56,'07导出'!$C$2:$C$1860,"205")</f>
        <v>21757289.710000001</v>
      </c>
      <c r="E56" s="46">
        <f>SUMIFS('07导出'!$G$2:$G$1860,'07导出'!$A$2:$A$1860,A56,'07导出'!$D$2:$D$1860,"20502")</f>
        <v>27101540.989999998</v>
      </c>
      <c r="F56" s="46">
        <f>SUMIFS('07导出'!$H$2:$H$1860,'07导出'!$A$2:$A$1860,A56,'07导出'!$D$2:$D$1860,"20502")</f>
        <v>21289451.710000001</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3200</v>
      </c>
      <c r="N56" s="46">
        <f>SUMIFS('07导出'!$H$2:$H$1860,'07导出'!$A$2:$A$1860,A56,'07导出'!$D$2:$D$1860,"20508")</f>
        <v>61600</v>
      </c>
      <c r="O56" s="46">
        <f>SUMIFS('07导出'!$G$2:$G$1860,'07导出'!$A$2:$A$1860,A56,'07导出'!$D$2:$D$1860,"20509")</f>
        <v>399276</v>
      </c>
      <c r="P56" s="46">
        <f>SUMIFS('07导出'!$H$2:$H$1860,'07导出'!$A$2:$A$1860,A56,'07导出'!$D$2:$D$1860,"20509")</f>
        <v>406238</v>
      </c>
      <c r="Q56" s="46">
        <f>SUMIFS('07导出'!$G$2:$G$1860,'07导出'!$A$2:$A$1860,A56,'07导出'!$C$2:$C$1860,"206")</f>
        <v>0</v>
      </c>
      <c r="R56" s="46">
        <f>SUMIFS('07导出'!$H$2:$H$1860,'07导出'!$A$2:$A$1860,A56,'07导出'!$C$2:$C$1860,"206")</f>
        <v>0</v>
      </c>
      <c r="S56" s="46">
        <f>SUMIFS('07导出'!$G$2:$G$1860,'07导出'!$A$2:$A$1860,A56,'07导出'!$D$2:$D$1860,"20607")</f>
        <v>0</v>
      </c>
      <c r="T56" s="46">
        <f>SUMIFS('07导出'!$H$2:$H$1860,'07导出'!$A$2:$A$1860,A56,'07导出'!$D$2:$D$1860,"20607")</f>
        <v>0</v>
      </c>
      <c r="U56" s="46">
        <f>SUMIFS('07导出'!$G$2:$G$1860,'07导出'!$A$2:$A$1860,A56,'07导出'!$C$2:$C$1860,"208")</f>
        <v>3718883.17</v>
      </c>
      <c r="V56" s="46">
        <f>SUMIFS('07导出'!$H$2:$H$1860,'07导出'!$A$2:$A$1860,A56,'07导出'!$C$2:$C$1860,"208")</f>
        <v>3904869.64</v>
      </c>
      <c r="W56" s="46">
        <f>SUMIFS('07导出'!$G$2:$G$1860,'07导出'!$A$2:$A$1860,A56,'07导出'!$D$2:$D$1860,"20805")</f>
        <v>3718883.17</v>
      </c>
      <c r="X56" s="46">
        <f>SUMIFS('07导出'!$H$2:$H$1860,'07导出'!$A$2:$A$1860,A56,'07导出'!$D$2:$D$1860,"20805")</f>
        <v>3904869.64</v>
      </c>
      <c r="Y56" s="46">
        <f>SUMIFS('07导出'!$G$2:$G$1860,'07导出'!$A$2:$A$1860,A56,'07导出'!$D$2:$D$1860,"20808")</f>
        <v>0</v>
      </c>
      <c r="Z56" s="46">
        <f>SUMIFS('07导出'!$H$2:$H$1860,'07导出'!$A$2:$A$1860,A56,'07导出'!$D$2:$D$1860,"20808")</f>
        <v>0</v>
      </c>
      <c r="AA56" s="46">
        <f>SUMIFS('07导出'!$G$2:$G$1860,'07导出'!$A$2:$A$1860,A56,'07导出'!$C$2:$C$1860,"210")</f>
        <v>1998835.73</v>
      </c>
      <c r="AB56" s="46">
        <f>SUMIFS('07导出'!$H$2:$H$1860,'07导出'!$A$2:$A$1860,A56,'07导出'!$C$2:$C$1860,"210")</f>
        <v>1624428.48</v>
      </c>
      <c r="AC56" s="46">
        <f>SUMIFS('07导出'!$G$2:$G$1860,'07导出'!$A$2:$A$1860,A56,'07导出'!$D$2:$D$1860,"21011")</f>
        <v>1998835.73</v>
      </c>
      <c r="AD56" s="46">
        <f>SUMIFS('07导出'!$H$2:$H$1860,'07导出'!$A$2:$A$1860,A56,'07导出'!$D$2:$D$1860,"21011")</f>
        <v>1624428.48</v>
      </c>
      <c r="AE56" s="46">
        <f>SUMIFS('07导出'!$G$2:$G$1860,'07导出'!$A$2:$A$1860,A56,'07导出'!$C$2:$C$1860,"212")</f>
        <v>0</v>
      </c>
      <c r="AF56" s="46">
        <f>SUMIFS('07导出'!$H$2:$H$1860,'07导出'!$A$2:$A$1860,A56,'07导出'!$C$2:$C$1860,"212")</f>
        <v>0</v>
      </c>
      <c r="AG56" s="46">
        <f>SUMIFS('07导出'!$G$2:$G$1860,'07导出'!$A$2:$A$1860,A56,'07导出'!$D$2:$D$1860,"21203")</f>
        <v>0</v>
      </c>
      <c r="AH56" s="46">
        <f>SUMIFS('07导出'!$H$2:$H$1860,'07导出'!$A$2:$A$1860,A56,'07导出'!$D$2:$D$1860,"21203")</f>
        <v>0</v>
      </c>
      <c r="AI56" s="46">
        <f>SUMIFS('07导出'!$G$2:$G$1860,'07导出'!$A$2:$A$1860,A56,'07导出'!$C$2:$C$1860,"213")</f>
        <v>0</v>
      </c>
      <c r="AJ56" s="46">
        <f>SUMIFS('07导出'!$H$2:$H$1860,'07导出'!$A$2:$A$1860,A56,'07导出'!$C$2:$C$1860,"213")</f>
        <v>0</v>
      </c>
      <c r="AK56" s="46">
        <f>SUMIFS('07导出'!$G$2:$G$1860,'07导出'!$A$2:$A$1860,A56,'07导出'!$D$2:$D$1860,"21305")</f>
        <v>0</v>
      </c>
      <c r="AL56" s="46">
        <f>SUMIFS('07导出'!$H$2:$H$1860,'07导出'!$A$2:$A$1860,A56,'07导出'!$D$2:$D$1860,"21305")</f>
        <v>0</v>
      </c>
      <c r="AM56" s="46">
        <f>SUMIFS('07导出'!$G$2:$G$1860,'07导出'!$A$2:$A$1860,A56,'07导出'!$C$2:$C$1860,"221")</f>
        <v>4439690</v>
      </c>
      <c r="AN56" s="46">
        <f>SUMIFS('07导出'!$H$2:$H$1860,'07导出'!$A$2:$A$1860,A56,'07导出'!$C$2:$C$1860,"221")</f>
        <v>3937619.52</v>
      </c>
      <c r="AO56" s="46">
        <f>SUMIFS('07导出'!$G$2:$G$1860,'07导出'!$A$2:$A$1860,A56,'07导出'!$D$2:$D$1860,"22102")</f>
        <v>4439690</v>
      </c>
      <c r="AP56" s="46">
        <f>SUMIFS('07导出'!$H$2:$H$1860,'07导出'!$A$2:$A$1860,A56,'07导出'!$D$2:$D$1860,"22102")</f>
        <v>3937619.52</v>
      </c>
    </row>
    <row r="57" spans="1:42">
      <c r="A57" s="43">
        <v>255070</v>
      </c>
      <c r="B57" s="44" t="s">
        <v>56</v>
      </c>
      <c r="C57" s="45">
        <f>SUMIFS('07导出'!$G$2:$G$1860,'07导出'!$A$2:$A$1860,A57,'07导出'!$C$2:$C$1860,"205")</f>
        <v>25274572.640000001</v>
      </c>
      <c r="D57" s="45">
        <f>SUMIFS('07导出'!$H$2:$H$1860,'07导出'!$A$2:$A$1860,A57,'07导出'!$C$2:$C$1860,"205")</f>
        <v>21272106.420000002</v>
      </c>
      <c r="E57" s="46">
        <f>SUMIFS('07导出'!$G$2:$G$1860,'07导出'!$A$2:$A$1860,A57,'07导出'!$D$2:$D$1860,"20502")</f>
        <v>24961586.949999999</v>
      </c>
      <c r="F57" s="46">
        <f>SUMIFS('07导出'!$H$2:$H$1860,'07导出'!$A$2:$A$1860,A57,'07导出'!$D$2:$D$1860,"20502")</f>
        <v>20894618.210000001</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62400</v>
      </c>
      <c r="O57" s="46">
        <f>SUMIFS('07导出'!$G$2:$G$1860,'07导出'!$A$2:$A$1860,A57,'07导出'!$D$2:$D$1860,"20509")</f>
        <v>312985.69</v>
      </c>
      <c r="P57" s="46">
        <f>SUMIFS('07导出'!$H$2:$H$1860,'07导出'!$A$2:$A$1860,A57,'07导出'!$D$2:$D$1860,"20509")</f>
        <v>315088.21000000002</v>
      </c>
      <c r="Q57" s="46">
        <f>SUMIFS('07导出'!$G$2:$G$1860,'07导出'!$A$2:$A$1860,A57,'07导出'!$C$2:$C$1860,"206")</f>
        <v>0</v>
      </c>
      <c r="R57" s="46">
        <f>SUMIFS('07导出'!$H$2:$H$1860,'07导出'!$A$2:$A$1860,A57,'07导出'!$C$2:$C$1860,"206")</f>
        <v>0</v>
      </c>
      <c r="S57" s="46">
        <f>SUMIFS('07导出'!$G$2:$G$1860,'07导出'!$A$2:$A$1860,A57,'07导出'!$D$2:$D$1860,"20607")</f>
        <v>0</v>
      </c>
      <c r="T57" s="46">
        <f>SUMIFS('07导出'!$H$2:$H$1860,'07导出'!$A$2:$A$1860,A57,'07导出'!$D$2:$D$1860,"20607")</f>
        <v>0</v>
      </c>
      <c r="U57" s="46">
        <f>SUMIFS('07导出'!$G$2:$G$1860,'07导出'!$A$2:$A$1860,A57,'07导出'!$C$2:$C$1860,"208")</f>
        <v>3617709.6199999996</v>
      </c>
      <c r="V57" s="46">
        <f>SUMIFS('07导出'!$H$2:$H$1860,'07导出'!$A$2:$A$1860,A57,'07导出'!$C$2:$C$1860,"208")</f>
        <v>3774009.76</v>
      </c>
      <c r="W57" s="46">
        <f>SUMIFS('07导出'!$G$2:$G$1860,'07导出'!$A$2:$A$1860,A57,'07导出'!$D$2:$D$1860,"20805")</f>
        <v>3617709.6199999996</v>
      </c>
      <c r="X57" s="46">
        <f>SUMIFS('07导出'!$H$2:$H$1860,'07导出'!$A$2:$A$1860,A57,'07导出'!$D$2:$D$1860,"20805")</f>
        <v>3774009.76</v>
      </c>
      <c r="Y57" s="46">
        <f>SUMIFS('07导出'!$G$2:$G$1860,'07导出'!$A$2:$A$1860,A57,'07导出'!$D$2:$D$1860,"20808")</f>
        <v>0</v>
      </c>
      <c r="Z57" s="46">
        <f>SUMIFS('07导出'!$H$2:$H$1860,'07导出'!$A$2:$A$1860,A57,'07导出'!$D$2:$D$1860,"20808")</f>
        <v>0</v>
      </c>
      <c r="AA57" s="46">
        <f>SUMIFS('07导出'!$G$2:$G$1860,'07导出'!$A$2:$A$1860,A57,'07导出'!$C$2:$C$1860,"210")</f>
        <v>1715703.18</v>
      </c>
      <c r="AB57" s="46">
        <f>SUMIFS('07导出'!$H$2:$H$1860,'07导出'!$A$2:$A$1860,A57,'07导出'!$C$2:$C$1860,"210")</f>
        <v>1666339.92</v>
      </c>
      <c r="AC57" s="46">
        <f>SUMIFS('07导出'!$G$2:$G$1860,'07导出'!$A$2:$A$1860,A57,'07导出'!$D$2:$D$1860,"21011")</f>
        <v>1715703.18</v>
      </c>
      <c r="AD57" s="46">
        <f>SUMIFS('07导出'!$H$2:$H$1860,'07导出'!$A$2:$A$1860,A57,'07导出'!$D$2:$D$1860,"21011")</f>
        <v>1666339.92</v>
      </c>
      <c r="AE57" s="46">
        <f>SUMIFS('07导出'!$G$2:$G$1860,'07导出'!$A$2:$A$1860,A57,'07导出'!$C$2:$C$1860,"212")</f>
        <v>0</v>
      </c>
      <c r="AF57" s="46">
        <f>SUMIFS('07导出'!$H$2:$H$1860,'07导出'!$A$2:$A$1860,A57,'07导出'!$C$2:$C$1860,"212")</f>
        <v>0</v>
      </c>
      <c r="AG57" s="46">
        <f>SUMIFS('07导出'!$G$2:$G$1860,'07导出'!$A$2:$A$1860,A57,'07导出'!$D$2:$D$1860,"21203")</f>
        <v>0</v>
      </c>
      <c r="AH57" s="46">
        <f>SUMIFS('07导出'!$H$2:$H$1860,'07导出'!$A$2:$A$1860,A57,'07导出'!$D$2:$D$1860,"21203")</f>
        <v>0</v>
      </c>
      <c r="AI57" s="46">
        <f>SUMIFS('07导出'!$G$2:$G$1860,'07导出'!$A$2:$A$1860,A57,'07导出'!$C$2:$C$1860,"213")</f>
        <v>0</v>
      </c>
      <c r="AJ57" s="46">
        <f>SUMIFS('07导出'!$H$2:$H$1860,'07导出'!$A$2:$A$1860,A57,'07导出'!$C$2:$C$1860,"213")</f>
        <v>0</v>
      </c>
      <c r="AK57" s="46">
        <f>SUMIFS('07导出'!$G$2:$G$1860,'07导出'!$A$2:$A$1860,A57,'07导出'!$D$2:$D$1860,"21305")</f>
        <v>0</v>
      </c>
      <c r="AL57" s="46">
        <f>SUMIFS('07导出'!$H$2:$H$1860,'07导出'!$A$2:$A$1860,A57,'07导出'!$D$2:$D$1860,"21305")</f>
        <v>0</v>
      </c>
      <c r="AM57" s="46">
        <f>SUMIFS('07导出'!$G$2:$G$1860,'07导出'!$A$2:$A$1860,A57,'07导出'!$C$2:$C$1860,"221")</f>
        <v>3727878</v>
      </c>
      <c r="AN57" s="46">
        <f>SUMIFS('07导出'!$H$2:$H$1860,'07导出'!$A$2:$A$1860,A57,'07导出'!$C$2:$C$1860,"221")</f>
        <v>3732622.08</v>
      </c>
      <c r="AO57" s="46">
        <f>SUMIFS('07导出'!$G$2:$G$1860,'07导出'!$A$2:$A$1860,A57,'07导出'!$D$2:$D$1860,"22102")</f>
        <v>3727878</v>
      </c>
      <c r="AP57" s="46">
        <f>SUMIFS('07导出'!$H$2:$H$1860,'07导出'!$A$2:$A$1860,A57,'07导出'!$D$2:$D$1860,"22102")</f>
        <v>3732622.08</v>
      </c>
    </row>
    <row r="58" spans="1:42">
      <c r="A58" s="43">
        <v>255072</v>
      </c>
      <c r="B58" s="44" t="s">
        <v>57</v>
      </c>
      <c r="C58" s="45">
        <f>SUMIFS('07导出'!$G$2:$G$1860,'07导出'!$A$2:$A$1860,A58,'07导出'!$C$2:$C$1860,"205")</f>
        <v>48451501.549999997</v>
      </c>
      <c r="D58" s="45">
        <f>SUMIFS('07导出'!$H$2:$H$1860,'07导出'!$A$2:$A$1860,A58,'07导出'!$C$2:$C$1860,"205")</f>
        <v>40387921.609999999</v>
      </c>
      <c r="E58" s="46">
        <f>SUMIFS('07导出'!$G$2:$G$1860,'07导出'!$A$2:$A$1860,A58,'07导出'!$D$2:$D$1860,"20502")</f>
        <v>47999055.259999998</v>
      </c>
      <c r="F58" s="46">
        <f>SUMIFS('07导出'!$H$2:$H$1860,'07导出'!$A$2:$A$1860,A58,'07导出'!$D$2:$D$1860,"20502")</f>
        <v>39767353.609999999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0</v>
      </c>
      <c r="N58" s="46">
        <f>SUMIFS('07导出'!$H$2:$H$1860,'07导出'!$A$2:$A$1860,A58,'07导出'!$D$2:$D$1860,"20508")</f>
        <v>116000</v>
      </c>
      <c r="O58" s="46">
        <f>SUMIFS('07导出'!$G$2:$G$1860,'07导出'!$A$2:$A$1860,A58,'07导出'!$D$2:$D$1860,"20509")</f>
        <v>452446.29000000004</v>
      </c>
      <c r="P58" s="46">
        <f>SUMIFS('07导出'!$H$2:$H$1860,'07导出'!$A$2:$A$1860,A58,'07导出'!$D$2:$D$1860,"20509")</f>
        <v>504568</v>
      </c>
      <c r="Q58" s="46">
        <f>SUMIFS('07导出'!$G$2:$G$1860,'07导出'!$A$2:$A$1860,A58,'07导出'!$C$2:$C$1860,"206")</f>
        <v>0</v>
      </c>
      <c r="R58" s="46">
        <f>SUMIFS('07导出'!$H$2:$H$1860,'07导出'!$A$2:$A$1860,A58,'07导出'!$C$2:$C$1860,"206")</f>
        <v>0</v>
      </c>
      <c r="S58" s="46">
        <f>SUMIFS('07导出'!$G$2:$G$1860,'07导出'!$A$2:$A$1860,A58,'07导出'!$D$2:$D$1860,"20607")</f>
        <v>0</v>
      </c>
      <c r="T58" s="46">
        <f>SUMIFS('07导出'!$H$2:$H$1860,'07导出'!$A$2:$A$1860,A58,'07导出'!$D$2:$D$1860,"20607")</f>
        <v>0</v>
      </c>
      <c r="U58" s="46">
        <f>SUMIFS('07导出'!$G$2:$G$1860,'07导出'!$A$2:$A$1860,A58,'07导出'!$C$2:$C$1860,"208")</f>
        <v>8727293.8900000006</v>
      </c>
      <c r="V58" s="46">
        <f>SUMIFS('07导出'!$H$2:$H$1860,'07导出'!$A$2:$A$1860,A58,'07导出'!$C$2:$C$1860,"208")</f>
        <v>7848176.4900000002</v>
      </c>
      <c r="W58" s="46">
        <f>SUMIFS('07导出'!$G$2:$G$1860,'07导出'!$A$2:$A$1860,A58,'07导出'!$D$2:$D$1860,"20805")</f>
        <v>8727293.8900000006</v>
      </c>
      <c r="X58" s="46">
        <f>SUMIFS('07导出'!$H$2:$H$1860,'07导出'!$A$2:$A$1860,A58,'07导出'!$D$2:$D$1860,"20805")</f>
        <v>7848176.4900000002</v>
      </c>
      <c r="Y58" s="46">
        <f>SUMIFS('07导出'!$G$2:$G$1860,'07导出'!$A$2:$A$1860,A58,'07导出'!$D$2:$D$1860,"20808")</f>
        <v>0</v>
      </c>
      <c r="Z58" s="46">
        <f>SUMIFS('07导出'!$H$2:$H$1860,'07导出'!$A$2:$A$1860,A58,'07导出'!$D$2:$D$1860,"20808")</f>
        <v>0</v>
      </c>
      <c r="AA58" s="46">
        <f>SUMIFS('07导出'!$G$2:$G$1860,'07导出'!$A$2:$A$1860,A58,'07导出'!$C$2:$C$1860,"210")</f>
        <v>3812303.76</v>
      </c>
      <c r="AB58" s="46">
        <f>SUMIFS('07导出'!$H$2:$H$1860,'07导出'!$A$2:$A$1860,A58,'07导出'!$C$2:$C$1860,"210")</f>
        <v>3206492.97</v>
      </c>
      <c r="AC58" s="46">
        <f>SUMIFS('07导出'!$G$2:$G$1860,'07导出'!$A$2:$A$1860,A58,'07导出'!$D$2:$D$1860,"21011")</f>
        <v>3812303.76</v>
      </c>
      <c r="AD58" s="46">
        <f>SUMIFS('07导出'!$H$2:$H$1860,'07导出'!$A$2:$A$1860,A58,'07导出'!$D$2:$D$1860,"21011")</f>
        <v>3206492.97</v>
      </c>
      <c r="AE58" s="46">
        <f>SUMIFS('07导出'!$G$2:$G$1860,'07导出'!$A$2:$A$1860,A58,'07导出'!$C$2:$C$1860,"212")</f>
        <v>0</v>
      </c>
      <c r="AF58" s="46">
        <f>SUMIFS('07导出'!$H$2:$H$1860,'07导出'!$A$2:$A$1860,A58,'07导出'!$C$2:$C$1860,"212")</f>
        <v>0</v>
      </c>
      <c r="AG58" s="46">
        <f>SUMIFS('07导出'!$G$2:$G$1860,'07导出'!$A$2:$A$1860,A58,'07导出'!$D$2:$D$1860,"21203")</f>
        <v>0</v>
      </c>
      <c r="AH58" s="46">
        <f>SUMIFS('07导出'!$H$2:$H$1860,'07导出'!$A$2:$A$1860,A58,'07导出'!$D$2:$D$1860,"21203")</f>
        <v>0</v>
      </c>
      <c r="AI58" s="46">
        <f>SUMIFS('07导出'!$G$2:$G$1860,'07导出'!$A$2:$A$1860,A58,'07导出'!$C$2:$C$1860,"213")</f>
        <v>0</v>
      </c>
      <c r="AJ58" s="46">
        <f>SUMIFS('07导出'!$H$2:$H$1860,'07导出'!$A$2:$A$1860,A58,'07导出'!$C$2:$C$1860,"213")</f>
        <v>0</v>
      </c>
      <c r="AK58" s="46">
        <f>SUMIFS('07导出'!$G$2:$G$1860,'07导出'!$A$2:$A$1860,A58,'07导出'!$D$2:$D$1860,"21305")</f>
        <v>0</v>
      </c>
      <c r="AL58" s="46">
        <f>SUMIFS('07导出'!$H$2:$H$1860,'07导出'!$A$2:$A$1860,A58,'07导出'!$D$2:$D$1860,"21305")</f>
        <v>0</v>
      </c>
      <c r="AM58" s="46">
        <f>SUMIFS('07导出'!$G$2:$G$1860,'07导出'!$A$2:$A$1860,A58,'07导出'!$C$2:$C$1860,"221")</f>
        <v>7599450</v>
      </c>
      <c r="AN58" s="46">
        <f>SUMIFS('07导出'!$H$2:$H$1860,'07导出'!$A$2:$A$1860,A58,'07导出'!$C$2:$C$1860,"221")</f>
        <v>6806711.9700000007</v>
      </c>
      <c r="AO58" s="46">
        <f>SUMIFS('07导出'!$G$2:$G$1860,'07导出'!$A$2:$A$1860,A58,'07导出'!$D$2:$D$1860,"22102")</f>
        <v>7599450</v>
      </c>
      <c r="AP58" s="46">
        <f>SUMIFS('07导出'!$H$2:$H$1860,'07导出'!$A$2:$A$1860,A58,'07导出'!$D$2:$D$1860,"22102")</f>
        <v>6806711.9700000007</v>
      </c>
    </row>
    <row r="59" spans="1:42">
      <c r="A59" s="43">
        <v>255073</v>
      </c>
      <c r="B59" s="44" t="s">
        <v>58</v>
      </c>
      <c r="C59" s="45">
        <f>SUMIFS('07导出'!$G$2:$G$1860,'07导出'!$A$2:$A$1860,A59,'07导出'!$C$2:$C$1860,"205")</f>
        <v>19383043.310000002</v>
      </c>
      <c r="D59" s="45">
        <f>SUMIFS('07导出'!$H$2:$H$1860,'07导出'!$A$2:$A$1860,A59,'07导出'!$C$2:$C$1860,"205")</f>
        <v>14641340.889999999</v>
      </c>
      <c r="E59" s="46">
        <f>SUMIFS('07导出'!$G$2:$G$1860,'07导出'!$A$2:$A$1860,A59,'07导出'!$D$2:$D$1860,"20502")</f>
        <v>18641767.310000002</v>
      </c>
      <c r="F59" s="46">
        <f>SUMIFS('07导出'!$H$2:$H$1860,'07导出'!$A$2:$A$1860,A59,'07导出'!$D$2:$D$1860,"20502")</f>
        <v>13857664.889999999</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42400</v>
      </c>
      <c r="O59" s="46">
        <f>SUMIFS('07导出'!$G$2:$G$1860,'07导出'!$A$2:$A$1860,A59,'07导出'!$D$2:$D$1860,"20509")</f>
        <v>741276</v>
      </c>
      <c r="P59" s="46">
        <f>SUMIFS('07导出'!$H$2:$H$1860,'07导出'!$A$2:$A$1860,A59,'07导出'!$D$2:$D$1860,"20509")</f>
        <v>741276</v>
      </c>
      <c r="Q59" s="46">
        <f>SUMIFS('07导出'!$G$2:$G$1860,'07导出'!$A$2:$A$1860,A59,'07导出'!$C$2:$C$1860,"206")</f>
        <v>0</v>
      </c>
      <c r="R59" s="46">
        <f>SUMIFS('07导出'!$H$2:$H$1860,'07导出'!$A$2:$A$1860,A59,'07导出'!$C$2:$C$1860,"206")</f>
        <v>0</v>
      </c>
      <c r="S59" s="46">
        <f>SUMIFS('07导出'!$G$2:$G$1860,'07导出'!$A$2:$A$1860,A59,'07导出'!$D$2:$D$1860,"20607")</f>
        <v>0</v>
      </c>
      <c r="T59" s="46">
        <f>SUMIFS('07导出'!$H$2:$H$1860,'07导出'!$A$2:$A$1860,A59,'07导出'!$D$2:$D$1860,"20607")</f>
        <v>0</v>
      </c>
      <c r="U59" s="46">
        <f>SUMIFS('07导出'!$G$2:$G$1860,'07导出'!$A$2:$A$1860,A59,'07导出'!$C$2:$C$1860,"208")</f>
        <v>2572147.87</v>
      </c>
      <c r="V59" s="46">
        <f>SUMIFS('07导出'!$H$2:$H$1860,'07导出'!$A$2:$A$1860,A59,'07导出'!$C$2:$C$1860,"208")</f>
        <v>2231067.92</v>
      </c>
      <c r="W59" s="46">
        <f>SUMIFS('07导出'!$G$2:$G$1860,'07导出'!$A$2:$A$1860,A59,'07导出'!$D$2:$D$1860,"20805")</f>
        <v>2572147.87</v>
      </c>
      <c r="X59" s="46">
        <f>SUMIFS('07导出'!$H$2:$H$1860,'07导出'!$A$2:$A$1860,A59,'07导出'!$D$2:$D$1860,"20805")</f>
        <v>2231067.92</v>
      </c>
      <c r="Y59" s="46">
        <f>SUMIFS('07导出'!$G$2:$G$1860,'07导出'!$A$2:$A$1860,A59,'07导出'!$D$2:$D$1860,"20808")</f>
        <v>0</v>
      </c>
      <c r="Z59" s="46">
        <f>SUMIFS('07导出'!$H$2:$H$1860,'07导出'!$A$2:$A$1860,A59,'07导出'!$D$2:$D$1860,"20808")</f>
        <v>0</v>
      </c>
      <c r="AA59" s="46">
        <f>SUMIFS('07导出'!$G$2:$G$1860,'07导出'!$A$2:$A$1860,A59,'07导出'!$C$2:$C$1860,"210")</f>
        <v>1173030.74</v>
      </c>
      <c r="AB59" s="46">
        <f>SUMIFS('07导出'!$H$2:$H$1860,'07导出'!$A$2:$A$1860,A59,'07导出'!$C$2:$C$1860,"210")</f>
        <v>935773.54</v>
      </c>
      <c r="AC59" s="46">
        <f>SUMIFS('07导出'!$G$2:$G$1860,'07导出'!$A$2:$A$1860,A59,'07导出'!$D$2:$D$1860,"21011")</f>
        <v>1173030.74</v>
      </c>
      <c r="AD59" s="46">
        <f>SUMIFS('07导出'!$H$2:$H$1860,'07导出'!$A$2:$A$1860,A59,'07导出'!$D$2:$D$1860,"21011")</f>
        <v>935773.54</v>
      </c>
      <c r="AE59" s="46">
        <f>SUMIFS('07导出'!$G$2:$G$1860,'07导出'!$A$2:$A$1860,A59,'07导出'!$C$2:$C$1860,"212")</f>
        <v>0</v>
      </c>
      <c r="AF59" s="46">
        <f>SUMIFS('07导出'!$H$2:$H$1860,'07导出'!$A$2:$A$1860,A59,'07导出'!$C$2:$C$1860,"212")</f>
        <v>0</v>
      </c>
      <c r="AG59" s="46">
        <f>SUMIFS('07导出'!$G$2:$G$1860,'07导出'!$A$2:$A$1860,A59,'07导出'!$D$2:$D$1860,"21203")</f>
        <v>0</v>
      </c>
      <c r="AH59" s="46">
        <f>SUMIFS('07导出'!$H$2:$H$1860,'07导出'!$A$2:$A$1860,A59,'07导出'!$D$2:$D$1860,"21203")</f>
        <v>0</v>
      </c>
      <c r="AI59" s="46">
        <f>SUMIFS('07导出'!$G$2:$G$1860,'07导出'!$A$2:$A$1860,A59,'07导出'!$C$2:$C$1860,"213")</f>
        <v>0</v>
      </c>
      <c r="AJ59" s="46">
        <f>SUMIFS('07导出'!$H$2:$H$1860,'07导出'!$A$2:$A$1860,A59,'07导出'!$C$2:$C$1860,"213")</f>
        <v>0</v>
      </c>
      <c r="AK59" s="46">
        <f>SUMIFS('07导出'!$G$2:$G$1860,'07导出'!$A$2:$A$1860,A59,'07导出'!$D$2:$D$1860,"21305")</f>
        <v>0</v>
      </c>
      <c r="AL59" s="46">
        <f>SUMIFS('07导出'!$H$2:$H$1860,'07导出'!$A$2:$A$1860,A59,'07导出'!$D$2:$D$1860,"21305")</f>
        <v>0</v>
      </c>
      <c r="AM59" s="46">
        <f>SUMIFS('07导出'!$G$2:$G$1860,'07导出'!$A$2:$A$1860,A59,'07导出'!$C$2:$C$1860,"221")</f>
        <v>2834771</v>
      </c>
      <c r="AN59" s="46">
        <f>SUMIFS('07导出'!$H$2:$H$1860,'07导出'!$A$2:$A$1860,A59,'07导出'!$C$2:$C$1860,"221")</f>
        <v>2438022.96</v>
      </c>
      <c r="AO59" s="46">
        <f>SUMIFS('07导出'!$G$2:$G$1860,'07导出'!$A$2:$A$1860,A59,'07导出'!$D$2:$D$1860,"22102")</f>
        <v>2834771</v>
      </c>
      <c r="AP59" s="46">
        <f>SUMIFS('07导出'!$H$2:$H$1860,'07导出'!$A$2:$A$1860,A59,'07导出'!$D$2:$D$1860,"22102")</f>
        <v>2438022.96</v>
      </c>
    </row>
    <row r="60" spans="1:42">
      <c r="A60" s="43">
        <v>255074</v>
      </c>
      <c r="B60" s="44" t="s">
        <v>59</v>
      </c>
      <c r="C60" s="45">
        <f>SUMIFS('07导出'!$G$2:$G$1860,'07导出'!$A$2:$A$1860,A60,'07导出'!$C$2:$C$1860,"205")</f>
        <v>26224205.579999998</v>
      </c>
      <c r="D60" s="45">
        <f>SUMIFS('07导出'!$H$2:$H$1860,'07导出'!$A$2:$A$1860,A60,'07导出'!$C$2:$C$1860,"205")</f>
        <v>18540493.709999997</v>
      </c>
      <c r="E60" s="46">
        <f>SUMIFS('07导出'!$G$2:$G$1860,'07导出'!$A$2:$A$1860,A60,'07导出'!$D$2:$D$1860,"20502")</f>
        <v>25816005.579999998</v>
      </c>
      <c r="F60" s="46">
        <f>SUMIFS('07导出'!$H$2:$H$1860,'07导出'!$A$2:$A$1860,A60,'07导出'!$D$2:$D$1860,"20502")</f>
        <v>17976293.709999997</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0</v>
      </c>
      <c r="N60" s="46">
        <f>SUMIFS('07导出'!$H$2:$H$1860,'07导出'!$A$2:$A$1860,A60,'07导出'!$D$2:$D$1860,"20508")</f>
        <v>56000</v>
      </c>
      <c r="O60" s="46">
        <f>SUMIFS('07导出'!$G$2:$G$1860,'07导出'!$A$2:$A$1860,A60,'07导出'!$D$2:$D$1860,"20509")</f>
        <v>408200</v>
      </c>
      <c r="P60" s="46">
        <f>SUMIFS('07导出'!$H$2:$H$1860,'07导出'!$A$2:$A$1860,A60,'07导出'!$D$2:$D$1860,"20509")</f>
        <v>508200</v>
      </c>
      <c r="Q60" s="46">
        <f>SUMIFS('07导出'!$G$2:$G$1860,'07导出'!$A$2:$A$1860,A60,'07导出'!$C$2:$C$1860,"206")</f>
        <v>0</v>
      </c>
      <c r="R60" s="46">
        <f>SUMIFS('07导出'!$H$2:$H$1860,'07导出'!$A$2:$A$1860,A60,'07导出'!$C$2:$C$1860,"206")</f>
        <v>0</v>
      </c>
      <c r="S60" s="46">
        <f>SUMIFS('07导出'!$G$2:$G$1860,'07导出'!$A$2:$A$1860,A60,'07导出'!$D$2:$D$1860,"20607")</f>
        <v>0</v>
      </c>
      <c r="T60" s="46">
        <f>SUMIFS('07导出'!$H$2:$H$1860,'07导出'!$A$2:$A$1860,A60,'07导出'!$D$2:$D$1860,"20607")</f>
        <v>0</v>
      </c>
      <c r="U60" s="46">
        <f>SUMIFS('07导出'!$G$2:$G$1860,'07导出'!$A$2:$A$1860,A60,'07导出'!$C$2:$C$1860,"208")</f>
        <v>3437097.2</v>
      </c>
      <c r="V60" s="46">
        <f>SUMIFS('07导出'!$H$2:$H$1860,'07导出'!$A$2:$A$1860,A60,'07导出'!$C$2:$C$1860,"208")</f>
        <v>3091145.1399999997</v>
      </c>
      <c r="W60" s="46">
        <f>SUMIFS('07导出'!$G$2:$G$1860,'07导出'!$A$2:$A$1860,A60,'07导出'!$D$2:$D$1860,"20805")</f>
        <v>3437097.2</v>
      </c>
      <c r="X60" s="46">
        <f>SUMIFS('07导出'!$H$2:$H$1860,'07导出'!$A$2:$A$1860,A60,'07导出'!$D$2:$D$1860,"20805")</f>
        <v>3091145.1399999997</v>
      </c>
      <c r="Y60" s="46">
        <f>SUMIFS('07导出'!$G$2:$G$1860,'07导出'!$A$2:$A$1860,A60,'07导出'!$D$2:$D$1860,"20808")</f>
        <v>0</v>
      </c>
      <c r="Z60" s="46">
        <f>SUMIFS('07导出'!$H$2:$H$1860,'07导出'!$A$2:$A$1860,A60,'07导出'!$D$2:$D$1860,"20808")</f>
        <v>0</v>
      </c>
      <c r="AA60" s="46">
        <f>SUMIFS('07导出'!$G$2:$G$1860,'07导出'!$A$2:$A$1860,A60,'07导出'!$C$2:$C$1860,"210")</f>
        <v>1849978.73</v>
      </c>
      <c r="AB60" s="46">
        <f>SUMIFS('07导出'!$H$2:$H$1860,'07导出'!$A$2:$A$1860,A60,'07导出'!$C$2:$C$1860,"210")</f>
        <v>1414036.18</v>
      </c>
      <c r="AC60" s="46">
        <f>SUMIFS('07导出'!$G$2:$G$1860,'07导出'!$A$2:$A$1860,A60,'07导出'!$D$2:$D$1860,"21011")</f>
        <v>1849978.73</v>
      </c>
      <c r="AD60" s="46">
        <f>SUMIFS('07导出'!$H$2:$H$1860,'07导出'!$A$2:$A$1860,A60,'07导出'!$D$2:$D$1860,"21011")</f>
        <v>1414036.18</v>
      </c>
      <c r="AE60" s="46">
        <f>SUMIFS('07导出'!$G$2:$G$1860,'07导出'!$A$2:$A$1860,A60,'07导出'!$C$2:$C$1860,"212")</f>
        <v>0</v>
      </c>
      <c r="AF60" s="46">
        <f>SUMIFS('07导出'!$H$2:$H$1860,'07导出'!$A$2:$A$1860,A60,'07导出'!$C$2:$C$1860,"212")</f>
        <v>0</v>
      </c>
      <c r="AG60" s="46">
        <f>SUMIFS('07导出'!$G$2:$G$1860,'07导出'!$A$2:$A$1860,A60,'07导出'!$D$2:$D$1860,"21203")</f>
        <v>0</v>
      </c>
      <c r="AH60" s="46">
        <f>SUMIFS('07导出'!$H$2:$H$1860,'07导出'!$A$2:$A$1860,A60,'07导出'!$D$2:$D$1860,"21203")</f>
        <v>0</v>
      </c>
      <c r="AI60" s="46">
        <f>SUMIFS('07导出'!$G$2:$G$1860,'07导出'!$A$2:$A$1860,A60,'07导出'!$C$2:$C$1860,"213")</f>
        <v>0</v>
      </c>
      <c r="AJ60" s="46">
        <f>SUMIFS('07导出'!$H$2:$H$1860,'07导出'!$A$2:$A$1860,A60,'07导出'!$C$2:$C$1860,"213")</f>
        <v>0</v>
      </c>
      <c r="AK60" s="46">
        <f>SUMIFS('07导出'!$G$2:$G$1860,'07导出'!$A$2:$A$1860,A60,'07导出'!$D$2:$D$1860,"21305")</f>
        <v>0</v>
      </c>
      <c r="AL60" s="46">
        <f>SUMIFS('07导出'!$H$2:$H$1860,'07导出'!$A$2:$A$1860,A60,'07导出'!$D$2:$D$1860,"21305")</f>
        <v>0</v>
      </c>
      <c r="AM60" s="46">
        <f>SUMIFS('07导出'!$G$2:$G$1860,'07导出'!$A$2:$A$1860,A60,'07导出'!$C$2:$C$1860,"221")</f>
        <v>3963481</v>
      </c>
      <c r="AN60" s="46">
        <f>SUMIFS('07导出'!$H$2:$H$1860,'07导出'!$A$2:$A$1860,A60,'07导出'!$C$2:$C$1860,"221")</f>
        <v>3310582.3200000003</v>
      </c>
      <c r="AO60" s="46">
        <f>SUMIFS('07导出'!$G$2:$G$1860,'07导出'!$A$2:$A$1860,A60,'07导出'!$D$2:$D$1860,"22102")</f>
        <v>3963481</v>
      </c>
      <c r="AP60" s="46">
        <f>SUMIFS('07导出'!$H$2:$H$1860,'07导出'!$A$2:$A$1860,A60,'07导出'!$D$2:$D$1860,"22102")</f>
        <v>3310582.3200000003</v>
      </c>
    </row>
    <row r="61" spans="1:42">
      <c r="A61" s="43">
        <v>255075</v>
      </c>
      <c r="B61" s="44" t="s">
        <v>60</v>
      </c>
      <c r="C61" s="45">
        <f>SUMIFS('07导出'!$G$2:$G$1860,'07导出'!$A$2:$A$1860,A61,'07导出'!$C$2:$C$1860,"205")</f>
        <v>35222563.059999995</v>
      </c>
      <c r="D61" s="45">
        <f>SUMIFS('07导出'!$H$2:$H$1860,'07导出'!$A$2:$A$1860,A61,'07导出'!$C$2:$C$1860,"205")</f>
        <v>27732521.320000004</v>
      </c>
      <c r="E61" s="46">
        <f>SUMIFS('07导出'!$G$2:$G$1860,'07导出'!$A$2:$A$1860,A61,'07导出'!$D$2:$D$1860,"20502")</f>
        <v>33239826.849999998</v>
      </c>
      <c r="F61" s="46">
        <f>SUMIFS('07导出'!$H$2:$H$1860,'07导出'!$A$2:$A$1860,A61,'07导出'!$D$2:$D$1860,"20502")</f>
        <v>25465385.110000003</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0</v>
      </c>
      <c r="N61" s="46">
        <f>SUMIFS('07导出'!$H$2:$H$1860,'07导出'!$A$2:$A$1860,A61,'07导出'!$D$2:$D$1860,"20508")</f>
        <v>74400</v>
      </c>
      <c r="O61" s="46">
        <f>SUMIFS('07导出'!$G$2:$G$1860,'07导出'!$A$2:$A$1860,A61,'07导出'!$D$2:$D$1860,"20509")</f>
        <v>1982736.21</v>
      </c>
      <c r="P61" s="46">
        <f>SUMIFS('07导出'!$H$2:$H$1860,'07导出'!$A$2:$A$1860,A61,'07导出'!$D$2:$D$1860,"20509")</f>
        <v>2192736.21</v>
      </c>
      <c r="Q61" s="46">
        <f>SUMIFS('07导出'!$G$2:$G$1860,'07导出'!$A$2:$A$1860,A61,'07导出'!$C$2:$C$1860,"206")</f>
        <v>0</v>
      </c>
      <c r="R61" s="46">
        <f>SUMIFS('07导出'!$H$2:$H$1860,'07导出'!$A$2:$A$1860,A61,'07导出'!$C$2:$C$1860,"206")</f>
        <v>0</v>
      </c>
      <c r="S61" s="46">
        <f>SUMIFS('07导出'!$G$2:$G$1860,'07导出'!$A$2:$A$1860,A61,'07导出'!$D$2:$D$1860,"20607")</f>
        <v>0</v>
      </c>
      <c r="T61" s="46">
        <f>SUMIFS('07导出'!$H$2:$H$1860,'07导出'!$A$2:$A$1860,A61,'07导出'!$D$2:$D$1860,"20607")</f>
        <v>0</v>
      </c>
      <c r="U61" s="46">
        <f>SUMIFS('07导出'!$G$2:$G$1860,'07导出'!$A$2:$A$1860,A61,'07导出'!$C$2:$C$1860,"208")</f>
        <v>5934135.919999999</v>
      </c>
      <c r="V61" s="46">
        <f>SUMIFS('07导出'!$H$2:$H$1860,'07导出'!$A$2:$A$1860,A61,'07导出'!$C$2:$C$1860,"208")</f>
        <v>5213003.26</v>
      </c>
      <c r="W61" s="46">
        <f>SUMIFS('07导出'!$G$2:$G$1860,'07导出'!$A$2:$A$1860,A61,'07导出'!$D$2:$D$1860,"20805")</f>
        <v>5934135.919999999</v>
      </c>
      <c r="X61" s="46">
        <f>SUMIFS('07导出'!$H$2:$H$1860,'07导出'!$A$2:$A$1860,A61,'07导出'!$D$2:$D$1860,"20805")</f>
        <v>5213003.26</v>
      </c>
      <c r="Y61" s="46">
        <f>SUMIFS('07导出'!$G$2:$G$1860,'07导出'!$A$2:$A$1860,A61,'07导出'!$D$2:$D$1860,"20808")</f>
        <v>0</v>
      </c>
      <c r="Z61" s="46">
        <f>SUMIFS('07导出'!$H$2:$H$1860,'07导出'!$A$2:$A$1860,A61,'07导出'!$D$2:$D$1860,"20808")</f>
        <v>0</v>
      </c>
      <c r="AA61" s="46">
        <f>SUMIFS('07导出'!$G$2:$G$1860,'07导出'!$A$2:$A$1860,A61,'07导出'!$C$2:$C$1860,"210")</f>
        <v>2376435.71</v>
      </c>
      <c r="AB61" s="46">
        <f>SUMIFS('07导出'!$H$2:$H$1860,'07导出'!$A$2:$A$1860,A61,'07导出'!$C$2:$C$1860,"210")</f>
        <v>1860358.72</v>
      </c>
      <c r="AC61" s="46">
        <f>SUMIFS('07导出'!$G$2:$G$1860,'07导出'!$A$2:$A$1860,A61,'07导出'!$D$2:$D$1860,"21011")</f>
        <v>2376435.71</v>
      </c>
      <c r="AD61" s="46">
        <f>SUMIFS('07导出'!$H$2:$H$1860,'07导出'!$A$2:$A$1860,A61,'07导出'!$D$2:$D$1860,"21011")</f>
        <v>1860358.72</v>
      </c>
      <c r="AE61" s="46">
        <f>SUMIFS('07导出'!$G$2:$G$1860,'07导出'!$A$2:$A$1860,A61,'07导出'!$C$2:$C$1860,"212")</f>
        <v>0</v>
      </c>
      <c r="AF61" s="46">
        <f>SUMIFS('07导出'!$H$2:$H$1860,'07导出'!$A$2:$A$1860,A61,'07导出'!$C$2:$C$1860,"212")</f>
        <v>0</v>
      </c>
      <c r="AG61" s="46">
        <f>SUMIFS('07导出'!$G$2:$G$1860,'07导出'!$A$2:$A$1860,A61,'07导出'!$D$2:$D$1860,"21203")</f>
        <v>0</v>
      </c>
      <c r="AH61" s="46">
        <f>SUMIFS('07导出'!$H$2:$H$1860,'07导出'!$A$2:$A$1860,A61,'07导出'!$D$2:$D$1860,"21203")</f>
        <v>0</v>
      </c>
      <c r="AI61" s="46">
        <f>SUMIFS('07导出'!$G$2:$G$1860,'07导出'!$A$2:$A$1860,A61,'07导出'!$C$2:$C$1860,"213")</f>
        <v>0</v>
      </c>
      <c r="AJ61" s="46">
        <f>SUMIFS('07导出'!$H$2:$H$1860,'07导出'!$A$2:$A$1860,A61,'07导出'!$C$2:$C$1860,"213")</f>
        <v>0</v>
      </c>
      <c r="AK61" s="46">
        <f>SUMIFS('07导出'!$G$2:$G$1860,'07导出'!$A$2:$A$1860,A61,'07导出'!$D$2:$D$1860,"21305")</f>
        <v>0</v>
      </c>
      <c r="AL61" s="46">
        <f>SUMIFS('07导出'!$H$2:$H$1860,'07导出'!$A$2:$A$1860,A61,'07导出'!$D$2:$D$1860,"21305")</f>
        <v>0</v>
      </c>
      <c r="AM61" s="46">
        <f>SUMIFS('07导出'!$G$2:$G$1860,'07导出'!$A$2:$A$1860,A61,'07导出'!$C$2:$C$1860,"221")</f>
        <v>5437875</v>
      </c>
      <c r="AN61" s="46">
        <f>SUMIFS('07导出'!$H$2:$H$1860,'07导出'!$A$2:$A$1860,A61,'07导出'!$C$2:$C$1860,"221")</f>
        <v>4692881.2799999993</v>
      </c>
      <c r="AO61" s="46">
        <f>SUMIFS('07导出'!$G$2:$G$1860,'07导出'!$A$2:$A$1860,A61,'07导出'!$D$2:$D$1860,"22102")</f>
        <v>5437875</v>
      </c>
      <c r="AP61" s="46">
        <f>SUMIFS('07导出'!$H$2:$H$1860,'07导出'!$A$2:$A$1860,A61,'07导出'!$D$2:$D$1860,"22102")</f>
        <v>4692881.2799999993</v>
      </c>
    </row>
    <row r="62" spans="1:42">
      <c r="A62" s="43">
        <v>255076</v>
      </c>
      <c r="B62" s="44" t="s">
        <v>61</v>
      </c>
      <c r="C62" s="45">
        <f>SUMIFS('07导出'!$G$2:$G$1860,'07导出'!$A$2:$A$1860,A62,'07导出'!$C$2:$C$1860,"205")</f>
        <v>43462431.130000003</v>
      </c>
      <c r="D62" s="45">
        <f>SUMIFS('07导出'!$H$2:$H$1860,'07导出'!$A$2:$A$1860,A62,'07导出'!$C$2:$C$1860,"205")</f>
        <v>36473421.82</v>
      </c>
      <c r="E62" s="46">
        <f>SUMIFS('07导出'!$G$2:$G$1860,'07导出'!$A$2:$A$1860,A62,'07导出'!$D$2:$D$1860,"20502")</f>
        <v>43206441.310000002</v>
      </c>
      <c r="F62" s="46">
        <f>SUMIFS('07导出'!$H$2:$H$1860,'07导出'!$A$2:$A$1860,A62,'07导出'!$D$2:$D$1860,"20502")</f>
        <v>36106641.82</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7218</v>
      </c>
      <c r="N62" s="46">
        <f>SUMIFS('07导出'!$H$2:$H$1860,'07导出'!$A$2:$A$1860,A62,'07导出'!$D$2:$D$1860,"20508")</f>
        <v>117600</v>
      </c>
      <c r="O62" s="46">
        <f>SUMIFS('07导出'!$G$2:$G$1860,'07导出'!$A$2:$A$1860,A62,'07导出'!$D$2:$D$1860,"20509")</f>
        <v>248771.82</v>
      </c>
      <c r="P62" s="46">
        <f>SUMIFS('07导出'!$H$2:$H$1860,'07导出'!$A$2:$A$1860,A62,'07导出'!$D$2:$D$1860,"20509")</f>
        <v>249180</v>
      </c>
      <c r="Q62" s="46">
        <f>SUMIFS('07导出'!$G$2:$G$1860,'07导出'!$A$2:$A$1860,A62,'07导出'!$C$2:$C$1860,"206")</f>
        <v>0</v>
      </c>
      <c r="R62" s="46">
        <f>SUMIFS('07导出'!$H$2:$H$1860,'07导出'!$A$2:$A$1860,A62,'07导出'!$C$2:$C$1860,"206")</f>
        <v>0</v>
      </c>
      <c r="S62" s="46">
        <f>SUMIFS('07导出'!$G$2:$G$1860,'07导出'!$A$2:$A$1860,A62,'07导出'!$D$2:$D$1860,"20607")</f>
        <v>0</v>
      </c>
      <c r="T62" s="46">
        <f>SUMIFS('07导出'!$H$2:$H$1860,'07导出'!$A$2:$A$1860,A62,'07导出'!$D$2:$D$1860,"20607")</f>
        <v>0</v>
      </c>
      <c r="U62" s="46">
        <f>SUMIFS('07导出'!$G$2:$G$1860,'07导出'!$A$2:$A$1860,A62,'07导出'!$C$2:$C$1860,"208")</f>
        <v>6559793.5600000005</v>
      </c>
      <c r="V62" s="46">
        <f>SUMIFS('07导出'!$H$2:$H$1860,'07导出'!$A$2:$A$1860,A62,'07导出'!$C$2:$C$1860,"208")</f>
        <v>6088647.0800000001</v>
      </c>
      <c r="W62" s="46">
        <f>SUMIFS('07导出'!$G$2:$G$1860,'07导出'!$A$2:$A$1860,A62,'07导出'!$D$2:$D$1860,"20805")</f>
        <v>6559793.5600000005</v>
      </c>
      <c r="X62" s="46">
        <f>SUMIFS('07导出'!$H$2:$H$1860,'07导出'!$A$2:$A$1860,A62,'07导出'!$D$2:$D$1860,"20805")</f>
        <v>6088647.0800000001</v>
      </c>
      <c r="Y62" s="46">
        <f>SUMIFS('07导出'!$G$2:$G$1860,'07导出'!$A$2:$A$1860,A62,'07导出'!$D$2:$D$1860,"20808")</f>
        <v>0</v>
      </c>
      <c r="Z62" s="46">
        <f>SUMIFS('07导出'!$H$2:$H$1860,'07导出'!$A$2:$A$1860,A62,'07导出'!$D$2:$D$1860,"20808")</f>
        <v>0</v>
      </c>
      <c r="AA62" s="46">
        <f>SUMIFS('07导出'!$G$2:$G$1860,'07导出'!$A$2:$A$1860,A62,'07导出'!$C$2:$C$1860,"210")</f>
        <v>3075216.61</v>
      </c>
      <c r="AB62" s="46">
        <f>SUMIFS('07导出'!$H$2:$H$1860,'07导出'!$A$2:$A$1860,A62,'07导出'!$C$2:$C$1860,"210")</f>
        <v>2668686.7599999998</v>
      </c>
      <c r="AC62" s="46">
        <f>SUMIFS('07导出'!$G$2:$G$1860,'07导出'!$A$2:$A$1860,A62,'07导出'!$D$2:$D$1860,"21011")</f>
        <v>3075216.61</v>
      </c>
      <c r="AD62" s="46">
        <f>SUMIFS('07导出'!$H$2:$H$1860,'07导出'!$A$2:$A$1860,A62,'07导出'!$D$2:$D$1860,"21011")</f>
        <v>2668686.7599999998</v>
      </c>
      <c r="AE62" s="46">
        <f>SUMIFS('07导出'!$G$2:$G$1860,'07导出'!$A$2:$A$1860,A62,'07导出'!$C$2:$C$1860,"212")</f>
        <v>0</v>
      </c>
      <c r="AF62" s="46">
        <f>SUMIFS('07导出'!$H$2:$H$1860,'07导出'!$A$2:$A$1860,A62,'07导出'!$C$2:$C$1860,"212")</f>
        <v>0</v>
      </c>
      <c r="AG62" s="46">
        <f>SUMIFS('07导出'!$G$2:$G$1860,'07导出'!$A$2:$A$1860,A62,'07导出'!$D$2:$D$1860,"21203")</f>
        <v>0</v>
      </c>
      <c r="AH62" s="46">
        <f>SUMIFS('07导出'!$H$2:$H$1860,'07导出'!$A$2:$A$1860,A62,'07导出'!$D$2:$D$1860,"21203")</f>
        <v>0</v>
      </c>
      <c r="AI62" s="46">
        <f>SUMIFS('07导出'!$G$2:$G$1860,'07导出'!$A$2:$A$1860,A62,'07导出'!$C$2:$C$1860,"213")</f>
        <v>0</v>
      </c>
      <c r="AJ62" s="46">
        <f>SUMIFS('07导出'!$H$2:$H$1860,'07导出'!$A$2:$A$1860,A62,'07导出'!$C$2:$C$1860,"213")</f>
        <v>0</v>
      </c>
      <c r="AK62" s="46">
        <f>SUMIFS('07导出'!$G$2:$G$1860,'07导出'!$A$2:$A$1860,A62,'07导出'!$D$2:$D$1860,"21305")</f>
        <v>0</v>
      </c>
      <c r="AL62" s="46">
        <f>SUMIFS('07导出'!$H$2:$H$1860,'07导出'!$A$2:$A$1860,A62,'07导出'!$D$2:$D$1860,"21305")</f>
        <v>0</v>
      </c>
      <c r="AM62" s="46">
        <f>SUMIFS('07导出'!$G$2:$G$1860,'07导出'!$A$2:$A$1860,A62,'07导出'!$C$2:$C$1860,"221")</f>
        <v>6982162</v>
      </c>
      <c r="AN62" s="46">
        <f>SUMIFS('07导出'!$H$2:$H$1860,'07导出'!$A$2:$A$1860,A62,'07导出'!$C$2:$C$1860,"221")</f>
        <v>6660810.2400000002</v>
      </c>
      <c r="AO62" s="46">
        <f>SUMIFS('07导出'!$G$2:$G$1860,'07导出'!$A$2:$A$1860,A62,'07导出'!$D$2:$D$1860,"22102")</f>
        <v>6982162</v>
      </c>
      <c r="AP62" s="46">
        <f>SUMIFS('07导出'!$H$2:$H$1860,'07导出'!$A$2:$A$1860,A62,'07导出'!$D$2:$D$1860,"22102")</f>
        <v>6660810.2400000002</v>
      </c>
    </row>
    <row r="63" spans="1:42">
      <c r="A63" s="43">
        <v>255077</v>
      </c>
      <c r="B63" s="44" t="s">
        <v>62</v>
      </c>
      <c r="C63" s="45">
        <f>SUMIFS('07导出'!$G$2:$G$1860,'07导出'!$A$2:$A$1860,A63,'07导出'!$C$2:$C$1860,"205")</f>
        <v>20693222.939999998</v>
      </c>
      <c r="D63" s="45">
        <f>SUMIFS('07导出'!$H$2:$H$1860,'07导出'!$A$2:$A$1860,A63,'07导出'!$C$2:$C$1860,"205")</f>
        <v>17988350.5</v>
      </c>
      <c r="E63" s="46">
        <f>SUMIFS('07导出'!$G$2:$G$1860,'07导出'!$A$2:$A$1860,A63,'07导出'!$D$2:$D$1860,"20502")</f>
        <v>20499284.079999998</v>
      </c>
      <c r="F63" s="46">
        <f>SUMIFS('07导出'!$H$2:$H$1860,'07导出'!$A$2:$A$1860,A63,'07导出'!$D$2:$D$1860,"20502")</f>
        <v>17743438.5</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11726.86</v>
      </c>
      <c r="N63" s="46">
        <f>SUMIFS('07导出'!$H$2:$H$1860,'07导出'!$A$2:$A$1860,A63,'07导出'!$D$2:$D$1860,"20508")</f>
        <v>57600</v>
      </c>
      <c r="O63" s="46">
        <f>SUMIFS('07导出'!$G$2:$G$1860,'07导出'!$A$2:$A$1860,A63,'07导出'!$D$2:$D$1860,"20509")</f>
        <v>182212</v>
      </c>
      <c r="P63" s="46">
        <f>SUMIFS('07导出'!$H$2:$H$1860,'07导出'!$A$2:$A$1860,A63,'07导出'!$D$2:$D$1860,"20509")</f>
        <v>187312</v>
      </c>
      <c r="Q63" s="46">
        <f>SUMIFS('07导出'!$G$2:$G$1860,'07导出'!$A$2:$A$1860,A63,'07导出'!$C$2:$C$1860,"206")</f>
        <v>0</v>
      </c>
      <c r="R63" s="46">
        <f>SUMIFS('07导出'!$H$2:$H$1860,'07导出'!$A$2:$A$1860,A63,'07导出'!$C$2:$C$1860,"206")</f>
        <v>0</v>
      </c>
      <c r="S63" s="46">
        <f>SUMIFS('07导出'!$G$2:$G$1860,'07导出'!$A$2:$A$1860,A63,'07导出'!$D$2:$D$1860,"20607")</f>
        <v>0</v>
      </c>
      <c r="T63" s="46">
        <f>SUMIFS('07导出'!$H$2:$H$1860,'07导出'!$A$2:$A$1860,A63,'07导出'!$D$2:$D$1860,"20607")</f>
        <v>0</v>
      </c>
      <c r="U63" s="46">
        <f>SUMIFS('07导出'!$G$2:$G$1860,'07导出'!$A$2:$A$1860,A63,'07导出'!$C$2:$C$1860,"208")</f>
        <v>2997284.2199999997</v>
      </c>
      <c r="V63" s="46">
        <f>SUMIFS('07导出'!$H$2:$H$1860,'07导出'!$A$2:$A$1860,A63,'07导出'!$C$2:$C$1860,"208")</f>
        <v>3128891.98</v>
      </c>
      <c r="W63" s="46">
        <f>SUMIFS('07导出'!$G$2:$G$1860,'07导出'!$A$2:$A$1860,A63,'07导出'!$D$2:$D$1860,"20805")</f>
        <v>2997284.2199999997</v>
      </c>
      <c r="X63" s="46">
        <f>SUMIFS('07导出'!$H$2:$H$1860,'07导出'!$A$2:$A$1860,A63,'07导出'!$D$2:$D$1860,"20805")</f>
        <v>3128891.98</v>
      </c>
      <c r="Y63" s="46">
        <f>SUMIFS('07导出'!$G$2:$G$1860,'07导出'!$A$2:$A$1860,A63,'07导出'!$D$2:$D$1860,"20808")</f>
        <v>0</v>
      </c>
      <c r="Z63" s="46">
        <f>SUMIFS('07导出'!$H$2:$H$1860,'07导出'!$A$2:$A$1860,A63,'07导出'!$D$2:$D$1860,"20808")</f>
        <v>0</v>
      </c>
      <c r="AA63" s="46">
        <f>SUMIFS('07导出'!$G$2:$G$1860,'07导出'!$A$2:$A$1860,A63,'07导出'!$C$2:$C$1860,"210")</f>
        <v>1526288.44</v>
      </c>
      <c r="AB63" s="46">
        <f>SUMIFS('07导出'!$H$2:$H$1860,'07导出'!$A$2:$A$1860,A63,'07导出'!$C$2:$C$1860,"210")</f>
        <v>1303015.96</v>
      </c>
      <c r="AC63" s="46">
        <f>SUMIFS('07导出'!$G$2:$G$1860,'07导出'!$A$2:$A$1860,A63,'07导出'!$D$2:$D$1860,"21011")</f>
        <v>1526288.44</v>
      </c>
      <c r="AD63" s="46">
        <f>SUMIFS('07导出'!$H$2:$H$1860,'07导出'!$A$2:$A$1860,A63,'07导出'!$D$2:$D$1860,"21011")</f>
        <v>1303015.96</v>
      </c>
      <c r="AE63" s="46">
        <f>SUMIFS('07导出'!$G$2:$G$1860,'07导出'!$A$2:$A$1860,A63,'07导出'!$C$2:$C$1860,"212")</f>
        <v>0</v>
      </c>
      <c r="AF63" s="46">
        <f>SUMIFS('07导出'!$H$2:$H$1860,'07导出'!$A$2:$A$1860,A63,'07导出'!$C$2:$C$1860,"212")</f>
        <v>0</v>
      </c>
      <c r="AG63" s="46">
        <f>SUMIFS('07导出'!$G$2:$G$1860,'07导出'!$A$2:$A$1860,A63,'07导出'!$D$2:$D$1860,"21203")</f>
        <v>0</v>
      </c>
      <c r="AH63" s="46">
        <f>SUMIFS('07导出'!$H$2:$H$1860,'07导出'!$A$2:$A$1860,A63,'07导出'!$D$2:$D$1860,"21203")</f>
        <v>0</v>
      </c>
      <c r="AI63" s="46">
        <f>SUMIFS('07导出'!$G$2:$G$1860,'07导出'!$A$2:$A$1860,A63,'07导出'!$C$2:$C$1860,"213")</f>
        <v>0</v>
      </c>
      <c r="AJ63" s="46">
        <f>SUMIFS('07导出'!$H$2:$H$1860,'07导出'!$A$2:$A$1860,A63,'07导出'!$C$2:$C$1860,"213")</f>
        <v>0</v>
      </c>
      <c r="AK63" s="46">
        <f>SUMIFS('07导出'!$G$2:$G$1860,'07导出'!$A$2:$A$1860,A63,'07导出'!$D$2:$D$1860,"21305")</f>
        <v>0</v>
      </c>
      <c r="AL63" s="46">
        <f>SUMIFS('07导出'!$H$2:$H$1860,'07导出'!$A$2:$A$1860,A63,'07导出'!$D$2:$D$1860,"21305")</f>
        <v>0</v>
      </c>
      <c r="AM63" s="46">
        <f>SUMIFS('07导出'!$G$2:$G$1860,'07导出'!$A$2:$A$1860,A63,'07导出'!$C$2:$C$1860,"221")</f>
        <v>3580004</v>
      </c>
      <c r="AN63" s="46">
        <f>SUMIFS('07导出'!$H$2:$H$1860,'07导出'!$A$2:$A$1860,A63,'07导出'!$C$2:$C$1860,"221")</f>
        <v>3367523.04</v>
      </c>
      <c r="AO63" s="46">
        <f>SUMIFS('07导出'!$G$2:$G$1860,'07导出'!$A$2:$A$1860,A63,'07导出'!$D$2:$D$1860,"22102")</f>
        <v>3580004</v>
      </c>
      <c r="AP63" s="46">
        <f>SUMIFS('07导出'!$H$2:$H$1860,'07导出'!$A$2:$A$1860,A63,'07导出'!$D$2:$D$1860,"22102")</f>
        <v>3367523.04</v>
      </c>
    </row>
    <row r="64" spans="1:42">
      <c r="A64" s="43">
        <v>255078</v>
      </c>
      <c r="B64" s="44" t="s">
        <v>63</v>
      </c>
      <c r="C64" s="45">
        <f>SUMIFS('07导出'!$G$2:$G$1860,'07导出'!$A$2:$A$1860,A64,'07导出'!$C$2:$C$1860,"205")</f>
        <v>42563197.68</v>
      </c>
      <c r="D64" s="45">
        <f>SUMIFS('07导出'!$H$2:$H$1860,'07导出'!$A$2:$A$1860,A64,'07导出'!$C$2:$C$1860,"205")</f>
        <v>38285653.520000003</v>
      </c>
      <c r="E64" s="46">
        <f>SUMIFS('07导出'!$G$2:$G$1860,'07导出'!$A$2:$A$1860,A64,'07导出'!$D$2:$D$1860,"20502")</f>
        <v>41038613.020000003</v>
      </c>
      <c r="F64" s="46">
        <f>SUMIFS('07导出'!$H$2:$H$1860,'07导出'!$A$2:$A$1860,A64,'07导出'!$D$2:$D$1860,"20502")</f>
        <v>36662253.520000003</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25552</v>
      </c>
      <c r="N64" s="46">
        <f>SUMIFS('07导出'!$H$2:$H$1860,'07导出'!$A$2:$A$1860,A64,'07导出'!$D$2:$D$1860,"20508")</f>
        <v>118400</v>
      </c>
      <c r="O64" s="46">
        <f>SUMIFS('07导出'!$G$2:$G$1860,'07导出'!$A$2:$A$1860,A64,'07导出'!$D$2:$D$1860,"20509")</f>
        <v>1499032.66</v>
      </c>
      <c r="P64" s="46">
        <f>SUMIFS('07导出'!$H$2:$H$1860,'07导出'!$A$2:$A$1860,A64,'07导出'!$D$2:$D$1860,"20509")</f>
        <v>1505000</v>
      </c>
      <c r="Q64" s="46">
        <f>SUMIFS('07导出'!$G$2:$G$1860,'07导出'!$A$2:$A$1860,A64,'07导出'!$C$2:$C$1860,"206")</f>
        <v>0</v>
      </c>
      <c r="R64" s="46">
        <f>SUMIFS('07导出'!$H$2:$H$1860,'07导出'!$A$2:$A$1860,A64,'07导出'!$C$2:$C$1860,"206")</f>
        <v>0</v>
      </c>
      <c r="S64" s="46">
        <f>SUMIFS('07导出'!$G$2:$G$1860,'07导出'!$A$2:$A$1860,A64,'07导出'!$D$2:$D$1860,"20607")</f>
        <v>0</v>
      </c>
      <c r="T64" s="46">
        <f>SUMIFS('07导出'!$H$2:$H$1860,'07导出'!$A$2:$A$1860,A64,'07导出'!$D$2:$D$1860,"20607")</f>
        <v>0</v>
      </c>
      <c r="U64" s="46">
        <f>SUMIFS('07导出'!$G$2:$G$1860,'07导出'!$A$2:$A$1860,A64,'07导出'!$C$2:$C$1860,"208")</f>
        <v>6165621.6200000001</v>
      </c>
      <c r="V64" s="46">
        <f>SUMIFS('07导出'!$H$2:$H$1860,'07导出'!$A$2:$A$1860,A64,'07导出'!$C$2:$C$1860,"208")</f>
        <v>6229416.3999999994</v>
      </c>
      <c r="W64" s="46">
        <f>SUMIFS('07导出'!$G$2:$G$1860,'07导出'!$A$2:$A$1860,A64,'07导出'!$D$2:$D$1860,"20805")</f>
        <v>6165621.6200000001</v>
      </c>
      <c r="X64" s="46">
        <f>SUMIFS('07导出'!$H$2:$H$1860,'07导出'!$A$2:$A$1860,A64,'07导出'!$D$2:$D$1860,"20805")</f>
        <v>6229416.3999999994</v>
      </c>
      <c r="Y64" s="46">
        <f>SUMIFS('07导出'!$G$2:$G$1860,'07导出'!$A$2:$A$1860,A64,'07导出'!$D$2:$D$1860,"20808")</f>
        <v>0</v>
      </c>
      <c r="Z64" s="46">
        <f>SUMIFS('07导出'!$H$2:$H$1860,'07导出'!$A$2:$A$1860,A64,'07导出'!$D$2:$D$1860,"20808")</f>
        <v>0</v>
      </c>
      <c r="AA64" s="46">
        <f>SUMIFS('07导出'!$G$2:$G$1860,'07导出'!$A$2:$A$1860,A64,'07导出'!$C$2:$C$1860,"210")</f>
        <v>3013071.66</v>
      </c>
      <c r="AB64" s="46">
        <f>SUMIFS('07导出'!$H$2:$H$1860,'07导出'!$A$2:$A$1860,A64,'07导出'!$C$2:$C$1860,"210")</f>
        <v>2648635.2999999998</v>
      </c>
      <c r="AC64" s="46">
        <f>SUMIFS('07导出'!$G$2:$G$1860,'07导出'!$A$2:$A$1860,A64,'07导出'!$D$2:$D$1860,"21011")</f>
        <v>3013071.66</v>
      </c>
      <c r="AD64" s="46">
        <f>SUMIFS('07导出'!$H$2:$H$1860,'07导出'!$A$2:$A$1860,A64,'07导出'!$D$2:$D$1860,"21011")</f>
        <v>2648635.2999999998</v>
      </c>
      <c r="AE64" s="46">
        <f>SUMIFS('07导出'!$G$2:$G$1860,'07导出'!$A$2:$A$1860,A64,'07导出'!$C$2:$C$1860,"212")</f>
        <v>0</v>
      </c>
      <c r="AF64" s="46">
        <f>SUMIFS('07导出'!$H$2:$H$1860,'07导出'!$A$2:$A$1860,A64,'07导出'!$C$2:$C$1860,"212")</f>
        <v>0</v>
      </c>
      <c r="AG64" s="46">
        <f>SUMIFS('07导出'!$G$2:$G$1860,'07导出'!$A$2:$A$1860,A64,'07导出'!$D$2:$D$1860,"21203")</f>
        <v>0</v>
      </c>
      <c r="AH64" s="46">
        <f>SUMIFS('07导出'!$H$2:$H$1860,'07导出'!$A$2:$A$1860,A64,'07导出'!$D$2:$D$1860,"21203")</f>
        <v>0</v>
      </c>
      <c r="AI64" s="46">
        <f>SUMIFS('07导出'!$G$2:$G$1860,'07导出'!$A$2:$A$1860,A64,'07导出'!$C$2:$C$1860,"213")</f>
        <v>0</v>
      </c>
      <c r="AJ64" s="46">
        <f>SUMIFS('07导出'!$H$2:$H$1860,'07导出'!$A$2:$A$1860,A64,'07导出'!$C$2:$C$1860,"213")</f>
        <v>0</v>
      </c>
      <c r="AK64" s="46">
        <f>SUMIFS('07导出'!$G$2:$G$1860,'07导出'!$A$2:$A$1860,A64,'07导出'!$D$2:$D$1860,"21305")</f>
        <v>0</v>
      </c>
      <c r="AL64" s="46">
        <f>SUMIFS('07导出'!$H$2:$H$1860,'07导出'!$A$2:$A$1860,A64,'07导出'!$D$2:$D$1860,"21305")</f>
        <v>0</v>
      </c>
      <c r="AM64" s="46">
        <f>SUMIFS('07导出'!$G$2:$G$1860,'07导出'!$A$2:$A$1860,A64,'07导出'!$C$2:$C$1860,"221")</f>
        <v>7065832</v>
      </c>
      <c r="AN64" s="46">
        <f>SUMIFS('07导出'!$H$2:$H$1860,'07导出'!$A$2:$A$1860,A64,'07导出'!$C$2:$C$1860,"221")</f>
        <v>6751222.2000000002</v>
      </c>
      <c r="AO64" s="46">
        <f>SUMIFS('07导出'!$G$2:$G$1860,'07导出'!$A$2:$A$1860,A64,'07导出'!$D$2:$D$1860,"22102")</f>
        <v>7065832</v>
      </c>
      <c r="AP64" s="46">
        <f>SUMIFS('07导出'!$H$2:$H$1860,'07导出'!$A$2:$A$1860,A64,'07导出'!$D$2:$D$1860,"22102")</f>
        <v>6751222.2000000002</v>
      </c>
    </row>
    <row r="65" spans="1:42">
      <c r="A65" s="43">
        <v>255079</v>
      </c>
      <c r="B65" s="44" t="s">
        <v>64</v>
      </c>
      <c r="C65" s="45">
        <f>SUMIFS('07导出'!$G$2:$G$1860,'07导出'!$A$2:$A$1860,A65,'07导出'!$C$2:$C$1860,"205")</f>
        <v>16262563.609999999</v>
      </c>
      <c r="D65" s="45">
        <f>SUMIFS('07导出'!$H$2:$H$1860,'07导出'!$A$2:$A$1860,A65,'07导出'!$C$2:$C$1860,"205")</f>
        <v>13879171.68</v>
      </c>
      <c r="E65" s="46">
        <f>SUMIFS('07导出'!$G$2:$G$1860,'07导出'!$A$2:$A$1860,A65,'07导出'!$D$2:$D$1860,"20502")</f>
        <v>16044363.609999999</v>
      </c>
      <c r="F65" s="46">
        <f>SUMIFS('07导出'!$H$2:$H$1860,'07导出'!$A$2:$A$1860,A65,'07导出'!$D$2:$D$1860,"20502")</f>
        <v>13623771.68</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1200</v>
      </c>
      <c r="N65" s="46">
        <f>SUMIFS('07导出'!$H$2:$H$1860,'07导出'!$A$2:$A$1860,A65,'07导出'!$D$2:$D$1860,"20508")</f>
        <v>38400</v>
      </c>
      <c r="O65" s="46">
        <f>SUMIFS('07导出'!$G$2:$G$1860,'07导出'!$A$2:$A$1860,A65,'07导出'!$D$2:$D$1860,"20509")</f>
        <v>217000</v>
      </c>
      <c r="P65" s="46">
        <f>SUMIFS('07导出'!$H$2:$H$1860,'07导出'!$A$2:$A$1860,A65,'07导出'!$D$2:$D$1860,"20509")</f>
        <v>217000</v>
      </c>
      <c r="Q65" s="46">
        <f>SUMIFS('07导出'!$G$2:$G$1860,'07导出'!$A$2:$A$1860,A65,'07导出'!$C$2:$C$1860,"206")</f>
        <v>0</v>
      </c>
      <c r="R65" s="46">
        <f>SUMIFS('07导出'!$H$2:$H$1860,'07导出'!$A$2:$A$1860,A65,'07导出'!$C$2:$C$1860,"206")</f>
        <v>0</v>
      </c>
      <c r="S65" s="46">
        <f>SUMIFS('07导出'!$G$2:$G$1860,'07导出'!$A$2:$A$1860,A65,'07导出'!$D$2:$D$1860,"20607")</f>
        <v>0</v>
      </c>
      <c r="T65" s="46">
        <f>SUMIFS('07导出'!$H$2:$H$1860,'07导出'!$A$2:$A$1860,A65,'07导出'!$D$2:$D$1860,"20607")</f>
        <v>0</v>
      </c>
      <c r="U65" s="46">
        <f>SUMIFS('07导出'!$G$2:$G$1860,'07导出'!$A$2:$A$1860,A65,'07导出'!$C$2:$C$1860,"208")</f>
        <v>1649300.4799999997</v>
      </c>
      <c r="V65" s="46">
        <f>SUMIFS('07导出'!$H$2:$H$1860,'07导出'!$A$2:$A$1860,A65,'07导出'!$C$2:$C$1860,"208")</f>
        <v>1864280.3199999998</v>
      </c>
      <c r="W65" s="46">
        <f>SUMIFS('07导出'!$G$2:$G$1860,'07导出'!$A$2:$A$1860,A65,'07导出'!$D$2:$D$1860,"20805")</f>
        <v>1649300.4799999997</v>
      </c>
      <c r="X65" s="46">
        <f>SUMIFS('07导出'!$H$2:$H$1860,'07导出'!$A$2:$A$1860,A65,'07导出'!$D$2:$D$1860,"20805")</f>
        <v>1864280.3199999998</v>
      </c>
      <c r="Y65" s="46">
        <f>SUMIFS('07导出'!$G$2:$G$1860,'07导出'!$A$2:$A$1860,A65,'07导出'!$D$2:$D$1860,"20808")</f>
        <v>0</v>
      </c>
      <c r="Z65" s="46">
        <f>SUMIFS('07导出'!$H$2:$H$1860,'07导出'!$A$2:$A$1860,A65,'07导出'!$D$2:$D$1860,"20808")</f>
        <v>0</v>
      </c>
      <c r="AA65" s="46">
        <f>SUMIFS('07导出'!$G$2:$G$1860,'07导出'!$A$2:$A$1860,A65,'07导出'!$C$2:$C$1860,"210")</f>
        <v>939645.4</v>
      </c>
      <c r="AB65" s="46">
        <f>SUMIFS('07导出'!$H$2:$H$1860,'07导出'!$A$2:$A$1860,A65,'07导出'!$C$2:$C$1860,"210")</f>
        <v>879166.34</v>
      </c>
      <c r="AC65" s="46">
        <f>SUMIFS('07导出'!$G$2:$G$1860,'07导出'!$A$2:$A$1860,A65,'07导出'!$D$2:$D$1860,"21011")</f>
        <v>939645.4</v>
      </c>
      <c r="AD65" s="46">
        <f>SUMIFS('07导出'!$H$2:$H$1860,'07导出'!$A$2:$A$1860,A65,'07导出'!$D$2:$D$1860,"21011")</f>
        <v>879166.34</v>
      </c>
      <c r="AE65" s="46">
        <f>SUMIFS('07导出'!$G$2:$G$1860,'07导出'!$A$2:$A$1860,A65,'07导出'!$C$2:$C$1860,"212")</f>
        <v>0</v>
      </c>
      <c r="AF65" s="46">
        <f>SUMIFS('07导出'!$H$2:$H$1860,'07导出'!$A$2:$A$1860,A65,'07导出'!$C$2:$C$1860,"212")</f>
        <v>0</v>
      </c>
      <c r="AG65" s="46">
        <f>SUMIFS('07导出'!$G$2:$G$1860,'07导出'!$A$2:$A$1860,A65,'07导出'!$D$2:$D$1860,"21203")</f>
        <v>0</v>
      </c>
      <c r="AH65" s="46">
        <f>SUMIFS('07导出'!$H$2:$H$1860,'07导出'!$A$2:$A$1860,A65,'07导出'!$D$2:$D$1860,"21203")</f>
        <v>0</v>
      </c>
      <c r="AI65" s="46">
        <f>SUMIFS('07导出'!$G$2:$G$1860,'07导出'!$A$2:$A$1860,A65,'07导出'!$C$2:$C$1860,"213")</f>
        <v>0</v>
      </c>
      <c r="AJ65" s="46">
        <f>SUMIFS('07导出'!$H$2:$H$1860,'07导出'!$A$2:$A$1860,A65,'07导出'!$C$2:$C$1860,"213")</f>
        <v>0</v>
      </c>
      <c r="AK65" s="46">
        <f>SUMIFS('07导出'!$G$2:$G$1860,'07导出'!$A$2:$A$1860,A65,'07导出'!$D$2:$D$1860,"21305")</f>
        <v>0</v>
      </c>
      <c r="AL65" s="46">
        <f>SUMIFS('07导出'!$H$2:$H$1860,'07导出'!$A$2:$A$1860,A65,'07导出'!$D$2:$D$1860,"21305")</f>
        <v>0</v>
      </c>
      <c r="AM65" s="46">
        <f>SUMIFS('07导出'!$G$2:$G$1860,'07导出'!$A$2:$A$1860,A65,'07导出'!$C$2:$C$1860,"221")</f>
        <v>2219542</v>
      </c>
      <c r="AN65" s="46">
        <f>SUMIFS('07导出'!$H$2:$H$1860,'07导出'!$A$2:$A$1860,A65,'07导出'!$C$2:$C$1860,"221")</f>
        <v>2199170.16</v>
      </c>
      <c r="AO65" s="46">
        <f>SUMIFS('07导出'!$G$2:$G$1860,'07导出'!$A$2:$A$1860,A65,'07导出'!$D$2:$D$1860,"22102")</f>
        <v>2219542</v>
      </c>
      <c r="AP65" s="46">
        <f>SUMIFS('07导出'!$H$2:$H$1860,'07导出'!$A$2:$A$1860,A65,'07导出'!$D$2:$D$1860,"22102")</f>
        <v>2199170.16</v>
      </c>
    </row>
    <row r="66" spans="1:42">
      <c r="A66" s="43">
        <v>255080</v>
      </c>
      <c r="B66" s="44" t="s">
        <v>65</v>
      </c>
      <c r="C66" s="45">
        <f>SUMIFS('07导出'!$G$2:$G$1860,'07导出'!$A$2:$A$1860,A66,'07导出'!$C$2:$C$1860,"205")</f>
        <v>22829028.82</v>
      </c>
      <c r="D66" s="45">
        <f>SUMIFS('07导出'!$H$2:$H$1860,'07导出'!$A$2:$A$1860,A66,'07导出'!$C$2:$C$1860,"205")</f>
        <v>18831359.579999998</v>
      </c>
      <c r="E66" s="46">
        <f>SUMIFS('07导出'!$G$2:$G$1860,'07导出'!$A$2:$A$1860,A66,'07导出'!$D$2:$D$1860,"20502")</f>
        <v>22658228.82</v>
      </c>
      <c r="F66" s="46">
        <f>SUMIFS('07导出'!$H$2:$H$1860,'07导出'!$A$2:$A$1860,A66,'07导出'!$D$2:$D$1860,"20502")</f>
        <v>18629759.579999998</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30800</v>
      </c>
      <c r="N66" s="46">
        <f>SUMIFS('07导出'!$H$2:$H$1860,'07导出'!$A$2:$A$1860,A66,'07导出'!$D$2:$D$1860,"20508")</f>
        <v>61600</v>
      </c>
      <c r="O66" s="46">
        <f>SUMIFS('07导出'!$G$2:$G$1860,'07导出'!$A$2:$A$1860,A66,'07导出'!$D$2:$D$1860,"20509")</f>
        <v>140000</v>
      </c>
      <c r="P66" s="46">
        <f>SUMIFS('07导出'!$H$2:$H$1860,'07导出'!$A$2:$A$1860,A66,'07导出'!$D$2:$D$1860,"20509")</f>
        <v>140000</v>
      </c>
      <c r="Q66" s="46">
        <f>SUMIFS('07导出'!$G$2:$G$1860,'07导出'!$A$2:$A$1860,A66,'07导出'!$C$2:$C$1860,"206")</f>
        <v>0</v>
      </c>
      <c r="R66" s="46">
        <f>SUMIFS('07导出'!$H$2:$H$1860,'07导出'!$A$2:$A$1860,A66,'07导出'!$C$2:$C$1860,"206")</f>
        <v>0</v>
      </c>
      <c r="S66" s="46">
        <f>SUMIFS('07导出'!$G$2:$G$1860,'07导出'!$A$2:$A$1860,A66,'07导出'!$D$2:$D$1860,"20607")</f>
        <v>0</v>
      </c>
      <c r="T66" s="46">
        <f>SUMIFS('07导出'!$H$2:$H$1860,'07导出'!$A$2:$A$1860,A66,'07导出'!$D$2:$D$1860,"20607")</f>
        <v>0</v>
      </c>
      <c r="U66" s="46">
        <f>SUMIFS('07导出'!$G$2:$G$1860,'07导出'!$A$2:$A$1860,A66,'07导出'!$C$2:$C$1860,"208")</f>
        <v>2719701.66</v>
      </c>
      <c r="V66" s="46">
        <f>SUMIFS('07导出'!$H$2:$H$1860,'07导出'!$A$2:$A$1860,A66,'07导出'!$C$2:$C$1860,"208")</f>
        <v>2776888.64</v>
      </c>
      <c r="W66" s="46">
        <f>SUMIFS('07导出'!$G$2:$G$1860,'07导出'!$A$2:$A$1860,A66,'07导出'!$D$2:$D$1860,"20805")</f>
        <v>2719701.66</v>
      </c>
      <c r="X66" s="46">
        <f>SUMIFS('07导出'!$H$2:$H$1860,'07导出'!$A$2:$A$1860,A66,'07导出'!$D$2:$D$1860,"20805")</f>
        <v>2776888.64</v>
      </c>
      <c r="Y66" s="46">
        <f>SUMIFS('07导出'!$G$2:$G$1860,'07导出'!$A$2:$A$1860,A66,'07导出'!$D$2:$D$1860,"20808")</f>
        <v>0</v>
      </c>
      <c r="Z66" s="46">
        <f>SUMIFS('07导出'!$H$2:$H$1860,'07导出'!$A$2:$A$1860,A66,'07导出'!$D$2:$D$1860,"20808")</f>
        <v>0</v>
      </c>
      <c r="AA66" s="46">
        <f>SUMIFS('07导出'!$G$2:$G$1860,'07导出'!$A$2:$A$1860,A66,'07导出'!$C$2:$C$1860,"210")</f>
        <v>1498039.83</v>
      </c>
      <c r="AB66" s="46">
        <f>SUMIFS('07导出'!$H$2:$H$1860,'07导出'!$A$2:$A$1860,A66,'07导出'!$C$2:$C$1860,"210")</f>
        <v>1332602.18</v>
      </c>
      <c r="AC66" s="46">
        <f>SUMIFS('07导出'!$G$2:$G$1860,'07导出'!$A$2:$A$1860,A66,'07导出'!$D$2:$D$1860,"21011")</f>
        <v>1498039.83</v>
      </c>
      <c r="AD66" s="46">
        <f>SUMIFS('07导出'!$H$2:$H$1860,'07导出'!$A$2:$A$1860,A66,'07导出'!$D$2:$D$1860,"21011")</f>
        <v>1332602.18</v>
      </c>
      <c r="AE66" s="46">
        <f>SUMIFS('07导出'!$G$2:$G$1860,'07导出'!$A$2:$A$1860,A66,'07导出'!$C$2:$C$1860,"212")</f>
        <v>0</v>
      </c>
      <c r="AF66" s="46">
        <f>SUMIFS('07导出'!$H$2:$H$1860,'07导出'!$A$2:$A$1860,A66,'07导出'!$C$2:$C$1860,"212")</f>
        <v>0</v>
      </c>
      <c r="AG66" s="46">
        <f>SUMIFS('07导出'!$G$2:$G$1860,'07导出'!$A$2:$A$1860,A66,'07导出'!$D$2:$D$1860,"21203")</f>
        <v>0</v>
      </c>
      <c r="AH66" s="46">
        <f>SUMIFS('07导出'!$H$2:$H$1860,'07导出'!$A$2:$A$1860,A66,'07导出'!$D$2:$D$1860,"21203")</f>
        <v>0</v>
      </c>
      <c r="AI66" s="46">
        <f>SUMIFS('07导出'!$G$2:$G$1860,'07导出'!$A$2:$A$1860,A66,'07导出'!$C$2:$C$1860,"213")</f>
        <v>0</v>
      </c>
      <c r="AJ66" s="46">
        <f>SUMIFS('07导出'!$H$2:$H$1860,'07导出'!$A$2:$A$1860,A66,'07导出'!$C$2:$C$1860,"213")</f>
        <v>0</v>
      </c>
      <c r="AK66" s="46">
        <f>SUMIFS('07导出'!$G$2:$G$1860,'07导出'!$A$2:$A$1860,A66,'07导出'!$D$2:$D$1860,"21305")</f>
        <v>0</v>
      </c>
      <c r="AL66" s="46">
        <f>SUMIFS('07导出'!$H$2:$H$1860,'07导出'!$A$2:$A$1860,A66,'07导出'!$D$2:$D$1860,"21305")</f>
        <v>0</v>
      </c>
      <c r="AM66" s="46">
        <f>SUMIFS('07导出'!$G$2:$G$1860,'07导出'!$A$2:$A$1860,A66,'07导出'!$C$2:$C$1860,"221")</f>
        <v>3662515</v>
      </c>
      <c r="AN66" s="46">
        <f>SUMIFS('07导出'!$H$2:$H$1860,'07导出'!$A$2:$A$1860,A66,'07导出'!$C$2:$C$1860,"221")</f>
        <v>3597622.3200000003</v>
      </c>
      <c r="AO66" s="46">
        <f>SUMIFS('07导出'!$G$2:$G$1860,'07导出'!$A$2:$A$1860,A66,'07导出'!$D$2:$D$1860,"22102")</f>
        <v>3662515</v>
      </c>
      <c r="AP66" s="46">
        <f>SUMIFS('07导出'!$H$2:$H$1860,'07导出'!$A$2:$A$1860,A66,'07导出'!$D$2:$D$1860,"22102")</f>
        <v>3597622.3200000003</v>
      </c>
    </row>
    <row r="67" spans="1:42">
      <c r="A67" s="43">
        <v>255081</v>
      </c>
      <c r="B67" s="44" t="s">
        <v>66</v>
      </c>
      <c r="C67" s="45">
        <f>SUMIFS('07导出'!$G$2:$G$1860,'07导出'!$A$2:$A$1860,A67,'07导出'!$C$2:$C$1860,"205")</f>
        <v>18869084.949999999</v>
      </c>
      <c r="D67" s="45">
        <f>SUMIFS('07导出'!$H$2:$H$1860,'07导出'!$A$2:$A$1860,A67,'07导出'!$C$2:$C$1860,"205")</f>
        <v>15657452.300000001</v>
      </c>
      <c r="E67" s="46">
        <f>SUMIFS('07导出'!$G$2:$G$1860,'07导出'!$A$2:$A$1860,A67,'07导出'!$D$2:$D$1860,"20502")</f>
        <v>18161599.949999999</v>
      </c>
      <c r="F67" s="46">
        <f>SUMIFS('07导出'!$H$2:$H$1860,'07导出'!$A$2:$A$1860,A67,'07导出'!$D$2:$D$1860,"20502")</f>
        <v>14897812.300000001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1600</v>
      </c>
      <c r="N67" s="46">
        <f>SUMIFS('07导出'!$H$2:$H$1860,'07导出'!$A$2:$A$1860,A67,'07导出'!$D$2:$D$1860,"20508")</f>
        <v>52800</v>
      </c>
      <c r="O67" s="46">
        <f>SUMIFS('07导出'!$G$2:$G$1860,'07导出'!$A$2:$A$1860,A67,'07导出'!$D$2:$D$1860,"20509")</f>
        <v>705885</v>
      </c>
      <c r="P67" s="46">
        <f>SUMIFS('07导出'!$H$2:$H$1860,'07导出'!$A$2:$A$1860,A67,'07导出'!$D$2:$D$1860,"20509")</f>
        <v>706840</v>
      </c>
      <c r="Q67" s="46">
        <f>SUMIFS('07导出'!$G$2:$G$1860,'07导出'!$A$2:$A$1860,A67,'07导出'!$C$2:$C$1860,"206")</f>
        <v>0</v>
      </c>
      <c r="R67" s="46">
        <f>SUMIFS('07导出'!$H$2:$H$1860,'07导出'!$A$2:$A$1860,A67,'07导出'!$C$2:$C$1860,"206")</f>
        <v>0</v>
      </c>
      <c r="S67" s="46">
        <f>SUMIFS('07导出'!$G$2:$G$1860,'07导出'!$A$2:$A$1860,A67,'07导出'!$D$2:$D$1860,"20607")</f>
        <v>0</v>
      </c>
      <c r="T67" s="46">
        <f>SUMIFS('07导出'!$H$2:$H$1860,'07导出'!$A$2:$A$1860,A67,'07导出'!$D$2:$D$1860,"20607")</f>
        <v>0</v>
      </c>
      <c r="U67" s="46">
        <f>SUMIFS('07导出'!$G$2:$G$1860,'07导出'!$A$2:$A$1860,A67,'07导出'!$C$2:$C$1860,"208")</f>
        <v>2453015.79</v>
      </c>
      <c r="V67" s="46">
        <f>SUMIFS('07导出'!$H$2:$H$1860,'07导出'!$A$2:$A$1860,A67,'07导出'!$C$2:$C$1860,"208")</f>
        <v>2372177.6800000002</v>
      </c>
      <c r="W67" s="46">
        <f>SUMIFS('07导出'!$G$2:$G$1860,'07导出'!$A$2:$A$1860,A67,'07导出'!$D$2:$D$1860,"20805")</f>
        <v>2453015.79</v>
      </c>
      <c r="X67" s="46">
        <f>SUMIFS('07导出'!$H$2:$H$1860,'07导出'!$A$2:$A$1860,A67,'07导出'!$D$2:$D$1860,"20805")</f>
        <v>2372177.6800000002</v>
      </c>
      <c r="Y67" s="46">
        <f>SUMIFS('07导出'!$G$2:$G$1860,'07导出'!$A$2:$A$1860,A67,'07导出'!$D$2:$D$1860,"20808")</f>
        <v>0</v>
      </c>
      <c r="Z67" s="46">
        <f>SUMIFS('07导出'!$H$2:$H$1860,'07导出'!$A$2:$A$1860,A67,'07导出'!$D$2:$D$1860,"20808")</f>
        <v>0</v>
      </c>
      <c r="AA67" s="46">
        <f>SUMIFS('07导出'!$G$2:$G$1860,'07导出'!$A$2:$A$1860,A67,'07导出'!$C$2:$C$1860,"210")</f>
        <v>1216124.17</v>
      </c>
      <c r="AB67" s="46">
        <f>SUMIFS('07导出'!$H$2:$H$1860,'07导出'!$A$2:$A$1860,A67,'07导出'!$C$2:$C$1860,"210")</f>
        <v>1102606.6600000001</v>
      </c>
      <c r="AC67" s="46">
        <f>SUMIFS('07导出'!$G$2:$G$1860,'07导出'!$A$2:$A$1860,A67,'07导出'!$D$2:$D$1860,"21011")</f>
        <v>1216124.17</v>
      </c>
      <c r="AD67" s="46">
        <f>SUMIFS('07导出'!$H$2:$H$1860,'07导出'!$A$2:$A$1860,A67,'07导出'!$D$2:$D$1860,"21011")</f>
        <v>1102606.6600000001</v>
      </c>
      <c r="AE67" s="46">
        <f>SUMIFS('07导出'!$G$2:$G$1860,'07导出'!$A$2:$A$1860,A67,'07导出'!$C$2:$C$1860,"212")</f>
        <v>0</v>
      </c>
      <c r="AF67" s="46">
        <f>SUMIFS('07导出'!$H$2:$H$1860,'07导出'!$A$2:$A$1860,A67,'07导出'!$C$2:$C$1860,"212")</f>
        <v>0</v>
      </c>
      <c r="AG67" s="46">
        <f>SUMIFS('07导出'!$G$2:$G$1860,'07导出'!$A$2:$A$1860,A67,'07导出'!$D$2:$D$1860,"21203")</f>
        <v>0</v>
      </c>
      <c r="AH67" s="46">
        <f>SUMIFS('07导出'!$H$2:$H$1860,'07导出'!$A$2:$A$1860,A67,'07导出'!$D$2:$D$1860,"21203")</f>
        <v>0</v>
      </c>
      <c r="AI67" s="46">
        <f>SUMIFS('07导出'!$G$2:$G$1860,'07导出'!$A$2:$A$1860,A67,'07导出'!$C$2:$C$1860,"213")</f>
        <v>0</v>
      </c>
      <c r="AJ67" s="46">
        <f>SUMIFS('07导出'!$H$2:$H$1860,'07导出'!$A$2:$A$1860,A67,'07导出'!$C$2:$C$1860,"213")</f>
        <v>0</v>
      </c>
      <c r="AK67" s="46">
        <f>SUMIFS('07导出'!$G$2:$G$1860,'07导出'!$A$2:$A$1860,A67,'07导出'!$D$2:$D$1860,"21305")</f>
        <v>0</v>
      </c>
      <c r="AL67" s="46">
        <f>SUMIFS('07导出'!$H$2:$H$1860,'07导出'!$A$2:$A$1860,A67,'07导出'!$D$2:$D$1860,"21305")</f>
        <v>0</v>
      </c>
      <c r="AM67" s="46">
        <f>SUMIFS('07导出'!$G$2:$G$1860,'07导出'!$A$2:$A$1860,A67,'07导出'!$C$2:$C$1860,"221")</f>
        <v>3453625</v>
      </c>
      <c r="AN67" s="46">
        <f>SUMIFS('07导出'!$H$2:$H$1860,'07导出'!$A$2:$A$1860,A67,'07导出'!$C$2:$C$1860,"221")</f>
        <v>2899341.84</v>
      </c>
      <c r="AO67" s="46">
        <f>SUMIFS('07导出'!$G$2:$G$1860,'07导出'!$A$2:$A$1860,A67,'07导出'!$D$2:$D$1860,"22102")</f>
        <v>3453625</v>
      </c>
      <c r="AP67" s="46">
        <f>SUMIFS('07导出'!$H$2:$H$1860,'07导出'!$A$2:$A$1860,A67,'07导出'!$D$2:$D$1860,"22102")</f>
        <v>2899341.84</v>
      </c>
    </row>
    <row r="68" spans="1:42">
      <c r="A68" s="43">
        <v>255082</v>
      </c>
      <c r="B68" s="44" t="s">
        <v>67</v>
      </c>
      <c r="C68" s="45">
        <f>SUMIFS('07导出'!$G$2:$G$1860,'07导出'!$A$2:$A$1860,A68,'07导出'!$C$2:$C$1860,"205")</f>
        <v>13886983.779999999</v>
      </c>
      <c r="D68" s="45">
        <f>SUMIFS('07导出'!$H$2:$H$1860,'07导出'!$A$2:$A$1860,A68,'07导出'!$C$2:$C$1860,"205")</f>
        <v>11294324.300000001</v>
      </c>
      <c r="E68" s="46">
        <f>SUMIFS('07导出'!$G$2:$G$1860,'07导出'!$A$2:$A$1860,A68,'07导出'!$D$2:$D$1860,"20502")</f>
        <v>13791455.6</v>
      </c>
      <c r="F68" s="46">
        <f>SUMIFS('07导出'!$H$2:$H$1860,'07导出'!$A$2:$A$1860,A68,'07导出'!$D$2:$D$1860,"20502")</f>
        <v>11167324.300000001</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4800</v>
      </c>
      <c r="N68" s="46">
        <f>SUMIFS('07导出'!$H$2:$H$1860,'07导出'!$A$2:$A$1860,A68,'07导出'!$D$2:$D$1860,"20508")</f>
        <v>36000</v>
      </c>
      <c r="O68" s="46">
        <f>SUMIFS('07导出'!$G$2:$G$1860,'07导出'!$A$2:$A$1860,A68,'07导出'!$D$2:$D$1860,"20509")</f>
        <v>90728.18</v>
      </c>
      <c r="P68" s="46">
        <f>SUMIFS('07导出'!$H$2:$H$1860,'07导出'!$A$2:$A$1860,A68,'07导出'!$D$2:$D$1860,"20509")</f>
        <v>91000</v>
      </c>
      <c r="Q68" s="46">
        <f>SUMIFS('07导出'!$G$2:$G$1860,'07导出'!$A$2:$A$1860,A68,'07导出'!$C$2:$C$1860,"206")</f>
        <v>0</v>
      </c>
      <c r="R68" s="46">
        <f>SUMIFS('07导出'!$H$2:$H$1860,'07导出'!$A$2:$A$1860,A68,'07导出'!$C$2:$C$1860,"206")</f>
        <v>0</v>
      </c>
      <c r="S68" s="46">
        <f>SUMIFS('07导出'!$G$2:$G$1860,'07导出'!$A$2:$A$1860,A68,'07导出'!$D$2:$D$1860,"20607")</f>
        <v>0</v>
      </c>
      <c r="T68" s="46">
        <f>SUMIFS('07导出'!$H$2:$H$1860,'07导出'!$A$2:$A$1860,A68,'07导出'!$D$2:$D$1860,"20607")</f>
        <v>0</v>
      </c>
      <c r="U68" s="46">
        <f>SUMIFS('07导出'!$G$2:$G$1860,'07导出'!$A$2:$A$1860,A68,'07导出'!$C$2:$C$1860,"208")</f>
        <v>3098374.94</v>
      </c>
      <c r="V68" s="46">
        <f>SUMIFS('07导出'!$H$2:$H$1860,'07导出'!$A$2:$A$1860,A68,'07导出'!$C$2:$C$1860,"208")</f>
        <v>2626096.3199999998</v>
      </c>
      <c r="W68" s="46">
        <f>SUMIFS('07导出'!$G$2:$G$1860,'07导出'!$A$2:$A$1860,A68,'07导出'!$D$2:$D$1860,"20805")</f>
        <v>3098374.94</v>
      </c>
      <c r="X68" s="46">
        <f>SUMIFS('07导出'!$H$2:$H$1860,'07导出'!$A$2:$A$1860,A68,'07导出'!$D$2:$D$1860,"20805")</f>
        <v>2626096.3199999998</v>
      </c>
      <c r="Y68" s="46">
        <f>SUMIFS('07导出'!$G$2:$G$1860,'07导出'!$A$2:$A$1860,A68,'07导出'!$D$2:$D$1860,"20808")</f>
        <v>0</v>
      </c>
      <c r="Z68" s="46">
        <f>SUMIFS('07导出'!$H$2:$H$1860,'07导出'!$A$2:$A$1860,A68,'07导出'!$D$2:$D$1860,"20808")</f>
        <v>0</v>
      </c>
      <c r="AA68" s="46">
        <f>SUMIFS('07导出'!$G$2:$G$1860,'07导出'!$A$2:$A$1860,A68,'07导出'!$C$2:$C$1860,"210")</f>
        <v>823364.91</v>
      </c>
      <c r="AB68" s="46">
        <f>SUMIFS('07导出'!$H$2:$H$1860,'07导出'!$A$2:$A$1860,A68,'07导出'!$C$2:$C$1860,"210")</f>
        <v>847894.84</v>
      </c>
      <c r="AC68" s="46">
        <f>SUMIFS('07导出'!$G$2:$G$1860,'07导出'!$A$2:$A$1860,A68,'07导出'!$D$2:$D$1860,"21011")</f>
        <v>823364.91</v>
      </c>
      <c r="AD68" s="46">
        <f>SUMIFS('07导出'!$H$2:$H$1860,'07导出'!$A$2:$A$1860,A68,'07导出'!$D$2:$D$1860,"21011")</f>
        <v>847894.84</v>
      </c>
      <c r="AE68" s="46">
        <f>SUMIFS('07导出'!$G$2:$G$1860,'07导出'!$A$2:$A$1860,A68,'07导出'!$C$2:$C$1860,"212")</f>
        <v>0</v>
      </c>
      <c r="AF68" s="46">
        <f>SUMIFS('07导出'!$H$2:$H$1860,'07导出'!$A$2:$A$1860,A68,'07导出'!$C$2:$C$1860,"212")</f>
        <v>0</v>
      </c>
      <c r="AG68" s="46">
        <f>SUMIFS('07导出'!$G$2:$G$1860,'07导出'!$A$2:$A$1860,A68,'07导出'!$D$2:$D$1860,"21203")</f>
        <v>0</v>
      </c>
      <c r="AH68" s="46">
        <f>SUMIFS('07导出'!$H$2:$H$1860,'07导出'!$A$2:$A$1860,A68,'07导出'!$D$2:$D$1860,"21203")</f>
        <v>0</v>
      </c>
      <c r="AI68" s="46">
        <f>SUMIFS('07导出'!$G$2:$G$1860,'07导出'!$A$2:$A$1860,A68,'07导出'!$C$2:$C$1860,"213")</f>
        <v>0</v>
      </c>
      <c r="AJ68" s="46">
        <f>SUMIFS('07导出'!$H$2:$H$1860,'07导出'!$A$2:$A$1860,A68,'07导出'!$C$2:$C$1860,"213")</f>
        <v>0</v>
      </c>
      <c r="AK68" s="46">
        <f>SUMIFS('07导出'!$G$2:$G$1860,'07导出'!$A$2:$A$1860,A68,'07导出'!$D$2:$D$1860,"21305")</f>
        <v>0</v>
      </c>
      <c r="AL68" s="46">
        <f>SUMIFS('07导出'!$H$2:$H$1860,'07导出'!$A$2:$A$1860,A68,'07导出'!$D$2:$D$1860,"21305")</f>
        <v>0</v>
      </c>
      <c r="AM68" s="46">
        <f>SUMIFS('07导出'!$G$2:$G$1860,'07导出'!$A$2:$A$1860,A68,'07导出'!$C$2:$C$1860,"221")</f>
        <v>2467700</v>
      </c>
      <c r="AN68" s="46">
        <f>SUMIFS('07导出'!$H$2:$H$1860,'07导出'!$A$2:$A$1860,A68,'07导出'!$C$2:$C$1860,"221")</f>
        <v>2344412.1600000001</v>
      </c>
      <c r="AO68" s="46">
        <f>SUMIFS('07导出'!$G$2:$G$1860,'07导出'!$A$2:$A$1860,A68,'07导出'!$D$2:$D$1860,"22102")</f>
        <v>2467700</v>
      </c>
      <c r="AP68" s="46">
        <f>SUMIFS('07导出'!$H$2:$H$1860,'07导出'!$A$2:$A$1860,A68,'07导出'!$D$2:$D$1860,"22102")</f>
        <v>2344412.1600000001</v>
      </c>
    </row>
    <row r="69" spans="1:42">
      <c r="A69" s="43">
        <v>255083</v>
      </c>
      <c r="B69" s="44" t="s">
        <v>68</v>
      </c>
      <c r="C69" s="45">
        <f>SUMIFS('07导出'!$G$2:$G$1860,'07导出'!$A$2:$A$1860,A69,'07导出'!$C$2:$C$1860,"205")</f>
        <v>18998863.280000001</v>
      </c>
      <c r="D69" s="45">
        <f>SUMIFS('07导出'!$H$2:$H$1860,'07导出'!$A$2:$A$1860,A69,'07导出'!$C$2:$C$1860,"205")</f>
        <v>15778354.289999999</v>
      </c>
      <c r="E69" s="46">
        <f>SUMIFS('07导出'!$G$2:$G$1860,'07导出'!$A$2:$A$1860,A69,'07导出'!$D$2:$D$1860,"20502")</f>
        <v>18313757.280000001</v>
      </c>
      <c r="F69" s="46">
        <f>SUMIFS('07导出'!$H$2:$H$1860,'07导出'!$A$2:$A$1860,A69,'07导出'!$D$2:$D$1860,"20502")</f>
        <v>15063554.289999999</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26210</v>
      </c>
      <c r="N69" s="46">
        <f>SUMIFS('07导出'!$H$2:$H$1860,'07导出'!$A$2:$A$1860,A69,'07导出'!$D$2:$D$1860,"20508")</f>
        <v>52800</v>
      </c>
      <c r="O69" s="46">
        <f>SUMIFS('07导出'!$G$2:$G$1860,'07导出'!$A$2:$A$1860,A69,'07导出'!$D$2:$D$1860,"20509")</f>
        <v>658896</v>
      </c>
      <c r="P69" s="46">
        <f>SUMIFS('07导出'!$H$2:$H$1860,'07导出'!$A$2:$A$1860,A69,'07导出'!$D$2:$D$1860,"20509")</f>
        <v>662000</v>
      </c>
      <c r="Q69" s="46">
        <f>SUMIFS('07导出'!$G$2:$G$1860,'07导出'!$A$2:$A$1860,A69,'07导出'!$C$2:$C$1860,"206")</f>
        <v>0</v>
      </c>
      <c r="R69" s="46">
        <f>SUMIFS('07导出'!$H$2:$H$1860,'07导出'!$A$2:$A$1860,A69,'07导出'!$C$2:$C$1860,"206")</f>
        <v>0</v>
      </c>
      <c r="S69" s="46">
        <f>SUMIFS('07导出'!$G$2:$G$1860,'07导出'!$A$2:$A$1860,A69,'07导出'!$D$2:$D$1860,"20607")</f>
        <v>0</v>
      </c>
      <c r="T69" s="46">
        <f>SUMIFS('07导出'!$H$2:$H$1860,'07导出'!$A$2:$A$1860,A69,'07导出'!$D$2:$D$1860,"20607")</f>
        <v>0</v>
      </c>
      <c r="U69" s="46">
        <f>SUMIFS('07导出'!$G$2:$G$1860,'07导出'!$A$2:$A$1860,A69,'07导出'!$C$2:$C$1860,"208")</f>
        <v>2098422.34</v>
      </c>
      <c r="V69" s="46">
        <f>SUMIFS('07导出'!$H$2:$H$1860,'07导出'!$A$2:$A$1860,A69,'07导出'!$C$2:$C$1860,"208")</f>
        <v>2140272.9300000002</v>
      </c>
      <c r="W69" s="46">
        <f>SUMIFS('07导出'!$G$2:$G$1860,'07导出'!$A$2:$A$1860,A69,'07导出'!$D$2:$D$1860,"20805")</f>
        <v>2098422.34</v>
      </c>
      <c r="X69" s="46">
        <f>SUMIFS('07导出'!$H$2:$H$1860,'07导出'!$A$2:$A$1860,A69,'07导出'!$D$2:$D$1860,"20805")</f>
        <v>2140272.9300000002</v>
      </c>
      <c r="Y69" s="46">
        <f>SUMIFS('07导出'!$G$2:$G$1860,'07导出'!$A$2:$A$1860,A69,'07导出'!$D$2:$D$1860,"20808")</f>
        <v>0</v>
      </c>
      <c r="Z69" s="46">
        <f>SUMIFS('07导出'!$H$2:$H$1860,'07导出'!$A$2:$A$1860,A69,'07导出'!$D$2:$D$1860,"20808")</f>
        <v>0</v>
      </c>
      <c r="AA69" s="46">
        <f>SUMIFS('07导出'!$G$2:$G$1860,'07导出'!$A$2:$A$1860,A69,'07导出'!$C$2:$C$1860,"210")</f>
        <v>960197.21</v>
      </c>
      <c r="AB69" s="46">
        <f>SUMIFS('07导出'!$H$2:$H$1860,'07导出'!$A$2:$A$1860,A69,'07导出'!$C$2:$C$1860,"210")</f>
        <v>1019244.92</v>
      </c>
      <c r="AC69" s="46">
        <f>SUMIFS('07导出'!$G$2:$G$1860,'07导出'!$A$2:$A$1860,A69,'07导出'!$D$2:$D$1860,"21011")</f>
        <v>960197.21</v>
      </c>
      <c r="AD69" s="46">
        <f>SUMIFS('07导出'!$H$2:$H$1860,'07导出'!$A$2:$A$1860,A69,'07导出'!$D$2:$D$1860,"21011")</f>
        <v>1019244.92</v>
      </c>
      <c r="AE69" s="46">
        <f>SUMIFS('07导出'!$G$2:$G$1860,'07导出'!$A$2:$A$1860,A69,'07导出'!$C$2:$C$1860,"212")</f>
        <v>0</v>
      </c>
      <c r="AF69" s="46">
        <f>SUMIFS('07导出'!$H$2:$H$1860,'07导出'!$A$2:$A$1860,A69,'07导出'!$C$2:$C$1860,"212")</f>
        <v>0</v>
      </c>
      <c r="AG69" s="46">
        <f>SUMIFS('07导出'!$G$2:$G$1860,'07导出'!$A$2:$A$1860,A69,'07导出'!$D$2:$D$1860,"21203")</f>
        <v>0</v>
      </c>
      <c r="AH69" s="46">
        <f>SUMIFS('07导出'!$H$2:$H$1860,'07导出'!$A$2:$A$1860,A69,'07导出'!$D$2:$D$1860,"21203")</f>
        <v>0</v>
      </c>
      <c r="AI69" s="46">
        <f>SUMIFS('07导出'!$G$2:$G$1860,'07导出'!$A$2:$A$1860,A69,'07导出'!$C$2:$C$1860,"213")</f>
        <v>0</v>
      </c>
      <c r="AJ69" s="46">
        <f>SUMIFS('07导出'!$H$2:$H$1860,'07导出'!$A$2:$A$1860,A69,'07导出'!$C$2:$C$1860,"213")</f>
        <v>0</v>
      </c>
      <c r="AK69" s="46">
        <f>SUMIFS('07导出'!$G$2:$G$1860,'07导出'!$A$2:$A$1860,A69,'07导出'!$D$2:$D$1860,"21305")</f>
        <v>0</v>
      </c>
      <c r="AL69" s="46">
        <f>SUMIFS('07导出'!$H$2:$H$1860,'07导出'!$A$2:$A$1860,A69,'07导出'!$D$2:$D$1860,"21305")</f>
        <v>0</v>
      </c>
      <c r="AM69" s="46">
        <f>SUMIFS('07导出'!$G$2:$G$1860,'07导出'!$A$2:$A$1860,A69,'07导出'!$C$2:$C$1860,"221")</f>
        <v>2701427</v>
      </c>
      <c r="AN69" s="46">
        <f>SUMIFS('07导出'!$H$2:$H$1860,'07导出'!$A$2:$A$1860,A69,'07导出'!$C$2:$C$1860,"221")</f>
        <v>2745341.4699999997</v>
      </c>
      <c r="AO69" s="46">
        <f>SUMIFS('07导出'!$G$2:$G$1860,'07导出'!$A$2:$A$1860,A69,'07导出'!$D$2:$D$1860,"22102")</f>
        <v>2701427</v>
      </c>
      <c r="AP69" s="46">
        <f>SUMIFS('07导出'!$H$2:$H$1860,'07导出'!$A$2:$A$1860,A69,'07导出'!$D$2:$D$1860,"22102")</f>
        <v>2745341.4699999997</v>
      </c>
    </row>
    <row r="70" spans="1:42">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SUMIFS('07导出'!$G$2:$G$1860,'07导出'!$A$2:$A$1860,A70,'07导出'!$D$2:$D$1860,"20607")</f>
        <v>0</v>
      </c>
      <c r="T70" s="46">
        <f>SUMIFS('07导出'!$H$2:$H$1860,'07导出'!$A$2:$A$1860,A70,'07导出'!$D$2:$D$1860,"20607")</f>
        <v>0</v>
      </c>
      <c r="U70" s="46">
        <f>SUMIFS('07导出'!$G$2:$G$1860,'07导出'!$A$2:$A$1860,A70,'07导出'!$C$2:$C$1860,"208")</f>
        <v>125401</v>
      </c>
      <c r="V70" s="46">
        <f>SUMIFS('07导出'!$H$2:$H$1860,'07导出'!$A$2:$A$1860,A70,'07导出'!$C$2:$C$1860,"208")</f>
        <v>125560</v>
      </c>
      <c r="W70" s="46">
        <f>SUMIFS('07导出'!$G$2:$G$1860,'07导出'!$A$2:$A$1860,A70,'07导出'!$D$2:$D$1860,"20805")</f>
        <v>125401</v>
      </c>
      <c r="X70" s="46">
        <f>SUMIFS('07导出'!$H$2:$H$1860,'07导出'!$A$2:$A$1860,A70,'07导出'!$D$2:$D$1860,"20805")</f>
        <v>125560</v>
      </c>
      <c r="Y70" s="46">
        <f>SUMIFS('07导出'!$G$2:$G$1860,'07导出'!$A$2:$A$1860,A70,'07导出'!$D$2:$D$1860,"20808")</f>
        <v>0</v>
      </c>
      <c r="Z70" s="46">
        <f>SUMIFS('07导出'!$H$2:$H$1860,'07导出'!$A$2:$A$1860,A70,'07导出'!$D$2:$D$1860,"20808")</f>
        <v>0</v>
      </c>
      <c r="AA70" s="46">
        <f>SUMIFS('07导出'!$G$2:$G$1860,'07导出'!$A$2:$A$1860,A70,'07导出'!$C$2:$C$1860,"210")</f>
        <v>0</v>
      </c>
      <c r="AB70" s="46">
        <f>SUMIFS('07导出'!$H$2:$H$1860,'07导出'!$A$2:$A$1860,A70,'07导出'!$C$2:$C$1860,"210")</f>
        <v>0</v>
      </c>
      <c r="AC70" s="46">
        <f>SUMIFS('07导出'!$G$2:$G$1860,'07导出'!$A$2:$A$1860,A70,'07导出'!$D$2:$D$1860,"21011")</f>
        <v>0</v>
      </c>
      <c r="AD70" s="46">
        <f>SUMIFS('07导出'!$H$2:$H$1860,'07导出'!$A$2:$A$1860,A70,'07导出'!$D$2:$D$1860,"21011")</f>
        <v>0</v>
      </c>
      <c r="AE70" s="46">
        <f>SUMIFS('07导出'!$G$2:$G$1860,'07导出'!$A$2:$A$1860,A70,'07导出'!$C$2:$C$1860,"212")</f>
        <v>0</v>
      </c>
      <c r="AF70" s="46">
        <f>SUMIFS('07导出'!$H$2:$H$1860,'07导出'!$A$2:$A$1860,A70,'07导出'!$C$2:$C$1860,"212")</f>
        <v>0</v>
      </c>
      <c r="AG70" s="46">
        <f>SUMIFS('07导出'!$G$2:$G$1860,'07导出'!$A$2:$A$1860,A70,'07导出'!$D$2:$D$1860,"21203")</f>
        <v>0</v>
      </c>
      <c r="AH70" s="46">
        <f>SUMIFS('07导出'!$H$2:$H$1860,'07导出'!$A$2:$A$1860,A70,'07导出'!$D$2:$D$1860,"21203")</f>
        <v>0</v>
      </c>
      <c r="AI70" s="46">
        <f>SUMIFS('07导出'!$G$2:$G$1860,'07导出'!$A$2:$A$1860,A70,'07导出'!$C$2:$C$1860,"213")</f>
        <v>0</v>
      </c>
      <c r="AJ70" s="46">
        <f>SUMIFS('07导出'!$H$2:$H$1860,'07导出'!$A$2:$A$1860,A70,'07导出'!$C$2:$C$1860,"213")</f>
        <v>0</v>
      </c>
      <c r="AK70" s="46">
        <f>SUMIFS('07导出'!$G$2:$G$1860,'07导出'!$A$2:$A$1860,A70,'07导出'!$D$2:$D$1860,"21305")</f>
        <v>0</v>
      </c>
      <c r="AL70" s="46">
        <f>SUMIFS('07导出'!$H$2:$H$1860,'07导出'!$A$2:$A$1860,A70,'07导出'!$D$2:$D$1860,"21305")</f>
        <v>0</v>
      </c>
      <c r="AM70" s="46">
        <f>SUMIFS('07导出'!$G$2:$G$1860,'07导出'!$A$2:$A$1860,A70,'07导出'!$C$2:$C$1860,"221")</f>
        <v>12480</v>
      </c>
      <c r="AN70" s="46">
        <f>SUMIFS('07导出'!$H$2:$H$1860,'07导出'!$A$2:$A$1860,A70,'07导出'!$C$2:$C$1860,"221")</f>
        <v>12480</v>
      </c>
      <c r="AO70" s="46">
        <f>SUMIFS('07导出'!$G$2:$G$1860,'07导出'!$A$2:$A$1860,A70,'07导出'!$D$2:$D$1860,"22102")</f>
        <v>12480</v>
      </c>
      <c r="AP70" s="46">
        <f>SUMIFS('07导出'!$H$2:$H$1860,'07导出'!$A$2:$A$1860,A70,'07导出'!$D$2:$D$1860,"22102")</f>
        <v>12480</v>
      </c>
    </row>
    <row r="71" spans="1:42">
      <c r="A71" s="43">
        <v>255087</v>
      </c>
      <c r="B71" s="44" t="s">
        <v>70</v>
      </c>
      <c r="C71" s="45">
        <f>SUMIFS('07导出'!$G$2:$G$1860,'07导出'!$A$2:$A$1860,A71,'07导出'!$C$2:$C$1860,"205")</f>
        <v>44068404.400000006</v>
      </c>
      <c r="D71" s="45">
        <f>SUMIFS('07导出'!$H$2:$H$1860,'07导出'!$A$2:$A$1860,A71,'07导出'!$C$2:$C$1860,"205")</f>
        <v>32619261.960000001</v>
      </c>
      <c r="E71" s="46">
        <f>SUMIFS('07导出'!$G$2:$G$1860,'07导出'!$A$2:$A$1860,A71,'07导出'!$D$2:$D$1860,"20502")</f>
        <v>3942650.2</v>
      </c>
      <c r="F71" s="46">
        <f>SUMIFS('07导出'!$H$2:$H$1860,'07导出'!$A$2:$A$1860,A71,'07导出'!$D$2:$D$1860,"20502")</f>
        <v>267891.76</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37574054.200000003</v>
      </c>
      <c r="L71" s="46">
        <f>SUMIFS('07导出'!$H$2:$H$1860,'07导出'!$A$2:$A$1860,A71,'07导出'!$D$2:$D$1860,"20507")</f>
        <v>29728770.199999999</v>
      </c>
      <c r="M71" s="46">
        <f>SUMIFS('07导出'!$G$2:$G$1860,'07导出'!$A$2:$A$1860,A71,'07导出'!$D$2:$D$1860,"20508")</f>
        <v>15500</v>
      </c>
      <c r="N71" s="46">
        <f>SUMIFS('07导出'!$H$2:$H$1860,'07导出'!$A$2:$A$1860,A71,'07导出'!$D$2:$D$1860,"20508")</f>
        <v>85600</v>
      </c>
      <c r="O71" s="46">
        <f>SUMIFS('07导出'!$G$2:$G$1860,'07导出'!$A$2:$A$1860,A71,'07导出'!$D$2:$D$1860,"20509")</f>
        <v>2536200</v>
      </c>
      <c r="P71" s="46">
        <f>SUMIFS('07导出'!$H$2:$H$1860,'07导出'!$A$2:$A$1860,A71,'07导出'!$D$2:$D$1860,"20509")</f>
        <v>2537000</v>
      </c>
      <c r="Q71" s="46">
        <f>SUMIFS('07导出'!$G$2:$G$1860,'07导出'!$A$2:$A$1860,A71,'07导出'!$C$2:$C$1860,"206")</f>
        <v>0</v>
      </c>
      <c r="R71" s="46">
        <f>SUMIFS('07导出'!$H$2:$H$1860,'07导出'!$A$2:$A$1860,A71,'07导出'!$C$2:$C$1860,"206")</f>
        <v>0</v>
      </c>
      <c r="S71" s="46">
        <f>SUMIFS('07导出'!$G$2:$G$1860,'07导出'!$A$2:$A$1860,A71,'07导出'!$D$2:$D$1860,"20607")</f>
        <v>0</v>
      </c>
      <c r="T71" s="46">
        <f>SUMIFS('07导出'!$H$2:$H$1860,'07导出'!$A$2:$A$1860,A71,'07导出'!$D$2:$D$1860,"20607")</f>
        <v>0</v>
      </c>
      <c r="U71" s="46">
        <f>SUMIFS('07导出'!$G$2:$G$1860,'07导出'!$A$2:$A$1860,A71,'07导出'!$C$2:$C$1860,"208")</f>
        <v>5104872.2</v>
      </c>
      <c r="V71" s="46">
        <f>SUMIFS('07导出'!$H$2:$H$1860,'07导出'!$A$2:$A$1860,A71,'07导出'!$C$2:$C$1860,"208")</f>
        <v>5267288.88</v>
      </c>
      <c r="W71" s="46">
        <f>SUMIFS('07导出'!$G$2:$G$1860,'07导出'!$A$2:$A$1860,A71,'07导出'!$D$2:$D$1860,"20805")</f>
        <v>5104872.2</v>
      </c>
      <c r="X71" s="46">
        <f>SUMIFS('07导出'!$H$2:$H$1860,'07导出'!$A$2:$A$1860,A71,'07导出'!$D$2:$D$1860,"20805")</f>
        <v>5267288.88</v>
      </c>
      <c r="Y71" s="46">
        <f>SUMIFS('07导出'!$G$2:$G$1860,'07导出'!$A$2:$A$1860,A71,'07导出'!$D$2:$D$1860,"20808")</f>
        <v>0</v>
      </c>
      <c r="Z71" s="46">
        <f>SUMIFS('07导出'!$H$2:$H$1860,'07导出'!$A$2:$A$1860,A71,'07导出'!$D$2:$D$1860,"20808")</f>
        <v>0</v>
      </c>
      <c r="AA71" s="46">
        <f>SUMIFS('07导出'!$G$2:$G$1860,'07导出'!$A$2:$A$1860,A71,'07导出'!$C$2:$C$1860,"210")</f>
        <v>2595725.11</v>
      </c>
      <c r="AB71" s="46">
        <f>SUMIFS('07导出'!$H$2:$H$1860,'07导出'!$A$2:$A$1860,A71,'07导出'!$C$2:$C$1860,"210")</f>
        <v>2283672.56</v>
      </c>
      <c r="AC71" s="46">
        <f>SUMIFS('07导出'!$G$2:$G$1860,'07导出'!$A$2:$A$1860,A71,'07导出'!$D$2:$D$1860,"21011")</f>
        <v>2595725.11</v>
      </c>
      <c r="AD71" s="46">
        <f>SUMIFS('07导出'!$H$2:$H$1860,'07导出'!$A$2:$A$1860,A71,'07导出'!$D$2:$D$1860,"21011")</f>
        <v>2283672.56</v>
      </c>
      <c r="AE71" s="46">
        <f>SUMIFS('07导出'!$G$2:$G$1860,'07导出'!$A$2:$A$1860,A71,'07导出'!$C$2:$C$1860,"212")</f>
        <v>0</v>
      </c>
      <c r="AF71" s="46">
        <f>SUMIFS('07导出'!$H$2:$H$1860,'07导出'!$A$2:$A$1860,A71,'07导出'!$C$2:$C$1860,"212")</f>
        <v>0</v>
      </c>
      <c r="AG71" s="46">
        <f>SUMIFS('07导出'!$G$2:$G$1860,'07导出'!$A$2:$A$1860,A71,'07导出'!$D$2:$D$1860,"21203")</f>
        <v>0</v>
      </c>
      <c r="AH71" s="46">
        <f>SUMIFS('07导出'!$H$2:$H$1860,'07导出'!$A$2:$A$1860,A71,'07导出'!$D$2:$D$1860,"21203")</f>
        <v>0</v>
      </c>
      <c r="AI71" s="46">
        <f>SUMIFS('07导出'!$G$2:$G$1860,'07导出'!$A$2:$A$1860,A71,'07导出'!$C$2:$C$1860,"213")</f>
        <v>0</v>
      </c>
      <c r="AJ71" s="46">
        <f>SUMIFS('07导出'!$H$2:$H$1860,'07导出'!$A$2:$A$1860,A71,'07导出'!$C$2:$C$1860,"213")</f>
        <v>0</v>
      </c>
      <c r="AK71" s="46">
        <f>SUMIFS('07导出'!$G$2:$G$1860,'07导出'!$A$2:$A$1860,A71,'07导出'!$D$2:$D$1860,"21305")</f>
        <v>0</v>
      </c>
      <c r="AL71" s="46">
        <f>SUMIFS('07导出'!$H$2:$H$1860,'07导出'!$A$2:$A$1860,A71,'07导出'!$D$2:$D$1860,"21305")</f>
        <v>0</v>
      </c>
      <c r="AM71" s="46">
        <f>SUMIFS('07导出'!$G$2:$G$1860,'07导出'!$A$2:$A$1860,A71,'07导出'!$C$2:$C$1860,"221")</f>
        <v>6576797</v>
      </c>
      <c r="AN71" s="46">
        <f>SUMIFS('07导出'!$H$2:$H$1860,'07导出'!$A$2:$A$1860,A71,'07导出'!$C$2:$C$1860,"221")</f>
        <v>6158557.4399999995</v>
      </c>
      <c r="AO71" s="46">
        <f>SUMIFS('07导出'!$G$2:$G$1860,'07导出'!$A$2:$A$1860,A71,'07导出'!$D$2:$D$1860,"22102")</f>
        <v>6576797</v>
      </c>
      <c r="AP71" s="46">
        <f>SUMIFS('07导出'!$H$2:$H$1860,'07导出'!$A$2:$A$1860,A71,'07导出'!$D$2:$D$1860,"22102")</f>
        <v>6158557.4399999995</v>
      </c>
    </row>
    <row r="72" spans="1:42">
      <c r="A72" s="43">
        <v>255088</v>
      </c>
      <c r="B72" s="44" t="s">
        <v>71</v>
      </c>
      <c r="C72" s="45">
        <f>SUMIFS('07导出'!$G$2:$G$1860,'07导出'!$A$2:$A$1860,A72,'07导出'!$C$2:$C$1860,"205")</f>
        <v>45412291.879999995</v>
      </c>
      <c r="D72" s="45">
        <f>SUMIFS('07导出'!$H$2:$H$1860,'07导出'!$A$2:$A$1860,A72,'07导出'!$C$2:$C$1860,"205")</f>
        <v>39078862.439999998</v>
      </c>
      <c r="E72" s="46">
        <f>SUMIFS('07导出'!$G$2:$G$1860,'07导出'!$A$2:$A$1860,A72,'07导出'!$D$2:$D$1860,"20502")</f>
        <v>900879.3</v>
      </c>
      <c r="F72" s="46">
        <f>SUMIFS('07导出'!$H$2:$H$1860,'07导出'!$A$2:$A$1860,A72,'07导出'!$D$2:$D$1860,"20502")</f>
        <v>689305.8</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39536613.979999997</v>
      </c>
      <c r="L72" s="46">
        <f>SUMIFS('07导出'!$H$2:$H$1860,'07导出'!$A$2:$A$1860,A72,'07导出'!$D$2:$D$1860,"20507")</f>
        <v>33315356.640000001</v>
      </c>
      <c r="M72" s="46">
        <f>SUMIFS('07导出'!$G$2:$G$1860,'07导出'!$A$2:$A$1860,A72,'07导出'!$D$2:$D$1860,"20508")</f>
        <v>0</v>
      </c>
      <c r="N72" s="46">
        <f>SUMIFS('07导出'!$H$2:$H$1860,'07导出'!$A$2:$A$1860,A72,'07导出'!$D$2:$D$1860,"20508")</f>
        <v>95200</v>
      </c>
      <c r="O72" s="46">
        <f>SUMIFS('07导出'!$G$2:$G$1860,'07导出'!$A$2:$A$1860,A72,'07导出'!$D$2:$D$1860,"20509")</f>
        <v>4974798.5999999996</v>
      </c>
      <c r="P72" s="46">
        <f>SUMIFS('07导出'!$H$2:$H$1860,'07导出'!$A$2:$A$1860,A72,'07导出'!$D$2:$D$1860,"20509")</f>
        <v>4979000</v>
      </c>
      <c r="Q72" s="46">
        <f>SUMIFS('07导出'!$G$2:$G$1860,'07导出'!$A$2:$A$1860,A72,'07导出'!$C$2:$C$1860,"206")</f>
        <v>0</v>
      </c>
      <c r="R72" s="46">
        <f>SUMIFS('07导出'!$H$2:$H$1860,'07导出'!$A$2:$A$1860,A72,'07导出'!$C$2:$C$1860,"206")</f>
        <v>0</v>
      </c>
      <c r="S72" s="46">
        <f>SUMIFS('07导出'!$G$2:$G$1860,'07导出'!$A$2:$A$1860,A72,'07导出'!$D$2:$D$1860,"20607")</f>
        <v>0</v>
      </c>
      <c r="T72" s="46">
        <f>SUMIFS('07导出'!$H$2:$H$1860,'07导出'!$A$2:$A$1860,A72,'07导出'!$D$2:$D$1860,"20607")</f>
        <v>0</v>
      </c>
      <c r="U72" s="46">
        <f>SUMIFS('07导出'!$G$2:$G$1860,'07导出'!$A$2:$A$1860,A72,'07导出'!$C$2:$C$1860,"208")</f>
        <v>5252799.68</v>
      </c>
      <c r="V72" s="46">
        <f>SUMIFS('07导出'!$H$2:$H$1860,'07导出'!$A$2:$A$1860,A72,'07导出'!$C$2:$C$1860,"208")</f>
        <v>5733728.0800000001</v>
      </c>
      <c r="W72" s="46">
        <f>SUMIFS('07导出'!$G$2:$G$1860,'07导出'!$A$2:$A$1860,A72,'07导出'!$D$2:$D$1860,"20805")</f>
        <v>5252799.68</v>
      </c>
      <c r="X72" s="46">
        <f>SUMIFS('07导出'!$H$2:$H$1860,'07导出'!$A$2:$A$1860,A72,'07导出'!$D$2:$D$1860,"20805")</f>
        <v>5733728.0800000001</v>
      </c>
      <c r="Y72" s="46">
        <f>SUMIFS('07导出'!$G$2:$G$1860,'07导出'!$A$2:$A$1860,A72,'07导出'!$D$2:$D$1860,"20808")</f>
        <v>0</v>
      </c>
      <c r="Z72" s="46">
        <f>SUMIFS('07导出'!$H$2:$H$1860,'07导出'!$A$2:$A$1860,A72,'07导出'!$D$2:$D$1860,"20808")</f>
        <v>0</v>
      </c>
      <c r="AA72" s="46">
        <f>SUMIFS('07导出'!$G$2:$G$1860,'07导出'!$A$2:$A$1860,A72,'07导出'!$C$2:$C$1860,"210")</f>
        <v>2188084.6</v>
      </c>
      <c r="AB72" s="46">
        <f>SUMIFS('07导出'!$H$2:$H$1860,'07导出'!$A$2:$A$1860,A72,'07导出'!$C$2:$C$1860,"210")</f>
        <v>2452441.16</v>
      </c>
      <c r="AC72" s="46">
        <f>SUMIFS('07导出'!$G$2:$G$1860,'07导出'!$A$2:$A$1860,A72,'07导出'!$D$2:$D$1860,"21011")</f>
        <v>2188084.6</v>
      </c>
      <c r="AD72" s="46">
        <f>SUMIFS('07导出'!$H$2:$H$1860,'07导出'!$A$2:$A$1860,A72,'07导出'!$D$2:$D$1860,"21011")</f>
        <v>2452441.16</v>
      </c>
      <c r="AE72" s="46">
        <f>SUMIFS('07导出'!$G$2:$G$1860,'07导出'!$A$2:$A$1860,A72,'07导出'!$C$2:$C$1860,"212")</f>
        <v>0</v>
      </c>
      <c r="AF72" s="46">
        <f>SUMIFS('07导出'!$H$2:$H$1860,'07导出'!$A$2:$A$1860,A72,'07导出'!$C$2:$C$1860,"212")</f>
        <v>0</v>
      </c>
      <c r="AG72" s="46">
        <f>SUMIFS('07导出'!$G$2:$G$1860,'07导出'!$A$2:$A$1860,A72,'07导出'!$D$2:$D$1860,"21203")</f>
        <v>0</v>
      </c>
      <c r="AH72" s="46">
        <f>SUMIFS('07导出'!$H$2:$H$1860,'07导出'!$A$2:$A$1860,A72,'07导出'!$D$2:$D$1860,"21203")</f>
        <v>0</v>
      </c>
      <c r="AI72" s="46">
        <f>SUMIFS('07导出'!$G$2:$G$1860,'07导出'!$A$2:$A$1860,A72,'07导出'!$C$2:$C$1860,"213")</f>
        <v>0</v>
      </c>
      <c r="AJ72" s="46">
        <f>SUMIFS('07导出'!$H$2:$H$1860,'07导出'!$A$2:$A$1860,A72,'07导出'!$C$2:$C$1860,"213")</f>
        <v>0</v>
      </c>
      <c r="AK72" s="46">
        <f>SUMIFS('07导出'!$G$2:$G$1860,'07导出'!$A$2:$A$1860,A72,'07导出'!$D$2:$D$1860,"21305")</f>
        <v>0</v>
      </c>
      <c r="AL72" s="46">
        <f>SUMIFS('07导出'!$H$2:$H$1860,'07导出'!$A$2:$A$1860,A72,'07导出'!$D$2:$D$1860,"21305")</f>
        <v>0</v>
      </c>
      <c r="AM72" s="46">
        <f>SUMIFS('07导出'!$G$2:$G$1860,'07导出'!$A$2:$A$1860,A72,'07导出'!$C$2:$C$1860,"221")</f>
        <v>6411229</v>
      </c>
      <c r="AN72" s="46">
        <f>SUMIFS('07导出'!$H$2:$H$1860,'07导出'!$A$2:$A$1860,A72,'07导出'!$C$2:$C$1860,"221")</f>
        <v>6624819.8399999999</v>
      </c>
      <c r="AO72" s="46">
        <f>SUMIFS('07导出'!$G$2:$G$1860,'07导出'!$A$2:$A$1860,A72,'07导出'!$D$2:$D$1860,"22102")</f>
        <v>6411229</v>
      </c>
      <c r="AP72" s="46">
        <f>SUMIFS('07导出'!$H$2:$H$1860,'07导出'!$A$2:$A$1860,A72,'07导出'!$D$2:$D$1860,"22102")</f>
        <v>6624819.8399999999</v>
      </c>
    </row>
    <row r="73" spans="1:42">
      <c r="A73" s="43">
        <v>255089</v>
      </c>
      <c r="B73" s="44" t="s">
        <v>72</v>
      </c>
      <c r="C73" s="45">
        <f>SUMIFS('07导出'!$G$2:$G$1860,'07导出'!$A$2:$A$1860,A73,'07导出'!$C$2:$C$1860,"205")</f>
        <v>13410382.67</v>
      </c>
      <c r="D73" s="45">
        <f>SUMIFS('07导出'!$H$2:$H$1860,'07导出'!$A$2:$A$1860,A73,'07导出'!$C$2:$C$1860,"205")</f>
        <v>11074520.27</v>
      </c>
      <c r="E73" s="46">
        <f>SUMIFS('07导出'!$G$2:$G$1860,'07导出'!$A$2:$A$1860,A73,'07导出'!$D$2:$D$1860,"20502")</f>
        <v>99692</v>
      </c>
      <c r="F73" s="46">
        <f>SUMIFS('07导出'!$H$2:$H$1860,'07导出'!$A$2:$A$1860,A73,'07导出'!$D$2:$D$1860,"20502")</f>
        <v>2550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12878790.67</v>
      </c>
      <c r="L73" s="46">
        <f>SUMIFS('07导出'!$H$2:$H$1860,'07导出'!$A$2:$A$1860,A73,'07导出'!$D$2:$D$1860,"20507")</f>
        <v>10625670.27</v>
      </c>
      <c r="M73" s="46">
        <f>SUMIFS('07导出'!$G$2:$G$1860,'07导出'!$A$2:$A$1860,A73,'07导出'!$D$2:$D$1860,"20508")</f>
        <v>14400</v>
      </c>
      <c r="N73" s="46">
        <f>SUMIFS('07导出'!$H$2:$H$1860,'07导出'!$A$2:$A$1860,A73,'07导出'!$D$2:$D$1860,"20508")</f>
        <v>28800</v>
      </c>
      <c r="O73" s="46">
        <f>SUMIFS('07导出'!$G$2:$G$1860,'07导出'!$A$2:$A$1860,A73,'07导出'!$D$2:$D$1860,"20509")</f>
        <v>417500</v>
      </c>
      <c r="P73" s="46">
        <f>SUMIFS('07导出'!$H$2:$H$1860,'07导出'!$A$2:$A$1860,A73,'07导出'!$D$2:$D$1860,"20509")</f>
        <v>417500</v>
      </c>
      <c r="Q73" s="46">
        <f>SUMIFS('07导出'!$G$2:$G$1860,'07导出'!$A$2:$A$1860,A73,'07导出'!$C$2:$C$1860,"206")</f>
        <v>0</v>
      </c>
      <c r="R73" s="46">
        <f>SUMIFS('07导出'!$H$2:$H$1860,'07导出'!$A$2:$A$1860,A73,'07导出'!$C$2:$C$1860,"206")</f>
        <v>0</v>
      </c>
      <c r="S73" s="46">
        <f>SUMIFS('07导出'!$G$2:$G$1860,'07导出'!$A$2:$A$1860,A73,'07导出'!$D$2:$D$1860,"20607")</f>
        <v>0</v>
      </c>
      <c r="T73" s="46">
        <f>SUMIFS('07导出'!$H$2:$H$1860,'07导出'!$A$2:$A$1860,A73,'07导出'!$D$2:$D$1860,"20607")</f>
        <v>0</v>
      </c>
      <c r="U73" s="46">
        <f>SUMIFS('07导出'!$G$2:$G$1860,'07导出'!$A$2:$A$1860,A73,'07导出'!$C$2:$C$1860,"208")</f>
        <v>2620379.2000000002</v>
      </c>
      <c r="V73" s="46">
        <f>SUMIFS('07导出'!$H$2:$H$1860,'07导出'!$A$2:$A$1860,A73,'07导出'!$C$2:$C$1860,"208")</f>
        <v>2163883.2000000002</v>
      </c>
      <c r="W73" s="46">
        <f>SUMIFS('07导出'!$G$2:$G$1860,'07导出'!$A$2:$A$1860,A73,'07导出'!$D$2:$D$1860,"20805")</f>
        <v>2400421.2000000002</v>
      </c>
      <c r="X73" s="46">
        <f>SUMIFS('07导出'!$H$2:$H$1860,'07导出'!$A$2:$A$1860,A73,'07导出'!$D$2:$D$1860,"20805")</f>
        <v>2163883.2000000002</v>
      </c>
      <c r="Y73" s="46">
        <f>SUMIFS('07导出'!$G$2:$G$1860,'07导出'!$A$2:$A$1860,A73,'07导出'!$D$2:$D$1860,"20808")</f>
        <v>219958</v>
      </c>
      <c r="Z73" s="46">
        <f>SUMIFS('07导出'!$H$2:$H$1860,'07导出'!$A$2:$A$1860,A73,'07导出'!$D$2:$D$1860,"20808")</f>
        <v>0</v>
      </c>
      <c r="AA73" s="46">
        <f>SUMIFS('07导出'!$G$2:$G$1860,'07导出'!$A$2:$A$1860,A73,'07导出'!$C$2:$C$1860,"210")</f>
        <v>731565.9</v>
      </c>
      <c r="AB73" s="46">
        <f>SUMIFS('07导出'!$H$2:$H$1860,'07导出'!$A$2:$A$1860,A73,'07导出'!$C$2:$C$1860,"210")</f>
        <v>731565.9</v>
      </c>
      <c r="AC73" s="46">
        <f>SUMIFS('07导出'!$G$2:$G$1860,'07导出'!$A$2:$A$1860,A73,'07导出'!$D$2:$D$1860,"21011")</f>
        <v>731565.9</v>
      </c>
      <c r="AD73" s="46">
        <f>SUMIFS('07导出'!$H$2:$H$1860,'07导出'!$A$2:$A$1860,A73,'07导出'!$D$2:$D$1860,"21011")</f>
        <v>731565.9</v>
      </c>
      <c r="AE73" s="46">
        <f>SUMIFS('07导出'!$G$2:$G$1860,'07导出'!$A$2:$A$1860,A73,'07导出'!$C$2:$C$1860,"212")</f>
        <v>0</v>
      </c>
      <c r="AF73" s="46">
        <f>SUMIFS('07导出'!$H$2:$H$1860,'07导出'!$A$2:$A$1860,A73,'07导出'!$C$2:$C$1860,"212")</f>
        <v>0</v>
      </c>
      <c r="AG73" s="46">
        <f>SUMIFS('07导出'!$G$2:$G$1860,'07导出'!$A$2:$A$1860,A73,'07导出'!$D$2:$D$1860,"21203")</f>
        <v>0</v>
      </c>
      <c r="AH73" s="46">
        <f>SUMIFS('07导出'!$H$2:$H$1860,'07导出'!$A$2:$A$1860,A73,'07导出'!$D$2:$D$1860,"21203")</f>
        <v>0</v>
      </c>
      <c r="AI73" s="46">
        <f>SUMIFS('07导出'!$G$2:$G$1860,'07导出'!$A$2:$A$1860,A73,'07导出'!$C$2:$C$1860,"213")</f>
        <v>0</v>
      </c>
      <c r="AJ73" s="46">
        <f>SUMIFS('07导出'!$H$2:$H$1860,'07导出'!$A$2:$A$1860,A73,'07导出'!$C$2:$C$1860,"213")</f>
        <v>0</v>
      </c>
      <c r="AK73" s="46">
        <f>SUMIFS('07导出'!$G$2:$G$1860,'07导出'!$A$2:$A$1860,A73,'07导出'!$D$2:$D$1860,"21305")</f>
        <v>0</v>
      </c>
      <c r="AL73" s="46">
        <f>SUMIFS('07导出'!$H$2:$H$1860,'07导出'!$A$2:$A$1860,A73,'07导出'!$D$2:$D$1860,"21305")</f>
        <v>0</v>
      </c>
      <c r="AM73" s="46">
        <f>SUMIFS('07导出'!$G$2:$G$1860,'07导出'!$A$2:$A$1860,A73,'07导出'!$C$2:$C$1860,"221")</f>
        <v>1850899</v>
      </c>
      <c r="AN73" s="46">
        <f>SUMIFS('07导出'!$H$2:$H$1860,'07导出'!$A$2:$A$1860,A73,'07导出'!$C$2:$C$1860,"221")</f>
        <v>1904691.6</v>
      </c>
      <c r="AO73" s="46">
        <f>SUMIFS('07导出'!$G$2:$G$1860,'07导出'!$A$2:$A$1860,A73,'07导出'!$D$2:$D$1860,"22102")</f>
        <v>1850899</v>
      </c>
      <c r="AP73" s="46">
        <f>SUMIFS('07导出'!$H$2:$H$1860,'07导出'!$A$2:$A$1860,A73,'07导出'!$D$2:$D$1860,"22102")</f>
        <v>1904691.6</v>
      </c>
    </row>
    <row r="74" spans="1:42">
      <c r="A74" s="43">
        <v>255090</v>
      </c>
      <c r="B74" s="44" t="s">
        <v>73</v>
      </c>
      <c r="C74" s="45">
        <f>SUMIFS('07导出'!$G$2:$G$1860,'07导出'!$A$2:$A$1860,A74,'07导出'!$C$2:$C$1860,"205")</f>
        <v>14869318.380000001</v>
      </c>
      <c r="D74" s="45">
        <f>SUMIFS('07导出'!$H$2:$H$1860,'07导出'!$A$2:$A$1860,A74,'07导出'!$C$2:$C$1860,"205")</f>
        <v>14539158.07</v>
      </c>
      <c r="E74" s="46">
        <f>SUMIFS('07导出'!$G$2:$G$1860,'07导出'!$A$2:$A$1860,A74,'07导出'!$D$2:$D$1860,"20502")</f>
        <v>14706158.380000001</v>
      </c>
      <c r="F74" s="46">
        <f>SUMIFS('07导出'!$H$2:$H$1860,'07导出'!$A$2:$A$1860,A74,'07导出'!$D$2:$D$1860,"20502")</f>
        <v>14286798.07</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35200</v>
      </c>
      <c r="O74" s="46">
        <f>SUMIFS('07导出'!$G$2:$G$1860,'07导出'!$A$2:$A$1860,A74,'07导出'!$D$2:$D$1860,"20509")</f>
        <v>163160</v>
      </c>
      <c r="P74" s="46">
        <f>SUMIFS('07导出'!$H$2:$H$1860,'07导出'!$A$2:$A$1860,A74,'07导出'!$D$2:$D$1860,"20509")</f>
        <v>217160</v>
      </c>
      <c r="Q74" s="46">
        <f>SUMIFS('07导出'!$G$2:$G$1860,'07导出'!$A$2:$A$1860,A74,'07导出'!$C$2:$C$1860,"206")</f>
        <v>0</v>
      </c>
      <c r="R74" s="46">
        <f>SUMIFS('07导出'!$H$2:$H$1860,'07导出'!$A$2:$A$1860,A74,'07导出'!$C$2:$C$1860,"206")</f>
        <v>0</v>
      </c>
      <c r="S74" s="46">
        <f>SUMIFS('07导出'!$G$2:$G$1860,'07导出'!$A$2:$A$1860,A74,'07导出'!$D$2:$D$1860,"20607")</f>
        <v>0</v>
      </c>
      <c r="T74" s="46">
        <f>SUMIFS('07导出'!$H$2:$H$1860,'07导出'!$A$2:$A$1860,A74,'07导出'!$D$2:$D$1860,"20607")</f>
        <v>0</v>
      </c>
      <c r="U74" s="46">
        <f>SUMIFS('07导出'!$G$2:$G$1860,'07导出'!$A$2:$A$1860,A74,'07导出'!$C$2:$C$1860,"208")</f>
        <v>2559427.54</v>
      </c>
      <c r="V74" s="46">
        <f>SUMIFS('07导出'!$H$2:$H$1860,'07导出'!$A$2:$A$1860,A74,'07导出'!$C$2:$C$1860,"208")</f>
        <v>3273048.66</v>
      </c>
      <c r="W74" s="46">
        <f>SUMIFS('07导出'!$G$2:$G$1860,'07导出'!$A$2:$A$1860,A74,'07导出'!$D$2:$D$1860,"20805")</f>
        <v>2559427.54</v>
      </c>
      <c r="X74" s="46">
        <f>SUMIFS('07导出'!$H$2:$H$1860,'07导出'!$A$2:$A$1860,A74,'07导出'!$D$2:$D$1860,"20805")</f>
        <v>3273048.66</v>
      </c>
      <c r="Y74" s="46">
        <f>SUMIFS('07导出'!$G$2:$G$1860,'07导出'!$A$2:$A$1860,A74,'07导出'!$D$2:$D$1860,"20808")</f>
        <v>0</v>
      </c>
      <c r="Z74" s="46">
        <f>SUMIFS('07导出'!$H$2:$H$1860,'07导出'!$A$2:$A$1860,A74,'07导出'!$D$2:$D$1860,"20808")</f>
        <v>0</v>
      </c>
      <c r="AA74" s="46">
        <f>SUMIFS('07导出'!$G$2:$G$1860,'07导出'!$A$2:$A$1860,A74,'07导出'!$C$2:$C$1860,"210")</f>
        <v>901421.13</v>
      </c>
      <c r="AB74" s="46">
        <f>SUMIFS('07导出'!$H$2:$H$1860,'07导出'!$A$2:$A$1860,A74,'07导出'!$C$2:$C$1860,"210")</f>
        <v>1364135.42</v>
      </c>
      <c r="AC74" s="46">
        <f>SUMIFS('07导出'!$G$2:$G$1860,'07导出'!$A$2:$A$1860,A74,'07导出'!$D$2:$D$1860,"21011")</f>
        <v>901421.13</v>
      </c>
      <c r="AD74" s="46">
        <f>SUMIFS('07导出'!$H$2:$H$1860,'07导出'!$A$2:$A$1860,A74,'07导出'!$D$2:$D$1860,"21011")</f>
        <v>1364135.42</v>
      </c>
      <c r="AE74" s="46">
        <f>SUMIFS('07导出'!$G$2:$G$1860,'07导出'!$A$2:$A$1860,A74,'07导出'!$C$2:$C$1860,"212")</f>
        <v>0</v>
      </c>
      <c r="AF74" s="46">
        <f>SUMIFS('07导出'!$H$2:$H$1860,'07导出'!$A$2:$A$1860,A74,'07导出'!$C$2:$C$1860,"212")</f>
        <v>0</v>
      </c>
      <c r="AG74" s="46">
        <f>SUMIFS('07导出'!$G$2:$G$1860,'07导出'!$A$2:$A$1860,A74,'07导出'!$D$2:$D$1860,"21203")</f>
        <v>0</v>
      </c>
      <c r="AH74" s="46">
        <f>SUMIFS('07导出'!$H$2:$H$1860,'07导出'!$A$2:$A$1860,A74,'07导出'!$D$2:$D$1860,"21203")</f>
        <v>0</v>
      </c>
      <c r="AI74" s="46">
        <f>SUMIFS('07导出'!$G$2:$G$1860,'07导出'!$A$2:$A$1860,A74,'07导出'!$C$2:$C$1860,"213")</f>
        <v>0</v>
      </c>
      <c r="AJ74" s="46">
        <f>SUMIFS('07导出'!$H$2:$H$1860,'07导出'!$A$2:$A$1860,A74,'07导出'!$C$2:$C$1860,"213")</f>
        <v>0</v>
      </c>
      <c r="AK74" s="46">
        <f>SUMIFS('07导出'!$G$2:$G$1860,'07导出'!$A$2:$A$1860,A74,'07导出'!$D$2:$D$1860,"21305")</f>
        <v>0</v>
      </c>
      <c r="AL74" s="46">
        <f>SUMIFS('07导出'!$H$2:$H$1860,'07导出'!$A$2:$A$1860,A74,'07导出'!$D$2:$D$1860,"21305")</f>
        <v>0</v>
      </c>
      <c r="AM74" s="46">
        <f>SUMIFS('07导出'!$G$2:$G$1860,'07导出'!$A$2:$A$1860,A74,'07导出'!$C$2:$C$1860,"221")</f>
        <v>2126328</v>
      </c>
      <c r="AN74" s="46">
        <f>SUMIFS('07导出'!$H$2:$H$1860,'07导出'!$A$2:$A$1860,A74,'07导出'!$C$2:$C$1860,"221")</f>
        <v>2446000.08</v>
      </c>
      <c r="AO74" s="46">
        <f>SUMIFS('07导出'!$G$2:$G$1860,'07导出'!$A$2:$A$1860,A74,'07导出'!$D$2:$D$1860,"22102")</f>
        <v>2126328</v>
      </c>
      <c r="AP74" s="46">
        <f>SUMIFS('07导出'!$H$2:$H$1860,'07导出'!$A$2:$A$1860,A74,'07导出'!$D$2:$D$1860,"22102")</f>
        <v>2446000.08</v>
      </c>
    </row>
    <row r="75" spans="1:42">
      <c r="A75" s="43">
        <v>255091</v>
      </c>
      <c r="B75" s="44" t="s">
        <v>74</v>
      </c>
      <c r="C75" s="45">
        <f>SUMIFS('07导出'!$G$2:$G$1860,'07导出'!$A$2:$A$1860,A75,'07导出'!$C$2:$C$1860,"205")</f>
        <v>13231776.560000001</v>
      </c>
      <c r="D75" s="45">
        <f>SUMIFS('07导出'!$H$2:$H$1860,'07导出'!$A$2:$A$1860,A75,'07导出'!$C$2:$C$1860,"205")</f>
        <v>12471145.189999999</v>
      </c>
      <c r="E75" s="46">
        <f>SUMIFS('07导出'!$G$2:$G$1860,'07导出'!$A$2:$A$1860,A75,'07导出'!$D$2:$D$1860,"20502")</f>
        <v>11913376.560000001</v>
      </c>
      <c r="F75" s="46">
        <f>SUMIFS('07导出'!$H$2:$H$1860,'07导出'!$A$2:$A$1860,A75,'07导出'!$D$2:$D$1860,"20502")</f>
        <v>11140745.189999999</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12000</v>
      </c>
      <c r="N75" s="46">
        <f>SUMIFS('07导出'!$H$2:$H$1860,'07导出'!$A$2:$A$1860,A75,'07导出'!$D$2:$D$1860,"20508")</f>
        <v>24000</v>
      </c>
      <c r="O75" s="46">
        <f>SUMIFS('07导出'!$G$2:$G$1860,'07导出'!$A$2:$A$1860,A75,'07导出'!$D$2:$D$1860,"20509")</f>
        <v>1306400</v>
      </c>
      <c r="P75" s="46">
        <f>SUMIFS('07导出'!$H$2:$H$1860,'07导出'!$A$2:$A$1860,A75,'07导出'!$D$2:$D$1860,"20509")</f>
        <v>1306400</v>
      </c>
      <c r="Q75" s="46">
        <f>SUMIFS('07导出'!$G$2:$G$1860,'07导出'!$A$2:$A$1860,A75,'07导出'!$C$2:$C$1860,"206")</f>
        <v>220239.4</v>
      </c>
      <c r="R75" s="46">
        <f>SUMIFS('07导出'!$H$2:$H$1860,'07导出'!$A$2:$A$1860,A75,'07导出'!$C$2:$C$1860,"206")</f>
        <v>0</v>
      </c>
      <c r="S75" s="46">
        <f>SUMIFS('07导出'!$G$2:$G$1860,'07导出'!$A$2:$A$1860,A75,'07导出'!$D$2:$D$1860,"20607")</f>
        <v>220239.4</v>
      </c>
      <c r="T75" s="46">
        <f>SUMIFS('07导出'!$H$2:$H$1860,'07导出'!$A$2:$A$1860,A75,'07导出'!$D$2:$D$1860,"20607")</f>
        <v>0</v>
      </c>
      <c r="U75" s="46">
        <f>SUMIFS('07导出'!$G$2:$G$1860,'07导出'!$A$2:$A$1860,A75,'07导出'!$C$2:$C$1860,"208")</f>
        <v>1534070.6</v>
      </c>
      <c r="V75" s="46">
        <f>SUMIFS('07导出'!$H$2:$H$1860,'07导出'!$A$2:$A$1860,A75,'07导出'!$C$2:$C$1860,"208")</f>
        <v>1643302.68</v>
      </c>
      <c r="W75" s="46">
        <f>SUMIFS('07导出'!$G$2:$G$1860,'07导出'!$A$2:$A$1860,A75,'07导出'!$D$2:$D$1860,"20805")</f>
        <v>1534070.6</v>
      </c>
      <c r="X75" s="46">
        <f>SUMIFS('07导出'!$H$2:$H$1860,'07导出'!$A$2:$A$1860,A75,'07导出'!$D$2:$D$1860,"20805")</f>
        <v>1643302.68</v>
      </c>
      <c r="Y75" s="46">
        <f>SUMIFS('07导出'!$G$2:$G$1860,'07导出'!$A$2:$A$1860,A75,'07导出'!$D$2:$D$1860,"20808")</f>
        <v>0</v>
      </c>
      <c r="Z75" s="46">
        <f>SUMIFS('07导出'!$H$2:$H$1860,'07导出'!$A$2:$A$1860,A75,'07导出'!$D$2:$D$1860,"20808")</f>
        <v>0</v>
      </c>
      <c r="AA75" s="46">
        <f>SUMIFS('07导出'!$G$2:$G$1860,'07导出'!$A$2:$A$1860,A75,'07导出'!$C$2:$C$1860,"210")</f>
        <v>714718.51</v>
      </c>
      <c r="AB75" s="46">
        <f>SUMIFS('07导出'!$H$2:$H$1860,'07导出'!$A$2:$A$1860,A75,'07导出'!$C$2:$C$1860,"210")</f>
        <v>705461.86</v>
      </c>
      <c r="AC75" s="46">
        <f>SUMIFS('07导出'!$G$2:$G$1860,'07导出'!$A$2:$A$1860,A75,'07导出'!$D$2:$D$1860,"21011")</f>
        <v>714718.51</v>
      </c>
      <c r="AD75" s="46">
        <f>SUMIFS('07导出'!$H$2:$H$1860,'07导出'!$A$2:$A$1860,A75,'07导出'!$D$2:$D$1860,"21011")</f>
        <v>705461.86</v>
      </c>
      <c r="AE75" s="46">
        <f>SUMIFS('07导出'!$G$2:$G$1860,'07导出'!$A$2:$A$1860,A75,'07导出'!$C$2:$C$1860,"212")</f>
        <v>0</v>
      </c>
      <c r="AF75" s="46">
        <f>SUMIFS('07导出'!$H$2:$H$1860,'07导出'!$A$2:$A$1860,A75,'07导出'!$C$2:$C$1860,"212")</f>
        <v>0</v>
      </c>
      <c r="AG75" s="46">
        <f>SUMIFS('07导出'!$G$2:$G$1860,'07导出'!$A$2:$A$1860,A75,'07导出'!$D$2:$D$1860,"21203")</f>
        <v>0</v>
      </c>
      <c r="AH75" s="46">
        <f>SUMIFS('07导出'!$H$2:$H$1860,'07导出'!$A$2:$A$1860,A75,'07导出'!$D$2:$D$1860,"21203")</f>
        <v>0</v>
      </c>
      <c r="AI75" s="46">
        <f>SUMIFS('07导出'!$G$2:$G$1860,'07导出'!$A$2:$A$1860,A75,'07导出'!$C$2:$C$1860,"213")</f>
        <v>0</v>
      </c>
      <c r="AJ75" s="46">
        <f>SUMIFS('07导出'!$H$2:$H$1860,'07导出'!$A$2:$A$1860,A75,'07导出'!$C$2:$C$1860,"213")</f>
        <v>0</v>
      </c>
      <c r="AK75" s="46">
        <f>SUMIFS('07导出'!$G$2:$G$1860,'07导出'!$A$2:$A$1860,A75,'07导出'!$D$2:$D$1860,"21305")</f>
        <v>0</v>
      </c>
      <c r="AL75" s="46">
        <f>SUMIFS('07导出'!$H$2:$H$1860,'07导出'!$A$2:$A$1860,A75,'07导出'!$D$2:$D$1860,"21305")</f>
        <v>0</v>
      </c>
      <c r="AM75" s="46">
        <f>SUMIFS('07导出'!$G$2:$G$1860,'07导出'!$A$2:$A$1860,A75,'07导出'!$C$2:$C$1860,"221")</f>
        <v>1520722</v>
      </c>
      <c r="AN75" s="46">
        <f>SUMIFS('07导出'!$H$2:$H$1860,'07导出'!$A$2:$A$1860,A75,'07导出'!$C$2:$C$1860,"221")</f>
        <v>1501598.6400000001</v>
      </c>
      <c r="AO75" s="46">
        <f>SUMIFS('07导出'!$G$2:$G$1860,'07导出'!$A$2:$A$1860,A75,'07导出'!$D$2:$D$1860,"22102")</f>
        <v>1520722</v>
      </c>
      <c r="AP75" s="46">
        <f>SUMIFS('07导出'!$H$2:$H$1860,'07导出'!$A$2:$A$1860,A75,'07导出'!$D$2:$D$1860,"22102")</f>
        <v>1501598.6400000001</v>
      </c>
    </row>
    <row r="76" spans="1:42">
      <c r="A76" s="43">
        <v>255092</v>
      </c>
      <c r="B76" s="44" t="s">
        <v>75</v>
      </c>
      <c r="C76" s="45">
        <f>SUMIFS('07导出'!$G$2:$G$1860,'07导出'!$A$2:$A$1860,A76,'07导出'!$C$2:$C$1860,"205")</f>
        <v>6080132.9000000004</v>
      </c>
      <c r="D76" s="45">
        <f>SUMIFS('07导出'!$H$2:$H$1860,'07导出'!$A$2:$A$1860,A76,'07导出'!$C$2:$C$1860,"205")</f>
        <v>5732094.4699999997</v>
      </c>
      <c r="E76" s="46">
        <f>SUMIFS('07导出'!$G$2:$G$1860,'07导出'!$A$2:$A$1860,A76,'07导出'!$D$2:$D$1860,"20502")</f>
        <v>5912932.9000000004</v>
      </c>
      <c r="F76" s="46">
        <f>SUMIFS('07导出'!$H$2:$H$1860,'07导出'!$A$2:$A$1860,A76,'07导出'!$D$2:$D$1860,"20502")</f>
        <v>5557694.4699999997</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7200</v>
      </c>
      <c r="N76" s="46">
        <f>SUMIFS('07导出'!$H$2:$H$1860,'07导出'!$A$2:$A$1860,A76,'07导出'!$D$2:$D$1860,"20508")</f>
        <v>14400</v>
      </c>
      <c r="O76" s="46">
        <f>SUMIFS('07导出'!$G$2:$G$1860,'07导出'!$A$2:$A$1860,A76,'07导出'!$D$2:$D$1860,"20509")</f>
        <v>160000</v>
      </c>
      <c r="P76" s="46">
        <f>SUMIFS('07导出'!$H$2:$H$1860,'07导出'!$A$2:$A$1860,A76,'07导出'!$D$2:$D$1860,"20509")</f>
        <v>160000</v>
      </c>
      <c r="Q76" s="46">
        <f>SUMIFS('07导出'!$G$2:$G$1860,'07导出'!$A$2:$A$1860,A76,'07导出'!$C$2:$C$1860,"206")</f>
        <v>0</v>
      </c>
      <c r="R76" s="46">
        <f>SUMIFS('07导出'!$H$2:$H$1860,'07导出'!$A$2:$A$1860,A76,'07导出'!$C$2:$C$1860,"206")</f>
        <v>0</v>
      </c>
      <c r="S76" s="46">
        <f>SUMIFS('07导出'!$G$2:$G$1860,'07导出'!$A$2:$A$1860,A76,'07导出'!$D$2:$D$1860,"20607")</f>
        <v>0</v>
      </c>
      <c r="T76" s="46">
        <f>SUMIFS('07导出'!$H$2:$H$1860,'07导出'!$A$2:$A$1860,A76,'07导出'!$D$2:$D$1860,"20607")</f>
        <v>0</v>
      </c>
      <c r="U76" s="46">
        <f>SUMIFS('07导出'!$G$2:$G$1860,'07导出'!$A$2:$A$1860,A76,'07导出'!$C$2:$C$1860,"208")</f>
        <v>734253.81</v>
      </c>
      <c r="V76" s="46">
        <f>SUMIFS('07导出'!$H$2:$H$1860,'07导出'!$A$2:$A$1860,A76,'07导出'!$C$2:$C$1860,"208")</f>
        <v>794380.15999999992</v>
      </c>
      <c r="W76" s="46">
        <f>SUMIFS('07导出'!$G$2:$G$1860,'07导出'!$A$2:$A$1860,A76,'07导出'!$D$2:$D$1860,"20805")</f>
        <v>734253.81</v>
      </c>
      <c r="X76" s="46">
        <f>SUMIFS('07导出'!$H$2:$H$1860,'07导出'!$A$2:$A$1860,A76,'07导出'!$D$2:$D$1860,"20805")</f>
        <v>794380.15999999992</v>
      </c>
      <c r="Y76" s="46">
        <f>SUMIFS('07导出'!$G$2:$G$1860,'07导出'!$A$2:$A$1860,A76,'07导出'!$D$2:$D$1860,"20808")</f>
        <v>0</v>
      </c>
      <c r="Z76" s="46">
        <f>SUMIFS('07导出'!$H$2:$H$1860,'07导出'!$A$2:$A$1860,A76,'07导出'!$D$2:$D$1860,"20808")</f>
        <v>0</v>
      </c>
      <c r="AA76" s="46">
        <f>SUMIFS('07导出'!$G$2:$G$1860,'07导出'!$A$2:$A$1860,A76,'07导出'!$C$2:$C$1860,"210")</f>
        <v>385781.8</v>
      </c>
      <c r="AB76" s="46">
        <f>SUMIFS('07导出'!$H$2:$H$1860,'07导出'!$A$2:$A$1860,A76,'07导出'!$C$2:$C$1860,"210")</f>
        <v>354423.42</v>
      </c>
      <c r="AC76" s="46">
        <f>SUMIFS('07导出'!$G$2:$G$1860,'07导出'!$A$2:$A$1860,A76,'07导出'!$D$2:$D$1860,"21011")</f>
        <v>385781.8</v>
      </c>
      <c r="AD76" s="46">
        <f>SUMIFS('07导出'!$H$2:$H$1860,'07导出'!$A$2:$A$1860,A76,'07导出'!$D$2:$D$1860,"21011")</f>
        <v>354423.42</v>
      </c>
      <c r="AE76" s="46">
        <f>SUMIFS('07导出'!$G$2:$G$1860,'07导出'!$A$2:$A$1860,A76,'07导出'!$C$2:$C$1860,"212")</f>
        <v>0</v>
      </c>
      <c r="AF76" s="46">
        <f>SUMIFS('07导出'!$H$2:$H$1860,'07导出'!$A$2:$A$1860,A76,'07导出'!$C$2:$C$1860,"212")</f>
        <v>0</v>
      </c>
      <c r="AG76" s="46">
        <f>SUMIFS('07导出'!$G$2:$G$1860,'07导出'!$A$2:$A$1860,A76,'07导出'!$D$2:$D$1860,"21203")</f>
        <v>0</v>
      </c>
      <c r="AH76" s="46">
        <f>SUMIFS('07导出'!$H$2:$H$1860,'07导出'!$A$2:$A$1860,A76,'07导出'!$D$2:$D$1860,"21203")</f>
        <v>0</v>
      </c>
      <c r="AI76" s="46">
        <f>SUMIFS('07导出'!$G$2:$G$1860,'07导出'!$A$2:$A$1860,A76,'07导出'!$C$2:$C$1860,"213")</f>
        <v>0</v>
      </c>
      <c r="AJ76" s="46">
        <f>SUMIFS('07导出'!$H$2:$H$1860,'07导出'!$A$2:$A$1860,A76,'07导出'!$C$2:$C$1860,"213")</f>
        <v>0</v>
      </c>
      <c r="AK76" s="46">
        <f>SUMIFS('07导出'!$G$2:$G$1860,'07导出'!$A$2:$A$1860,A76,'07导出'!$D$2:$D$1860,"21305")</f>
        <v>0</v>
      </c>
      <c r="AL76" s="46">
        <f>SUMIFS('07导出'!$H$2:$H$1860,'07导出'!$A$2:$A$1860,A76,'07导出'!$D$2:$D$1860,"21305")</f>
        <v>0</v>
      </c>
      <c r="AM76" s="46">
        <f>SUMIFS('07导出'!$G$2:$G$1860,'07导出'!$A$2:$A$1860,A76,'07导出'!$C$2:$C$1860,"221")</f>
        <v>881810</v>
      </c>
      <c r="AN76" s="46">
        <f>SUMIFS('07导出'!$H$2:$H$1860,'07导出'!$A$2:$A$1860,A76,'07导出'!$C$2:$C$1860,"221")</f>
        <v>889396.08000000007</v>
      </c>
      <c r="AO76" s="46">
        <f>SUMIFS('07导出'!$G$2:$G$1860,'07导出'!$A$2:$A$1860,A76,'07导出'!$D$2:$D$1860,"22102")</f>
        <v>881810</v>
      </c>
      <c r="AP76" s="46">
        <f>SUMIFS('07导出'!$H$2:$H$1860,'07导出'!$A$2:$A$1860,A76,'07导出'!$D$2:$D$1860,"22102")</f>
        <v>889396.08000000007</v>
      </c>
    </row>
    <row r="77" spans="1:42">
      <c r="A77" s="43">
        <v>255093</v>
      </c>
      <c r="B77" s="44" t="s">
        <v>76</v>
      </c>
      <c r="C77" s="45">
        <f>SUMIFS('07导出'!$G$2:$G$1860,'07导出'!$A$2:$A$1860,A77,'07导出'!$C$2:$C$1860,"205")</f>
        <v>8123477.5999999996</v>
      </c>
      <c r="D77" s="45">
        <f>SUMIFS('07导出'!$H$2:$H$1860,'07导出'!$A$2:$A$1860,A77,'07导出'!$C$2:$C$1860,"205")</f>
        <v>8606265.2800000012</v>
      </c>
      <c r="E77" s="46">
        <f>SUMIFS('07导出'!$G$2:$G$1860,'07导出'!$A$2:$A$1860,A77,'07导出'!$D$2:$D$1860,"20502")</f>
        <v>7766128.5999999996</v>
      </c>
      <c r="F77" s="46">
        <f>SUMIFS('07导出'!$H$2:$H$1860,'07导出'!$A$2:$A$1860,A77,'07导出'!$D$2:$D$1860,"20502")</f>
        <v>8122065.2800000003</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7349</v>
      </c>
      <c r="N77" s="46">
        <f>SUMIFS('07导出'!$H$2:$H$1860,'07导出'!$A$2:$A$1860,A77,'07导出'!$D$2:$D$1860,"20508")</f>
        <v>20000</v>
      </c>
      <c r="O77" s="46">
        <f>SUMIFS('07导出'!$G$2:$G$1860,'07导出'!$A$2:$A$1860,A77,'07导出'!$D$2:$D$1860,"20509")</f>
        <v>350000</v>
      </c>
      <c r="P77" s="46">
        <f>SUMIFS('07导出'!$H$2:$H$1860,'07导出'!$A$2:$A$1860,A77,'07导出'!$D$2:$D$1860,"20509")</f>
        <v>464200</v>
      </c>
      <c r="Q77" s="46">
        <f>SUMIFS('07导出'!$G$2:$G$1860,'07导出'!$A$2:$A$1860,A77,'07导出'!$C$2:$C$1860,"206")</f>
        <v>0</v>
      </c>
      <c r="R77" s="46">
        <f>SUMIFS('07导出'!$H$2:$H$1860,'07导出'!$A$2:$A$1860,A77,'07导出'!$C$2:$C$1860,"206")</f>
        <v>0</v>
      </c>
      <c r="S77" s="46">
        <f>SUMIFS('07导出'!$G$2:$G$1860,'07导出'!$A$2:$A$1860,A77,'07导出'!$D$2:$D$1860,"20607")</f>
        <v>0</v>
      </c>
      <c r="T77" s="46">
        <f>SUMIFS('07导出'!$H$2:$H$1860,'07导出'!$A$2:$A$1860,A77,'07导出'!$D$2:$D$1860,"20607")</f>
        <v>0</v>
      </c>
      <c r="U77" s="46">
        <f>SUMIFS('07导出'!$G$2:$G$1860,'07导出'!$A$2:$A$1860,A77,'07导出'!$C$2:$C$1860,"208")</f>
        <v>966056.94</v>
      </c>
      <c r="V77" s="46">
        <f>SUMIFS('07导出'!$H$2:$H$1860,'07导出'!$A$2:$A$1860,A77,'07导出'!$C$2:$C$1860,"208")</f>
        <v>1039482.3999999999</v>
      </c>
      <c r="W77" s="46">
        <f>SUMIFS('07导出'!$G$2:$G$1860,'07导出'!$A$2:$A$1860,A77,'07导出'!$D$2:$D$1860,"20805")</f>
        <v>966056.94</v>
      </c>
      <c r="X77" s="46">
        <f>SUMIFS('07导出'!$H$2:$H$1860,'07导出'!$A$2:$A$1860,A77,'07导出'!$D$2:$D$1860,"20805")</f>
        <v>1039482.3999999999</v>
      </c>
      <c r="Y77" s="46">
        <f>SUMIFS('07导出'!$G$2:$G$1860,'07导出'!$A$2:$A$1860,A77,'07导出'!$D$2:$D$1860,"20808")</f>
        <v>0</v>
      </c>
      <c r="Z77" s="46">
        <f>SUMIFS('07导出'!$H$2:$H$1860,'07导出'!$A$2:$A$1860,A77,'07导出'!$D$2:$D$1860,"20808")</f>
        <v>0</v>
      </c>
      <c r="AA77" s="46">
        <f>SUMIFS('07导出'!$G$2:$G$1860,'07导出'!$A$2:$A$1860,A77,'07导出'!$C$2:$C$1860,"210")</f>
        <v>531294.86</v>
      </c>
      <c r="AB77" s="46">
        <f>SUMIFS('07导出'!$H$2:$H$1860,'07导出'!$A$2:$A$1860,A77,'07导出'!$C$2:$C$1860,"210")</f>
        <v>451120.8</v>
      </c>
      <c r="AC77" s="46">
        <f>SUMIFS('07导出'!$G$2:$G$1860,'07导出'!$A$2:$A$1860,A77,'07导出'!$D$2:$D$1860,"21011")</f>
        <v>531294.86</v>
      </c>
      <c r="AD77" s="46">
        <f>SUMIFS('07导出'!$H$2:$H$1860,'07导出'!$A$2:$A$1860,A77,'07导出'!$D$2:$D$1860,"21011")</f>
        <v>451120.8</v>
      </c>
      <c r="AE77" s="46">
        <f>SUMIFS('07导出'!$G$2:$G$1860,'07导出'!$A$2:$A$1860,A77,'07导出'!$C$2:$C$1860,"212")</f>
        <v>0</v>
      </c>
      <c r="AF77" s="46">
        <f>SUMIFS('07导出'!$H$2:$H$1860,'07导出'!$A$2:$A$1860,A77,'07导出'!$C$2:$C$1860,"212")</f>
        <v>0</v>
      </c>
      <c r="AG77" s="46">
        <f>SUMIFS('07导出'!$G$2:$G$1860,'07导出'!$A$2:$A$1860,A77,'07导出'!$D$2:$D$1860,"21203")</f>
        <v>0</v>
      </c>
      <c r="AH77" s="46">
        <f>SUMIFS('07导出'!$H$2:$H$1860,'07导出'!$A$2:$A$1860,A77,'07导出'!$D$2:$D$1860,"21203")</f>
        <v>0</v>
      </c>
      <c r="AI77" s="46">
        <f>SUMIFS('07导出'!$G$2:$G$1860,'07导出'!$A$2:$A$1860,A77,'07导出'!$C$2:$C$1860,"213")</f>
        <v>0</v>
      </c>
      <c r="AJ77" s="46">
        <f>SUMIFS('07导出'!$H$2:$H$1860,'07导出'!$A$2:$A$1860,A77,'07导出'!$C$2:$C$1860,"213")</f>
        <v>0</v>
      </c>
      <c r="AK77" s="46">
        <f>SUMIFS('07导出'!$G$2:$G$1860,'07导出'!$A$2:$A$1860,A77,'07导出'!$D$2:$D$1860,"21305")</f>
        <v>0</v>
      </c>
      <c r="AL77" s="46">
        <f>SUMIFS('07导出'!$H$2:$H$1860,'07导出'!$A$2:$A$1860,A77,'07导出'!$D$2:$D$1860,"21305")</f>
        <v>0</v>
      </c>
      <c r="AM77" s="46">
        <f>SUMIFS('07导出'!$G$2:$G$1860,'07导出'!$A$2:$A$1860,A77,'07导出'!$C$2:$C$1860,"221")</f>
        <v>1245892</v>
      </c>
      <c r="AN77" s="46">
        <f>SUMIFS('07导出'!$H$2:$H$1860,'07导出'!$A$2:$A$1860,A77,'07导出'!$C$2:$C$1860,"221")</f>
        <v>1178887.2</v>
      </c>
      <c r="AO77" s="46">
        <f>SUMIFS('07导出'!$G$2:$G$1860,'07导出'!$A$2:$A$1860,A77,'07导出'!$D$2:$D$1860,"22102")</f>
        <v>1245892</v>
      </c>
      <c r="AP77" s="46">
        <f>SUMIFS('07导出'!$H$2:$H$1860,'07导出'!$A$2:$A$1860,A77,'07导出'!$D$2:$D$1860,"22102")</f>
        <v>1178887.2</v>
      </c>
    </row>
    <row r="78" spans="1:42">
      <c r="A78" s="43">
        <v>255094</v>
      </c>
      <c r="B78" s="44" t="s">
        <v>77</v>
      </c>
      <c r="C78" s="45">
        <f>SUMIFS('07导出'!$G$2:$G$1860,'07导出'!$A$2:$A$1860,A78,'07导出'!$C$2:$C$1860,"205")</f>
        <v>6656369.5</v>
      </c>
      <c r="D78" s="45">
        <f>SUMIFS('07导出'!$H$2:$H$1860,'07导出'!$A$2:$A$1860,A78,'07导出'!$C$2:$C$1860,"205")</f>
        <v>6319069.6200000001</v>
      </c>
      <c r="E78" s="46">
        <f>SUMIFS('07导出'!$G$2:$G$1860,'07导出'!$A$2:$A$1860,A78,'07导出'!$D$2:$D$1860,"20502")</f>
        <v>6500155.5</v>
      </c>
      <c r="F78" s="46">
        <f>SUMIFS('07导出'!$H$2:$H$1860,'07导出'!$A$2:$A$1860,A78,'07导出'!$D$2:$D$1860,"20502")</f>
        <v>6149969.6200000001</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0</v>
      </c>
      <c r="N78" s="46">
        <f>SUMIFS('07导出'!$H$2:$H$1860,'07导出'!$A$2:$A$1860,A78,'07导出'!$D$2:$D$1860,"20508")</f>
        <v>12800</v>
      </c>
      <c r="O78" s="46">
        <f>SUMIFS('07导出'!$G$2:$G$1860,'07导出'!$A$2:$A$1860,A78,'07导出'!$D$2:$D$1860,"20509")</f>
        <v>156214</v>
      </c>
      <c r="P78" s="46">
        <f>SUMIFS('07导出'!$H$2:$H$1860,'07导出'!$A$2:$A$1860,A78,'07导出'!$D$2:$D$1860,"20509")</f>
        <v>156300</v>
      </c>
      <c r="Q78" s="46">
        <f>SUMIFS('07导出'!$G$2:$G$1860,'07导出'!$A$2:$A$1860,A78,'07导出'!$C$2:$C$1860,"206")</f>
        <v>0</v>
      </c>
      <c r="R78" s="46">
        <f>SUMIFS('07导出'!$H$2:$H$1860,'07导出'!$A$2:$A$1860,A78,'07导出'!$C$2:$C$1860,"206")</f>
        <v>0</v>
      </c>
      <c r="S78" s="46">
        <f>SUMIFS('07导出'!$G$2:$G$1860,'07导出'!$A$2:$A$1860,A78,'07导出'!$D$2:$D$1860,"20607")</f>
        <v>0</v>
      </c>
      <c r="T78" s="46">
        <f>SUMIFS('07导出'!$H$2:$H$1860,'07导出'!$A$2:$A$1860,A78,'07导出'!$D$2:$D$1860,"20607")</f>
        <v>0</v>
      </c>
      <c r="U78" s="46">
        <f>SUMIFS('07导出'!$G$2:$G$1860,'07导出'!$A$2:$A$1860,A78,'07导出'!$C$2:$C$1860,"208")</f>
        <v>774696.10000000009</v>
      </c>
      <c r="V78" s="46">
        <f>SUMIFS('07导出'!$H$2:$H$1860,'07导出'!$A$2:$A$1860,A78,'07导出'!$C$2:$C$1860,"208")</f>
        <v>785352.39999999991</v>
      </c>
      <c r="W78" s="46">
        <f>SUMIFS('07导出'!$G$2:$G$1860,'07导出'!$A$2:$A$1860,A78,'07导出'!$D$2:$D$1860,"20805")</f>
        <v>774696.10000000009</v>
      </c>
      <c r="X78" s="46">
        <f>SUMIFS('07导出'!$H$2:$H$1860,'07导出'!$A$2:$A$1860,A78,'07导出'!$D$2:$D$1860,"20805")</f>
        <v>785352.39999999991</v>
      </c>
      <c r="Y78" s="46">
        <f>SUMIFS('07导出'!$G$2:$G$1860,'07导出'!$A$2:$A$1860,A78,'07导出'!$D$2:$D$1860,"20808")</f>
        <v>0</v>
      </c>
      <c r="Z78" s="46">
        <f>SUMIFS('07导出'!$H$2:$H$1860,'07导出'!$A$2:$A$1860,A78,'07导出'!$D$2:$D$1860,"20808")</f>
        <v>0</v>
      </c>
      <c r="AA78" s="46">
        <f>SUMIFS('07导出'!$G$2:$G$1860,'07导出'!$A$2:$A$1860,A78,'07导出'!$C$2:$C$1860,"210")</f>
        <v>306571.58</v>
      </c>
      <c r="AB78" s="46">
        <f>SUMIFS('07导出'!$H$2:$H$1860,'07导出'!$A$2:$A$1860,A78,'07导出'!$C$2:$C$1860,"210")</f>
        <v>314926.3</v>
      </c>
      <c r="AC78" s="46">
        <f>SUMIFS('07导出'!$G$2:$G$1860,'07导出'!$A$2:$A$1860,A78,'07导出'!$D$2:$D$1860,"21011")</f>
        <v>306571.58</v>
      </c>
      <c r="AD78" s="46">
        <f>SUMIFS('07导出'!$H$2:$H$1860,'07导出'!$A$2:$A$1860,A78,'07导出'!$D$2:$D$1860,"21011")</f>
        <v>314926.3</v>
      </c>
      <c r="AE78" s="46">
        <f>SUMIFS('07导出'!$G$2:$G$1860,'07导出'!$A$2:$A$1860,A78,'07导出'!$C$2:$C$1860,"212")</f>
        <v>0</v>
      </c>
      <c r="AF78" s="46">
        <f>SUMIFS('07导出'!$H$2:$H$1860,'07导出'!$A$2:$A$1860,A78,'07导出'!$C$2:$C$1860,"212")</f>
        <v>0</v>
      </c>
      <c r="AG78" s="46">
        <f>SUMIFS('07导出'!$G$2:$G$1860,'07导出'!$A$2:$A$1860,A78,'07导出'!$D$2:$D$1860,"21203")</f>
        <v>0</v>
      </c>
      <c r="AH78" s="46">
        <f>SUMIFS('07导出'!$H$2:$H$1860,'07导出'!$A$2:$A$1860,A78,'07导出'!$D$2:$D$1860,"21203")</f>
        <v>0</v>
      </c>
      <c r="AI78" s="46">
        <f>SUMIFS('07导出'!$G$2:$G$1860,'07导出'!$A$2:$A$1860,A78,'07导出'!$C$2:$C$1860,"213")</f>
        <v>0</v>
      </c>
      <c r="AJ78" s="46">
        <f>SUMIFS('07导出'!$H$2:$H$1860,'07导出'!$A$2:$A$1860,A78,'07导出'!$C$2:$C$1860,"213")</f>
        <v>0</v>
      </c>
      <c r="AK78" s="46">
        <f>SUMIFS('07导出'!$G$2:$G$1860,'07导出'!$A$2:$A$1860,A78,'07导出'!$D$2:$D$1860,"21305")</f>
        <v>0</v>
      </c>
      <c r="AL78" s="46">
        <f>SUMIFS('07导出'!$H$2:$H$1860,'07导出'!$A$2:$A$1860,A78,'07导出'!$D$2:$D$1860,"21305")</f>
        <v>0</v>
      </c>
      <c r="AM78" s="46">
        <f>SUMIFS('07导出'!$G$2:$G$1860,'07导出'!$A$2:$A$1860,A78,'07导出'!$C$2:$C$1860,"221")</f>
        <v>719475</v>
      </c>
      <c r="AN78" s="46">
        <f>SUMIFS('07导出'!$H$2:$H$1860,'07导出'!$A$2:$A$1860,A78,'07导出'!$C$2:$C$1860,"221")</f>
        <v>747157.2</v>
      </c>
      <c r="AO78" s="46">
        <f>SUMIFS('07导出'!$G$2:$G$1860,'07导出'!$A$2:$A$1860,A78,'07导出'!$D$2:$D$1860,"22102")</f>
        <v>719475</v>
      </c>
      <c r="AP78" s="46">
        <f>SUMIFS('07导出'!$H$2:$H$1860,'07导出'!$A$2:$A$1860,A78,'07导出'!$D$2:$D$1860,"22102")</f>
        <v>747157.2</v>
      </c>
    </row>
    <row r="79" spans="1:42">
      <c r="A79" s="43">
        <v>255095</v>
      </c>
      <c r="B79" s="44" t="s">
        <v>78</v>
      </c>
      <c r="C79" s="45">
        <f>SUMIFS('07导出'!$G$2:$G$1860,'07导出'!$A$2:$A$1860,A79,'07导出'!$C$2:$C$1860,"205")</f>
        <v>6467899.9300000006</v>
      </c>
      <c r="D79" s="45">
        <f>SUMIFS('07导出'!$H$2:$H$1860,'07导出'!$A$2:$A$1860,A79,'07导出'!$C$2:$C$1860,"205")</f>
        <v>6941917.0800000001</v>
      </c>
      <c r="E79" s="46">
        <f>SUMIFS('07导出'!$G$2:$G$1860,'07导出'!$A$2:$A$1860,A79,'07导出'!$D$2:$D$1860,"20502")</f>
        <v>6110694.5300000003</v>
      </c>
      <c r="F79" s="46">
        <f>SUMIFS('07导出'!$H$2:$H$1860,'07导出'!$A$2:$A$1860,A79,'07导出'!$D$2:$D$1860,"20502")</f>
        <v>6566537.0800000001</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7960</v>
      </c>
      <c r="N79" s="46">
        <f>SUMIFS('07导出'!$H$2:$H$1860,'07导出'!$A$2:$A$1860,A79,'07导出'!$D$2:$D$1860,"20508")</f>
        <v>16000</v>
      </c>
      <c r="O79" s="46">
        <f>SUMIFS('07导出'!$G$2:$G$1860,'07导出'!$A$2:$A$1860,A79,'07导出'!$D$2:$D$1860,"20509")</f>
        <v>349245.4</v>
      </c>
      <c r="P79" s="46">
        <f>SUMIFS('07导出'!$H$2:$H$1860,'07导出'!$A$2:$A$1860,A79,'07导出'!$D$2:$D$1860,"20509")</f>
        <v>359380</v>
      </c>
      <c r="Q79" s="46">
        <f>SUMIFS('07导出'!$G$2:$G$1860,'07导出'!$A$2:$A$1860,A79,'07导出'!$C$2:$C$1860,"206")</f>
        <v>0</v>
      </c>
      <c r="R79" s="46">
        <f>SUMIFS('07导出'!$H$2:$H$1860,'07导出'!$A$2:$A$1860,A79,'07导出'!$C$2:$C$1860,"206")</f>
        <v>0</v>
      </c>
      <c r="S79" s="46">
        <f>SUMIFS('07导出'!$G$2:$G$1860,'07导出'!$A$2:$A$1860,A79,'07导出'!$D$2:$D$1860,"20607")</f>
        <v>0</v>
      </c>
      <c r="T79" s="46">
        <f>SUMIFS('07导出'!$H$2:$H$1860,'07导出'!$A$2:$A$1860,A79,'07导出'!$D$2:$D$1860,"20607")</f>
        <v>0</v>
      </c>
      <c r="U79" s="46">
        <f>SUMIFS('07导出'!$G$2:$G$1860,'07导出'!$A$2:$A$1860,A79,'07导出'!$C$2:$C$1860,"208")</f>
        <v>875683.12</v>
      </c>
      <c r="V79" s="46">
        <f>SUMIFS('07导出'!$H$2:$H$1860,'07导出'!$A$2:$A$1860,A79,'07导出'!$C$2:$C$1860,"208")</f>
        <v>1240142.1599999999</v>
      </c>
      <c r="W79" s="46">
        <f>SUMIFS('07导出'!$G$2:$G$1860,'07导出'!$A$2:$A$1860,A79,'07导出'!$D$2:$D$1860,"20805")</f>
        <v>875683.12</v>
      </c>
      <c r="X79" s="46">
        <f>SUMIFS('07导出'!$H$2:$H$1860,'07导出'!$A$2:$A$1860,A79,'07导出'!$D$2:$D$1860,"20805")</f>
        <v>1240142.1599999999</v>
      </c>
      <c r="Y79" s="46">
        <f>SUMIFS('07导出'!$G$2:$G$1860,'07导出'!$A$2:$A$1860,A79,'07导出'!$D$2:$D$1860,"20808")</f>
        <v>0</v>
      </c>
      <c r="Z79" s="46">
        <f>SUMIFS('07导出'!$H$2:$H$1860,'07导出'!$A$2:$A$1860,A79,'07导出'!$D$2:$D$1860,"20808")</f>
        <v>0</v>
      </c>
      <c r="AA79" s="46">
        <f>SUMIFS('07导出'!$G$2:$G$1860,'07导出'!$A$2:$A$1860,A79,'07导出'!$C$2:$C$1860,"210")</f>
        <v>429083.86</v>
      </c>
      <c r="AB79" s="46">
        <f>SUMIFS('07导出'!$H$2:$H$1860,'07导出'!$A$2:$A$1860,A79,'07导出'!$C$2:$C$1860,"210")</f>
        <v>535487.42000000004</v>
      </c>
      <c r="AC79" s="46">
        <f>SUMIFS('07导出'!$G$2:$G$1860,'07导出'!$A$2:$A$1860,A79,'07导出'!$D$2:$D$1860,"21011")</f>
        <v>429083.86</v>
      </c>
      <c r="AD79" s="46">
        <f>SUMIFS('07导出'!$H$2:$H$1860,'07导出'!$A$2:$A$1860,A79,'07导出'!$D$2:$D$1860,"21011")</f>
        <v>535487.42000000004</v>
      </c>
      <c r="AE79" s="46">
        <f>SUMIFS('07导出'!$G$2:$G$1860,'07导出'!$A$2:$A$1860,A79,'07导出'!$C$2:$C$1860,"212")</f>
        <v>0</v>
      </c>
      <c r="AF79" s="46">
        <f>SUMIFS('07导出'!$H$2:$H$1860,'07导出'!$A$2:$A$1860,A79,'07导出'!$C$2:$C$1860,"212")</f>
        <v>0</v>
      </c>
      <c r="AG79" s="46">
        <f>SUMIFS('07导出'!$G$2:$G$1860,'07导出'!$A$2:$A$1860,A79,'07导出'!$D$2:$D$1860,"21203")</f>
        <v>0</v>
      </c>
      <c r="AH79" s="46">
        <f>SUMIFS('07导出'!$H$2:$H$1860,'07导出'!$A$2:$A$1860,A79,'07导出'!$D$2:$D$1860,"21203")</f>
        <v>0</v>
      </c>
      <c r="AI79" s="46">
        <f>SUMIFS('07导出'!$G$2:$G$1860,'07导出'!$A$2:$A$1860,A79,'07导出'!$C$2:$C$1860,"213")</f>
        <v>0</v>
      </c>
      <c r="AJ79" s="46">
        <f>SUMIFS('07导出'!$H$2:$H$1860,'07导出'!$A$2:$A$1860,A79,'07导出'!$C$2:$C$1860,"213")</f>
        <v>0</v>
      </c>
      <c r="AK79" s="46">
        <f>SUMIFS('07导出'!$G$2:$G$1860,'07导出'!$A$2:$A$1860,A79,'07导出'!$D$2:$D$1860,"21305")</f>
        <v>0</v>
      </c>
      <c r="AL79" s="46">
        <f>SUMIFS('07导出'!$H$2:$H$1860,'07导出'!$A$2:$A$1860,A79,'07导出'!$D$2:$D$1860,"21305")</f>
        <v>0</v>
      </c>
      <c r="AM79" s="46">
        <f>SUMIFS('07导出'!$G$2:$G$1860,'07导出'!$A$2:$A$1860,A79,'07导出'!$C$2:$C$1860,"221")</f>
        <v>1111293</v>
      </c>
      <c r="AN79" s="46">
        <f>SUMIFS('07导出'!$H$2:$H$1860,'07导出'!$A$2:$A$1860,A79,'07导出'!$C$2:$C$1860,"221")</f>
        <v>1100632.08</v>
      </c>
      <c r="AO79" s="46">
        <f>SUMIFS('07导出'!$G$2:$G$1860,'07导出'!$A$2:$A$1860,A79,'07导出'!$D$2:$D$1860,"22102")</f>
        <v>1111293</v>
      </c>
      <c r="AP79" s="46">
        <f>SUMIFS('07导出'!$H$2:$H$1860,'07导出'!$A$2:$A$1860,A79,'07导出'!$D$2:$D$1860,"22102")</f>
        <v>1100632.08</v>
      </c>
    </row>
    <row r="80" spans="1:42">
      <c r="A80" s="43">
        <v>255096</v>
      </c>
      <c r="B80" s="44" t="s">
        <v>79</v>
      </c>
      <c r="C80" s="45">
        <f>SUMIFS('07导出'!$G$2:$G$1860,'07导出'!$A$2:$A$1860,A80,'07导出'!$C$2:$C$1860,"205")</f>
        <v>14981643.23</v>
      </c>
      <c r="D80" s="45">
        <f>SUMIFS('07导出'!$H$2:$H$1860,'07导出'!$A$2:$A$1860,A80,'07导出'!$C$2:$C$1860,"205")</f>
        <v>16587213.01</v>
      </c>
      <c r="E80" s="46">
        <f>SUMIFS('07导出'!$G$2:$G$1860,'07导出'!$A$2:$A$1860,A80,'07导出'!$D$2:$D$1860,"20502")</f>
        <v>14223507.23</v>
      </c>
      <c r="F80" s="46">
        <f>SUMIFS('07导出'!$H$2:$H$1860,'07导出'!$A$2:$A$1860,A80,'07导出'!$D$2:$D$1860,"20502")</f>
        <v>12969877.01</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9200</v>
      </c>
      <c r="N80" s="46">
        <f>SUMIFS('07导出'!$H$2:$H$1860,'07导出'!$A$2:$A$1860,A80,'07导出'!$D$2:$D$1860,"20508")</f>
        <v>18400</v>
      </c>
      <c r="O80" s="46">
        <f>SUMIFS('07导出'!$G$2:$G$1860,'07导出'!$A$2:$A$1860,A80,'07导出'!$D$2:$D$1860,"20509")</f>
        <v>748936</v>
      </c>
      <c r="P80" s="46">
        <f>SUMIFS('07导出'!$H$2:$H$1860,'07导出'!$A$2:$A$1860,A80,'07导出'!$D$2:$D$1860,"20509")</f>
        <v>3598936</v>
      </c>
      <c r="Q80" s="46">
        <f>SUMIFS('07导出'!$G$2:$G$1860,'07导出'!$A$2:$A$1860,A80,'07导出'!$C$2:$C$1860,"206")</f>
        <v>0</v>
      </c>
      <c r="R80" s="46">
        <f>SUMIFS('07导出'!$H$2:$H$1860,'07导出'!$A$2:$A$1860,A80,'07导出'!$C$2:$C$1860,"206")</f>
        <v>0</v>
      </c>
      <c r="S80" s="46">
        <f>SUMIFS('07导出'!$G$2:$G$1860,'07导出'!$A$2:$A$1860,A80,'07导出'!$D$2:$D$1860,"20607")</f>
        <v>0</v>
      </c>
      <c r="T80" s="46">
        <f>SUMIFS('07导出'!$H$2:$H$1860,'07导出'!$A$2:$A$1860,A80,'07导出'!$D$2:$D$1860,"20607")</f>
        <v>0</v>
      </c>
      <c r="U80" s="46">
        <f>SUMIFS('07导出'!$G$2:$G$1860,'07导出'!$A$2:$A$1860,A80,'07导出'!$C$2:$C$1860,"208")</f>
        <v>1036301.1199999999</v>
      </c>
      <c r="V80" s="46">
        <f>SUMIFS('07导出'!$H$2:$H$1860,'07导出'!$A$2:$A$1860,A80,'07导出'!$C$2:$C$1860,"208")</f>
        <v>1465259.7599999998</v>
      </c>
      <c r="W80" s="46">
        <f>SUMIFS('07导出'!$G$2:$G$1860,'07导出'!$A$2:$A$1860,A80,'07导出'!$D$2:$D$1860,"20805")</f>
        <v>1036301.1199999999</v>
      </c>
      <c r="X80" s="46">
        <f>SUMIFS('07导出'!$H$2:$H$1860,'07导出'!$A$2:$A$1860,A80,'07导出'!$D$2:$D$1860,"20805")</f>
        <v>1465259.7599999998</v>
      </c>
      <c r="Y80" s="46">
        <f>SUMIFS('07导出'!$G$2:$G$1860,'07导出'!$A$2:$A$1860,A80,'07导出'!$D$2:$D$1860,"20808")</f>
        <v>0</v>
      </c>
      <c r="Z80" s="46">
        <f>SUMIFS('07导出'!$H$2:$H$1860,'07导出'!$A$2:$A$1860,A80,'07导出'!$D$2:$D$1860,"20808")</f>
        <v>0</v>
      </c>
      <c r="AA80" s="46">
        <f>SUMIFS('07导出'!$G$2:$G$1860,'07导出'!$A$2:$A$1860,A80,'07导出'!$C$2:$C$1860,"210")</f>
        <v>563232.79</v>
      </c>
      <c r="AB80" s="46">
        <f>SUMIFS('07导出'!$H$2:$H$1860,'07导出'!$A$2:$A$1860,A80,'07导出'!$C$2:$C$1860,"210")</f>
        <v>614188.12</v>
      </c>
      <c r="AC80" s="46">
        <f>SUMIFS('07导出'!$G$2:$G$1860,'07导出'!$A$2:$A$1860,A80,'07导出'!$D$2:$D$1860,"21011")</f>
        <v>563232.79</v>
      </c>
      <c r="AD80" s="46">
        <f>SUMIFS('07导出'!$H$2:$H$1860,'07导出'!$A$2:$A$1860,A80,'07导出'!$D$2:$D$1860,"21011")</f>
        <v>614188.12</v>
      </c>
      <c r="AE80" s="46">
        <f>SUMIFS('07导出'!$G$2:$G$1860,'07导出'!$A$2:$A$1860,A80,'07导出'!$C$2:$C$1860,"212")</f>
        <v>0</v>
      </c>
      <c r="AF80" s="46">
        <f>SUMIFS('07导出'!$H$2:$H$1860,'07导出'!$A$2:$A$1860,A80,'07导出'!$C$2:$C$1860,"212")</f>
        <v>0</v>
      </c>
      <c r="AG80" s="46">
        <f>SUMIFS('07导出'!$G$2:$G$1860,'07导出'!$A$2:$A$1860,A80,'07导出'!$D$2:$D$1860,"21203")</f>
        <v>0</v>
      </c>
      <c r="AH80" s="46">
        <f>SUMIFS('07导出'!$H$2:$H$1860,'07导出'!$A$2:$A$1860,A80,'07导出'!$D$2:$D$1860,"21203")</f>
        <v>0</v>
      </c>
      <c r="AI80" s="46">
        <f>SUMIFS('07导出'!$G$2:$G$1860,'07导出'!$A$2:$A$1860,A80,'07导出'!$C$2:$C$1860,"213")</f>
        <v>0</v>
      </c>
      <c r="AJ80" s="46">
        <f>SUMIFS('07导出'!$H$2:$H$1860,'07导出'!$A$2:$A$1860,A80,'07导出'!$C$2:$C$1860,"213")</f>
        <v>0</v>
      </c>
      <c r="AK80" s="46">
        <f>SUMIFS('07导出'!$G$2:$G$1860,'07导出'!$A$2:$A$1860,A80,'07导出'!$D$2:$D$1860,"21305")</f>
        <v>0</v>
      </c>
      <c r="AL80" s="46">
        <f>SUMIFS('07导出'!$H$2:$H$1860,'07导出'!$A$2:$A$1860,A80,'07导出'!$D$2:$D$1860,"21305")</f>
        <v>0</v>
      </c>
      <c r="AM80" s="46">
        <f>SUMIFS('07导出'!$G$2:$G$1860,'07导出'!$A$2:$A$1860,A80,'07导出'!$C$2:$C$1860,"221")</f>
        <v>1265004</v>
      </c>
      <c r="AN80" s="46">
        <f>SUMIFS('07导出'!$H$2:$H$1860,'07导出'!$A$2:$A$1860,A80,'07导出'!$C$2:$C$1860,"221")</f>
        <v>1265066.8799999999</v>
      </c>
      <c r="AO80" s="46">
        <f>SUMIFS('07导出'!$G$2:$G$1860,'07导出'!$A$2:$A$1860,A80,'07导出'!$D$2:$D$1860,"22102")</f>
        <v>1265004</v>
      </c>
      <c r="AP80" s="46">
        <f>SUMIFS('07导出'!$H$2:$H$1860,'07导出'!$A$2:$A$1860,A80,'07导出'!$D$2:$D$1860,"22102")</f>
        <v>1265066.8799999999</v>
      </c>
    </row>
    <row r="81" spans="1:42">
      <c r="A81" s="43">
        <v>255097</v>
      </c>
      <c r="B81" s="44" t="s">
        <v>80</v>
      </c>
      <c r="C81" s="45">
        <f>SUMIFS('07导出'!$G$2:$G$1860,'07导出'!$A$2:$A$1860,A81,'07导出'!$C$2:$C$1860,"205")</f>
        <v>65805009.879999995</v>
      </c>
      <c r="D81" s="45">
        <f>SUMIFS('07导出'!$H$2:$H$1860,'07导出'!$A$2:$A$1860,A81,'07导出'!$C$2:$C$1860,"205")</f>
        <v>61471486.740000002</v>
      </c>
      <c r="E81" s="46">
        <f>SUMIFS('07导出'!$G$2:$G$1860,'07导出'!$A$2:$A$1860,A81,'07导出'!$D$2:$D$1860,"20502")</f>
        <v>216815.91</v>
      </c>
      <c r="F81" s="46">
        <f>SUMIFS('07导出'!$H$2:$H$1860,'07导出'!$A$2:$A$1860,A81,'07导出'!$D$2:$D$1860,"20502")</f>
        <v>787615</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65005591.969999999</v>
      </c>
      <c r="N81" s="46">
        <f>SUMIFS('07导出'!$H$2:$H$1860,'07导出'!$A$2:$A$1860,A81,'07导出'!$D$2:$D$1860,"20508")</f>
        <v>59595331.740000002</v>
      </c>
      <c r="O81" s="46">
        <f>SUMIFS('07导出'!$G$2:$G$1860,'07导出'!$A$2:$A$1860,A81,'07导出'!$D$2:$D$1860,"20509")</f>
        <v>582602</v>
      </c>
      <c r="P81" s="46">
        <f>SUMIFS('07导出'!$H$2:$H$1860,'07导出'!$A$2:$A$1860,A81,'07导出'!$D$2:$D$1860,"20509")</f>
        <v>1088540</v>
      </c>
      <c r="Q81" s="46">
        <f>SUMIFS('07导出'!$G$2:$G$1860,'07导出'!$A$2:$A$1860,A81,'07导出'!$C$2:$C$1860,"206")</f>
        <v>0</v>
      </c>
      <c r="R81" s="46">
        <f>SUMIFS('07导出'!$H$2:$H$1860,'07导出'!$A$2:$A$1860,A81,'07导出'!$C$2:$C$1860,"206")</f>
        <v>0</v>
      </c>
      <c r="S81" s="46">
        <f>SUMIFS('07导出'!$G$2:$G$1860,'07导出'!$A$2:$A$1860,A81,'07导出'!$D$2:$D$1860,"20607")</f>
        <v>0</v>
      </c>
      <c r="T81" s="46">
        <f>SUMIFS('07导出'!$H$2:$H$1860,'07导出'!$A$2:$A$1860,A81,'07导出'!$D$2:$D$1860,"20607")</f>
        <v>0</v>
      </c>
      <c r="U81" s="46">
        <f>SUMIFS('07导出'!$G$2:$G$1860,'07导出'!$A$2:$A$1860,A81,'07导出'!$C$2:$C$1860,"208")</f>
        <v>17156126.27</v>
      </c>
      <c r="V81" s="46">
        <f>SUMIFS('07导出'!$H$2:$H$1860,'07导出'!$A$2:$A$1860,A81,'07导出'!$C$2:$C$1860,"208")</f>
        <v>15297207.02</v>
      </c>
      <c r="W81" s="46">
        <f>SUMIFS('07导出'!$G$2:$G$1860,'07导出'!$A$2:$A$1860,A81,'07导出'!$D$2:$D$1860,"20805")</f>
        <v>17156126.27</v>
      </c>
      <c r="X81" s="46">
        <f>SUMIFS('07导出'!$H$2:$H$1860,'07导出'!$A$2:$A$1860,A81,'07导出'!$D$2:$D$1860,"20805")</f>
        <v>15297207.02</v>
      </c>
      <c r="Y81" s="46">
        <f>SUMIFS('07导出'!$G$2:$G$1860,'07导出'!$A$2:$A$1860,A81,'07导出'!$D$2:$D$1860,"20808")</f>
        <v>0</v>
      </c>
      <c r="Z81" s="46">
        <f>SUMIFS('07导出'!$H$2:$H$1860,'07导出'!$A$2:$A$1860,A81,'07导出'!$D$2:$D$1860,"20808")</f>
        <v>0</v>
      </c>
      <c r="AA81" s="46">
        <f>SUMIFS('07导出'!$G$2:$G$1860,'07导出'!$A$2:$A$1860,A81,'07导出'!$C$2:$C$1860,"210")</f>
        <v>6128698.71</v>
      </c>
      <c r="AB81" s="46">
        <f>SUMIFS('07导出'!$H$2:$H$1860,'07导出'!$A$2:$A$1860,A81,'07导出'!$C$2:$C$1860,"210")</f>
        <v>5554312.21</v>
      </c>
      <c r="AC81" s="46">
        <f>SUMIFS('07导出'!$G$2:$G$1860,'07导出'!$A$2:$A$1860,A81,'07导出'!$D$2:$D$1860,"21011")</f>
        <v>6128698.71</v>
      </c>
      <c r="AD81" s="46">
        <f>SUMIFS('07导出'!$H$2:$H$1860,'07导出'!$A$2:$A$1860,A81,'07导出'!$D$2:$D$1860,"21011")</f>
        <v>5554312.21</v>
      </c>
      <c r="AE81" s="46">
        <f>SUMIFS('07导出'!$G$2:$G$1860,'07导出'!$A$2:$A$1860,A81,'07导出'!$C$2:$C$1860,"212")</f>
        <v>0</v>
      </c>
      <c r="AF81" s="46">
        <f>SUMIFS('07导出'!$H$2:$H$1860,'07导出'!$A$2:$A$1860,A81,'07导出'!$C$2:$C$1860,"212")</f>
        <v>0</v>
      </c>
      <c r="AG81" s="46">
        <f>SUMIFS('07导出'!$G$2:$G$1860,'07导出'!$A$2:$A$1860,A81,'07导出'!$D$2:$D$1860,"21203")</f>
        <v>0</v>
      </c>
      <c r="AH81" s="46">
        <f>SUMIFS('07导出'!$H$2:$H$1860,'07导出'!$A$2:$A$1860,A81,'07导出'!$D$2:$D$1860,"21203")</f>
        <v>0</v>
      </c>
      <c r="AI81" s="46">
        <f>SUMIFS('07导出'!$G$2:$G$1860,'07导出'!$A$2:$A$1860,A81,'07导出'!$C$2:$C$1860,"213")</f>
        <v>0</v>
      </c>
      <c r="AJ81" s="46">
        <f>SUMIFS('07导出'!$H$2:$H$1860,'07导出'!$A$2:$A$1860,A81,'07导出'!$C$2:$C$1860,"213")</f>
        <v>0</v>
      </c>
      <c r="AK81" s="46">
        <f>SUMIFS('07导出'!$G$2:$G$1860,'07导出'!$A$2:$A$1860,A81,'07导出'!$D$2:$D$1860,"21305")</f>
        <v>0</v>
      </c>
      <c r="AL81" s="46">
        <f>SUMIFS('07导出'!$H$2:$H$1860,'07导出'!$A$2:$A$1860,A81,'07导出'!$D$2:$D$1860,"21305")</f>
        <v>0</v>
      </c>
      <c r="AM81" s="46">
        <f>SUMIFS('07导出'!$G$2:$G$1860,'07导出'!$A$2:$A$1860,A81,'07导出'!$C$2:$C$1860,"221")</f>
        <v>9525933.6500000004</v>
      </c>
      <c r="AN81" s="46">
        <f>SUMIFS('07导出'!$H$2:$H$1860,'07导出'!$A$2:$A$1860,A81,'07导出'!$C$2:$C$1860,"221")</f>
        <v>9335934.6600000001</v>
      </c>
      <c r="AO81" s="46">
        <f>SUMIFS('07导出'!$G$2:$G$1860,'07导出'!$A$2:$A$1860,A81,'07导出'!$D$2:$D$1860,"22102")</f>
        <v>9525933.6500000004</v>
      </c>
      <c r="AP81" s="46">
        <f>SUMIFS('07导出'!$H$2:$H$1860,'07导出'!$A$2:$A$1860,A81,'07导出'!$D$2:$D$1860,"22102")</f>
        <v>9335934.6600000001</v>
      </c>
    </row>
    <row r="82" spans="1:42">
      <c r="A82" s="43">
        <v>255100</v>
      </c>
      <c r="B82" s="44" t="s">
        <v>81</v>
      </c>
      <c r="C82" s="45">
        <f>SUMIFS('07导出'!$G$2:$G$1860,'07导出'!$A$2:$A$1860,A82,'07导出'!$C$2:$C$1860,"205")</f>
        <v>17392776.489999998</v>
      </c>
      <c r="D82" s="45">
        <f>SUMIFS('07导出'!$H$2:$H$1860,'07导出'!$A$2:$A$1860,A82,'07导出'!$C$2:$C$1860,"205")</f>
        <v>16098860.789999999</v>
      </c>
      <c r="E82" s="46">
        <f>SUMIFS('07导出'!$G$2:$G$1860,'07导出'!$A$2:$A$1860,A82,'07导出'!$D$2:$D$1860,"20502")</f>
        <v>17228254.489999998</v>
      </c>
      <c r="F82" s="46">
        <f>SUMIFS('07导出'!$H$2:$H$1860,'07导出'!$A$2:$A$1860,A82,'07导出'!$D$2:$D$1860,"20502")</f>
        <v>15904460.789999999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4522</v>
      </c>
      <c r="N82" s="46">
        <f>SUMIFS('07导出'!$H$2:$H$1860,'07导出'!$A$2:$A$1860,A82,'07导出'!$D$2:$D$1860,"20508")</f>
        <v>34400</v>
      </c>
      <c r="O82" s="46">
        <f>SUMIFS('07导出'!$G$2:$G$1860,'07导出'!$A$2:$A$1860,A82,'07导出'!$D$2:$D$1860,"20509")</f>
        <v>160000</v>
      </c>
      <c r="P82" s="46">
        <f>SUMIFS('07导出'!$H$2:$H$1860,'07导出'!$A$2:$A$1860,A82,'07导出'!$D$2:$D$1860,"20509")</f>
        <v>160000</v>
      </c>
      <c r="Q82" s="46">
        <f>SUMIFS('07导出'!$G$2:$G$1860,'07导出'!$A$2:$A$1860,A82,'07导出'!$C$2:$C$1860,"206")</f>
        <v>0</v>
      </c>
      <c r="R82" s="46">
        <f>SUMIFS('07导出'!$H$2:$H$1860,'07导出'!$A$2:$A$1860,A82,'07导出'!$C$2:$C$1860,"206")</f>
        <v>0</v>
      </c>
      <c r="S82" s="46">
        <f>SUMIFS('07导出'!$G$2:$G$1860,'07导出'!$A$2:$A$1860,A82,'07导出'!$D$2:$D$1860,"20607")</f>
        <v>0</v>
      </c>
      <c r="T82" s="46">
        <f>SUMIFS('07导出'!$H$2:$H$1860,'07导出'!$A$2:$A$1860,A82,'07导出'!$D$2:$D$1860,"20607")</f>
        <v>0</v>
      </c>
      <c r="U82" s="46">
        <f>SUMIFS('07导出'!$G$2:$G$1860,'07导出'!$A$2:$A$1860,A82,'07导出'!$C$2:$C$1860,"208")</f>
        <v>2830296.1799999997</v>
      </c>
      <c r="V82" s="46">
        <f>SUMIFS('07导出'!$H$2:$H$1860,'07导出'!$A$2:$A$1860,A82,'07导出'!$C$2:$C$1860,"208")</f>
        <v>2288281.2800000003</v>
      </c>
      <c r="W82" s="46">
        <f>SUMIFS('07导出'!$G$2:$G$1860,'07导出'!$A$2:$A$1860,A82,'07导出'!$D$2:$D$1860,"20805")</f>
        <v>2830296.1799999997</v>
      </c>
      <c r="X82" s="46">
        <f>SUMIFS('07导出'!$H$2:$H$1860,'07导出'!$A$2:$A$1860,A82,'07导出'!$D$2:$D$1860,"20805")</f>
        <v>2288281.2800000003</v>
      </c>
      <c r="Y82" s="46">
        <f>SUMIFS('07导出'!$G$2:$G$1860,'07导出'!$A$2:$A$1860,A82,'07导出'!$D$2:$D$1860,"20808")</f>
        <v>0</v>
      </c>
      <c r="Z82" s="46">
        <f>SUMIFS('07导出'!$H$2:$H$1860,'07导出'!$A$2:$A$1860,A82,'07导出'!$D$2:$D$1860,"20808")</f>
        <v>0</v>
      </c>
      <c r="AA82" s="46">
        <f>SUMIFS('07导出'!$G$2:$G$1860,'07导出'!$A$2:$A$1860,A82,'07导出'!$C$2:$C$1860,"210")</f>
        <v>968326.62</v>
      </c>
      <c r="AB82" s="46">
        <f>SUMIFS('07导出'!$H$2:$H$1860,'07导出'!$A$2:$A$1860,A82,'07导出'!$C$2:$C$1860,"210")</f>
        <v>880577.36</v>
      </c>
      <c r="AC82" s="46">
        <f>SUMIFS('07导出'!$G$2:$G$1860,'07导出'!$A$2:$A$1860,A82,'07导出'!$D$2:$D$1860,"21011")</f>
        <v>968326.62</v>
      </c>
      <c r="AD82" s="46">
        <f>SUMIFS('07导出'!$H$2:$H$1860,'07导出'!$A$2:$A$1860,A82,'07导出'!$D$2:$D$1860,"21011")</f>
        <v>880577.36</v>
      </c>
      <c r="AE82" s="46">
        <f>SUMIFS('07导出'!$G$2:$G$1860,'07导出'!$A$2:$A$1860,A82,'07导出'!$C$2:$C$1860,"212")</f>
        <v>0</v>
      </c>
      <c r="AF82" s="46">
        <f>SUMIFS('07导出'!$H$2:$H$1860,'07导出'!$A$2:$A$1860,A82,'07导出'!$C$2:$C$1860,"212")</f>
        <v>0</v>
      </c>
      <c r="AG82" s="46">
        <f>SUMIFS('07导出'!$G$2:$G$1860,'07导出'!$A$2:$A$1860,A82,'07导出'!$D$2:$D$1860,"21203")</f>
        <v>0</v>
      </c>
      <c r="AH82" s="46">
        <f>SUMIFS('07导出'!$H$2:$H$1860,'07导出'!$A$2:$A$1860,A82,'07导出'!$D$2:$D$1860,"21203")</f>
        <v>0</v>
      </c>
      <c r="AI82" s="46">
        <f>SUMIFS('07导出'!$G$2:$G$1860,'07导出'!$A$2:$A$1860,A82,'07导出'!$C$2:$C$1860,"213")</f>
        <v>0</v>
      </c>
      <c r="AJ82" s="46">
        <f>SUMIFS('07导出'!$H$2:$H$1860,'07导出'!$A$2:$A$1860,A82,'07导出'!$C$2:$C$1860,"213")</f>
        <v>0</v>
      </c>
      <c r="AK82" s="46">
        <f>SUMIFS('07导出'!$G$2:$G$1860,'07导出'!$A$2:$A$1860,A82,'07导出'!$D$2:$D$1860,"21305")</f>
        <v>0</v>
      </c>
      <c r="AL82" s="46">
        <f>SUMIFS('07导出'!$H$2:$H$1860,'07导出'!$A$2:$A$1860,A82,'07导出'!$D$2:$D$1860,"21305")</f>
        <v>0</v>
      </c>
      <c r="AM82" s="46">
        <f>SUMIFS('07导出'!$G$2:$G$1860,'07导出'!$A$2:$A$1860,A82,'07导出'!$C$2:$C$1860,"221")</f>
        <v>2273260</v>
      </c>
      <c r="AN82" s="46">
        <f>SUMIFS('07导出'!$H$2:$H$1860,'07导出'!$A$2:$A$1860,A82,'07导出'!$C$2:$C$1860,"221")</f>
        <v>2269904.6399999997</v>
      </c>
      <c r="AO82" s="46">
        <f>SUMIFS('07导出'!$G$2:$G$1860,'07导出'!$A$2:$A$1860,A82,'07导出'!$D$2:$D$1860,"22102")</f>
        <v>2273260</v>
      </c>
      <c r="AP82" s="46">
        <f>SUMIFS('07导出'!$H$2:$H$1860,'07导出'!$A$2:$A$1860,A82,'07导出'!$D$2:$D$1860,"22102")</f>
        <v>2269904.6399999997</v>
      </c>
    </row>
    <row r="83" spans="1:42">
      <c r="A83" s="43">
        <v>255101</v>
      </c>
      <c r="B83" s="44" t="s">
        <v>82</v>
      </c>
      <c r="C83" s="45">
        <f>SUMIFS('07导出'!$G$2:$G$1860,'07导出'!$A$2:$A$1860,A83,'07导出'!$C$2:$C$1860,"205")</f>
        <v>101845174.31</v>
      </c>
      <c r="D83" s="45">
        <f>SUMIFS('07导出'!$H$2:$H$1860,'07导出'!$A$2:$A$1860,A83,'07导出'!$C$2:$C$1860,"205")</f>
        <v>152775330.94999999</v>
      </c>
      <c r="E83" s="46">
        <f>SUMIFS('07导出'!$G$2:$G$1860,'07导出'!$A$2:$A$1860,A83,'07导出'!$D$2:$D$1860,"20502")</f>
        <v>22560573.370000001</v>
      </c>
      <c r="F83" s="46">
        <f>SUMIFS('07导出'!$H$2:$H$1860,'07导出'!$A$2:$A$1860,A83,'07导出'!$D$2:$D$1860,"20502")</f>
        <v>58274432.450000003</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2300</v>
      </c>
      <c r="N83" s="46">
        <f>SUMIFS('07导出'!$H$2:$H$1860,'07导出'!$A$2:$A$1860,A83,'07导出'!$D$2:$D$1860,"20508")</f>
        <v>16000</v>
      </c>
      <c r="O83" s="46">
        <f>SUMIFS('07导出'!$G$2:$G$1860,'07导出'!$A$2:$A$1860,A83,'07导出'!$D$2:$D$1860,"20509")</f>
        <v>79282300.939999998</v>
      </c>
      <c r="P83" s="46">
        <f>SUMIFS('07导出'!$H$2:$H$1860,'07导出'!$A$2:$A$1860,A83,'07导出'!$D$2:$D$1860,"20509")</f>
        <v>94484898.5</v>
      </c>
      <c r="Q83" s="46">
        <f>SUMIFS('07导出'!$G$2:$G$1860,'07导出'!$A$2:$A$1860,A83,'07导出'!$C$2:$C$1860,"206")</f>
        <v>0</v>
      </c>
      <c r="R83" s="46">
        <f>SUMIFS('07导出'!$H$2:$H$1860,'07导出'!$A$2:$A$1860,A83,'07导出'!$C$2:$C$1860,"206")</f>
        <v>0</v>
      </c>
      <c r="S83" s="46">
        <f>SUMIFS('07导出'!$G$2:$G$1860,'07导出'!$A$2:$A$1860,A83,'07导出'!$D$2:$D$1860,"20607")</f>
        <v>0</v>
      </c>
      <c r="T83" s="46">
        <f>SUMIFS('07导出'!$H$2:$H$1860,'07导出'!$A$2:$A$1860,A83,'07导出'!$D$2:$D$1860,"20607")</f>
        <v>0</v>
      </c>
      <c r="U83" s="46">
        <f>SUMIFS('07导出'!$G$2:$G$1860,'07导出'!$A$2:$A$1860,A83,'07导出'!$C$2:$C$1860,"208")</f>
        <v>973335.00999999989</v>
      </c>
      <c r="V83" s="46">
        <f>SUMIFS('07导出'!$H$2:$H$1860,'07导出'!$A$2:$A$1860,A83,'07导出'!$C$2:$C$1860,"208")</f>
        <v>732084.15999999992</v>
      </c>
      <c r="W83" s="46">
        <f>SUMIFS('07导出'!$G$2:$G$1860,'07导出'!$A$2:$A$1860,A83,'07导出'!$D$2:$D$1860,"20805")</f>
        <v>801377.00999999989</v>
      </c>
      <c r="X83" s="46">
        <f>SUMIFS('07导出'!$H$2:$H$1860,'07导出'!$A$2:$A$1860,A83,'07导出'!$D$2:$D$1860,"20805")</f>
        <v>732084.15999999992</v>
      </c>
      <c r="Y83" s="46">
        <f>SUMIFS('07导出'!$G$2:$G$1860,'07导出'!$A$2:$A$1860,A83,'07导出'!$D$2:$D$1860,"20808")</f>
        <v>171958</v>
      </c>
      <c r="Z83" s="46">
        <f>SUMIFS('07导出'!$H$2:$H$1860,'07导出'!$A$2:$A$1860,A83,'07导出'!$D$2:$D$1860,"20808")</f>
        <v>0</v>
      </c>
      <c r="AA83" s="46">
        <f>SUMIFS('07导出'!$G$2:$G$1860,'07导出'!$A$2:$A$1860,A83,'07导出'!$C$2:$C$1860,"210")</f>
        <v>375608.66</v>
      </c>
      <c r="AB83" s="46">
        <f>SUMIFS('07导出'!$H$2:$H$1860,'07导出'!$A$2:$A$1860,A83,'07导出'!$C$2:$C$1860,"210")</f>
        <v>330841.42</v>
      </c>
      <c r="AC83" s="46">
        <f>SUMIFS('07导出'!$G$2:$G$1860,'07导出'!$A$2:$A$1860,A83,'07导出'!$D$2:$D$1860,"21011")</f>
        <v>375608.66</v>
      </c>
      <c r="AD83" s="46">
        <f>SUMIFS('07导出'!$H$2:$H$1860,'07导出'!$A$2:$A$1860,A83,'07导出'!$D$2:$D$1860,"21011")</f>
        <v>330841.42</v>
      </c>
      <c r="AE83" s="46">
        <f>SUMIFS('07导出'!$G$2:$G$1860,'07导出'!$A$2:$A$1860,A83,'07导出'!$C$2:$C$1860,"212")</f>
        <v>0</v>
      </c>
      <c r="AF83" s="46">
        <f>SUMIFS('07导出'!$H$2:$H$1860,'07导出'!$A$2:$A$1860,A83,'07导出'!$C$2:$C$1860,"212")</f>
        <v>0</v>
      </c>
      <c r="AG83" s="46">
        <f>SUMIFS('07导出'!$G$2:$G$1860,'07导出'!$A$2:$A$1860,A83,'07导出'!$D$2:$D$1860,"21203")</f>
        <v>0</v>
      </c>
      <c r="AH83" s="46">
        <f>SUMIFS('07导出'!$H$2:$H$1860,'07导出'!$A$2:$A$1860,A83,'07导出'!$D$2:$D$1860,"21203")</f>
        <v>0</v>
      </c>
      <c r="AI83" s="46">
        <f>SUMIFS('07导出'!$G$2:$G$1860,'07导出'!$A$2:$A$1860,A83,'07导出'!$C$2:$C$1860,"213")</f>
        <v>0</v>
      </c>
      <c r="AJ83" s="46">
        <f>SUMIFS('07导出'!$H$2:$H$1860,'07导出'!$A$2:$A$1860,A83,'07导出'!$C$2:$C$1860,"213")</f>
        <v>0</v>
      </c>
      <c r="AK83" s="46">
        <f>SUMIFS('07导出'!$G$2:$G$1860,'07导出'!$A$2:$A$1860,A83,'07导出'!$D$2:$D$1860,"21305")</f>
        <v>0</v>
      </c>
      <c r="AL83" s="46">
        <f>SUMIFS('07导出'!$H$2:$H$1860,'07导出'!$A$2:$A$1860,A83,'07导出'!$D$2:$D$1860,"21305")</f>
        <v>0</v>
      </c>
      <c r="AM83" s="46">
        <f>SUMIFS('07导出'!$G$2:$G$1860,'07导出'!$A$2:$A$1860,A83,'07导出'!$C$2:$C$1860,"221")</f>
        <v>827360</v>
      </c>
      <c r="AN83" s="46">
        <f>SUMIFS('07导出'!$H$2:$H$1860,'07导出'!$A$2:$A$1860,A83,'07导出'!$C$2:$C$1860,"221")</f>
        <v>812008.08000000007</v>
      </c>
      <c r="AO83" s="46">
        <f>SUMIFS('07导出'!$G$2:$G$1860,'07导出'!$A$2:$A$1860,A83,'07导出'!$D$2:$D$1860,"22102")</f>
        <v>827360</v>
      </c>
      <c r="AP83" s="46">
        <f>SUMIFS('07导出'!$H$2:$H$1860,'07导出'!$A$2:$A$1860,A83,'07导出'!$D$2:$D$1860,"22102")</f>
        <v>812008.08000000007</v>
      </c>
    </row>
    <row r="84" spans="1:42">
      <c r="A84" s="43">
        <v>255102</v>
      </c>
      <c r="B84" s="44" t="s">
        <v>83</v>
      </c>
      <c r="C84" s="45">
        <f>SUMIFS('07导出'!$G$2:$G$1860,'07导出'!$A$2:$A$1860,A84,'07导出'!$C$2:$C$1860,"205")</f>
        <v>23003891.139999997</v>
      </c>
      <c r="D84" s="45">
        <f>SUMIFS('07导出'!$H$2:$H$1860,'07导出'!$A$2:$A$1860,A84,'07导出'!$C$2:$C$1860,"205")</f>
        <v>40163949.43</v>
      </c>
      <c r="E84" s="46">
        <f>SUMIFS('07导出'!$G$2:$G$1860,'07导出'!$A$2:$A$1860,A84,'07导出'!$D$2:$D$1860,"20502")</f>
        <v>4600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20570856.139999997</v>
      </c>
      <c r="N84" s="46">
        <f>SUMIFS('07导出'!$H$2:$H$1860,'07导出'!$A$2:$A$1860,A84,'07导出'!$D$2:$D$1860,"20508")</f>
        <v>37729609.43</v>
      </c>
      <c r="O84" s="46">
        <f>SUMIFS('07导出'!$G$2:$G$1860,'07导出'!$A$2:$A$1860,A84,'07导出'!$D$2:$D$1860,"20509")</f>
        <v>2428435</v>
      </c>
      <c r="P84" s="46">
        <f>SUMIFS('07导出'!$H$2:$H$1860,'07导出'!$A$2:$A$1860,A84,'07导出'!$D$2:$D$1860,"20509")</f>
        <v>2434340</v>
      </c>
      <c r="Q84" s="46">
        <f>SUMIFS('07导出'!$G$2:$G$1860,'07导出'!$A$2:$A$1860,A84,'07导出'!$C$2:$C$1860,"206")</f>
        <v>0</v>
      </c>
      <c r="R84" s="46">
        <f>SUMIFS('07导出'!$H$2:$H$1860,'07导出'!$A$2:$A$1860,A84,'07导出'!$C$2:$C$1860,"206")</f>
        <v>0</v>
      </c>
      <c r="S84" s="46">
        <f>SUMIFS('07导出'!$G$2:$G$1860,'07导出'!$A$2:$A$1860,A84,'07导出'!$D$2:$D$1860,"20607")</f>
        <v>0</v>
      </c>
      <c r="T84" s="46">
        <f>SUMIFS('07导出'!$H$2:$H$1860,'07导出'!$A$2:$A$1860,A84,'07导出'!$D$2:$D$1860,"20607")</f>
        <v>0</v>
      </c>
      <c r="U84" s="46">
        <f>SUMIFS('07导出'!$G$2:$G$1860,'07导出'!$A$2:$A$1860,A84,'07导出'!$C$2:$C$1860,"208")</f>
        <v>1904768.6400000001</v>
      </c>
      <c r="V84" s="46">
        <f>SUMIFS('07导出'!$H$2:$H$1860,'07导出'!$A$2:$A$1860,A84,'07导出'!$C$2:$C$1860,"208")</f>
        <v>1754341.44</v>
      </c>
      <c r="W84" s="46">
        <f>SUMIFS('07导出'!$G$2:$G$1860,'07导出'!$A$2:$A$1860,A84,'07导出'!$D$2:$D$1860,"20805")</f>
        <v>1904768.6400000001</v>
      </c>
      <c r="X84" s="46">
        <f>SUMIFS('07导出'!$H$2:$H$1860,'07导出'!$A$2:$A$1860,A84,'07导出'!$D$2:$D$1860,"20805")</f>
        <v>1754341.44</v>
      </c>
      <c r="Y84" s="46">
        <f>SUMIFS('07导出'!$G$2:$G$1860,'07导出'!$A$2:$A$1860,A84,'07导出'!$D$2:$D$1860,"20808")</f>
        <v>0</v>
      </c>
      <c r="Z84" s="46">
        <f>SUMIFS('07导出'!$H$2:$H$1860,'07导出'!$A$2:$A$1860,A84,'07导出'!$D$2:$D$1860,"20808")</f>
        <v>0</v>
      </c>
      <c r="AA84" s="46">
        <f>SUMIFS('07导出'!$G$2:$G$1860,'07导出'!$A$2:$A$1860,A84,'07导出'!$C$2:$C$1860,"210")</f>
        <v>1271479.8799999999</v>
      </c>
      <c r="AB84" s="46">
        <f>SUMIFS('07导出'!$H$2:$H$1860,'07导出'!$A$2:$A$1860,A84,'07导出'!$C$2:$C$1860,"210")</f>
        <v>950268.28</v>
      </c>
      <c r="AC84" s="46">
        <f>SUMIFS('07导出'!$G$2:$G$1860,'07导出'!$A$2:$A$1860,A84,'07导出'!$D$2:$D$1860,"21011")</f>
        <v>1271479.8799999999</v>
      </c>
      <c r="AD84" s="46">
        <f>SUMIFS('07导出'!$H$2:$H$1860,'07导出'!$A$2:$A$1860,A84,'07导出'!$D$2:$D$1860,"21011")</f>
        <v>950268.28</v>
      </c>
      <c r="AE84" s="46">
        <f>SUMIFS('07导出'!$G$2:$G$1860,'07导出'!$A$2:$A$1860,A84,'07导出'!$C$2:$C$1860,"212")</f>
        <v>0</v>
      </c>
      <c r="AF84" s="46">
        <f>SUMIFS('07导出'!$H$2:$H$1860,'07导出'!$A$2:$A$1860,A84,'07导出'!$C$2:$C$1860,"212")</f>
        <v>0</v>
      </c>
      <c r="AG84" s="46">
        <f>SUMIFS('07导出'!$G$2:$G$1860,'07导出'!$A$2:$A$1860,A84,'07导出'!$D$2:$D$1860,"21203")</f>
        <v>0</v>
      </c>
      <c r="AH84" s="46">
        <f>SUMIFS('07导出'!$H$2:$H$1860,'07导出'!$A$2:$A$1860,A84,'07导出'!$D$2:$D$1860,"21203")</f>
        <v>0</v>
      </c>
      <c r="AI84" s="46">
        <f>SUMIFS('07导出'!$G$2:$G$1860,'07导出'!$A$2:$A$1860,A84,'07导出'!$C$2:$C$1860,"213")</f>
        <v>0</v>
      </c>
      <c r="AJ84" s="46">
        <f>SUMIFS('07导出'!$H$2:$H$1860,'07导出'!$A$2:$A$1860,A84,'07导出'!$C$2:$C$1860,"213")</f>
        <v>0</v>
      </c>
      <c r="AK84" s="46">
        <f>SUMIFS('07导出'!$G$2:$G$1860,'07导出'!$A$2:$A$1860,A84,'07导出'!$D$2:$D$1860,"21305")</f>
        <v>0</v>
      </c>
      <c r="AL84" s="46">
        <f>SUMIFS('07导出'!$H$2:$H$1860,'07导出'!$A$2:$A$1860,A84,'07导出'!$D$2:$D$1860,"21305")</f>
        <v>0</v>
      </c>
      <c r="AM84" s="46">
        <f>SUMIFS('07导出'!$G$2:$G$1860,'07导出'!$A$2:$A$1860,A84,'07导出'!$C$2:$C$1860,"221")</f>
        <v>2566682</v>
      </c>
      <c r="AN84" s="46">
        <f>SUMIFS('07导出'!$H$2:$H$1860,'07导出'!$A$2:$A$1860,A84,'07导出'!$C$2:$C$1860,"221")</f>
        <v>2208162.7199999997</v>
      </c>
      <c r="AO84" s="46">
        <f>SUMIFS('07导出'!$G$2:$G$1860,'07导出'!$A$2:$A$1860,A84,'07导出'!$D$2:$D$1860,"22102")</f>
        <v>2566682</v>
      </c>
      <c r="AP84" s="46">
        <f>SUMIFS('07导出'!$H$2:$H$1860,'07导出'!$A$2:$A$1860,A84,'07导出'!$D$2:$D$1860,"22102")</f>
        <v>2208162.7199999997</v>
      </c>
    </row>
    <row r="85" spans="1:42">
      <c r="A85" s="43">
        <v>255103</v>
      </c>
      <c r="B85" s="44" t="s">
        <v>84</v>
      </c>
      <c r="C85" s="45">
        <f>SUMIFS('07导出'!$G$2:$G$1860,'07导出'!$A$2:$A$1860,A85,'07导出'!$C$2:$C$1860,"205")</f>
        <v>13469477.25</v>
      </c>
      <c r="D85" s="45">
        <f>SUMIFS('07导出'!$H$2:$H$1860,'07导出'!$A$2:$A$1860,A85,'07导出'!$C$2:$C$1860,"205")</f>
        <v>13129521.99</v>
      </c>
      <c r="E85" s="46">
        <f>SUMIFS('07导出'!$G$2:$G$1860,'07导出'!$A$2:$A$1860,A85,'07导出'!$D$2:$D$1860,"20502")</f>
        <v>12252413.460000001</v>
      </c>
      <c r="F85" s="46">
        <f>SUMIFS('07导出'!$H$2:$H$1860,'07导出'!$A$2:$A$1860,A85,'07导出'!$D$2:$D$1860,"20502")</f>
        <v>11876720.99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35200</v>
      </c>
      <c r="O85" s="46">
        <f>SUMIFS('07导出'!$G$2:$G$1860,'07导出'!$A$2:$A$1860,A85,'07导出'!$D$2:$D$1860,"20509")</f>
        <v>1217063.79</v>
      </c>
      <c r="P85" s="46">
        <f>SUMIFS('07导出'!$H$2:$H$1860,'07导出'!$A$2:$A$1860,A85,'07导出'!$D$2:$D$1860,"20509")</f>
        <v>1217601</v>
      </c>
      <c r="Q85" s="46">
        <f>SUMIFS('07导出'!$G$2:$G$1860,'07导出'!$A$2:$A$1860,A85,'07导出'!$C$2:$C$1860,"206")</f>
        <v>0</v>
      </c>
      <c r="R85" s="46">
        <f>SUMIFS('07导出'!$H$2:$H$1860,'07导出'!$A$2:$A$1860,A85,'07导出'!$C$2:$C$1860,"206")</f>
        <v>0</v>
      </c>
      <c r="S85" s="46">
        <f>SUMIFS('07导出'!$G$2:$G$1860,'07导出'!$A$2:$A$1860,A85,'07导出'!$D$2:$D$1860,"20607")</f>
        <v>0</v>
      </c>
      <c r="T85" s="46">
        <f>SUMIFS('07导出'!$H$2:$H$1860,'07导出'!$A$2:$A$1860,A85,'07导出'!$D$2:$D$1860,"20607")</f>
        <v>0</v>
      </c>
      <c r="U85" s="46">
        <f>SUMIFS('07导出'!$G$2:$G$1860,'07导出'!$A$2:$A$1860,A85,'07导出'!$C$2:$C$1860,"208")</f>
        <v>1854667.35</v>
      </c>
      <c r="V85" s="46">
        <f>SUMIFS('07导出'!$H$2:$H$1860,'07导出'!$A$2:$A$1860,A85,'07导出'!$C$2:$C$1860,"208")</f>
        <v>1936438.2400000002</v>
      </c>
      <c r="W85" s="46">
        <f>SUMIFS('07导出'!$G$2:$G$1860,'07导出'!$A$2:$A$1860,A85,'07导出'!$D$2:$D$1860,"20805")</f>
        <v>1854667.35</v>
      </c>
      <c r="X85" s="46">
        <f>SUMIFS('07导出'!$H$2:$H$1860,'07导出'!$A$2:$A$1860,A85,'07导出'!$D$2:$D$1860,"20805")</f>
        <v>1936438.2400000002</v>
      </c>
      <c r="Y85" s="46">
        <f>SUMIFS('07导出'!$G$2:$G$1860,'07导出'!$A$2:$A$1860,A85,'07导出'!$D$2:$D$1860,"20808")</f>
        <v>0</v>
      </c>
      <c r="Z85" s="46">
        <f>SUMIFS('07导出'!$H$2:$H$1860,'07导出'!$A$2:$A$1860,A85,'07导出'!$D$2:$D$1860,"20808")</f>
        <v>0</v>
      </c>
      <c r="AA85" s="46">
        <f>SUMIFS('07导出'!$G$2:$G$1860,'07导出'!$A$2:$A$1860,A85,'07导出'!$C$2:$C$1860,"210")</f>
        <v>822258.54</v>
      </c>
      <c r="AB85" s="46">
        <f>SUMIFS('07导出'!$H$2:$H$1860,'07导出'!$A$2:$A$1860,A85,'07导出'!$C$2:$C$1860,"210")</f>
        <v>842409.88</v>
      </c>
      <c r="AC85" s="46">
        <f>SUMIFS('07导出'!$G$2:$G$1860,'07导出'!$A$2:$A$1860,A85,'07导出'!$D$2:$D$1860,"21011")</f>
        <v>822258.54</v>
      </c>
      <c r="AD85" s="46">
        <f>SUMIFS('07导出'!$H$2:$H$1860,'07导出'!$A$2:$A$1860,A85,'07导出'!$D$2:$D$1860,"21011")</f>
        <v>842409.88</v>
      </c>
      <c r="AE85" s="46">
        <f>SUMIFS('07导出'!$G$2:$G$1860,'07导出'!$A$2:$A$1860,A85,'07导出'!$C$2:$C$1860,"212")</f>
        <v>0</v>
      </c>
      <c r="AF85" s="46">
        <f>SUMIFS('07导出'!$H$2:$H$1860,'07导出'!$A$2:$A$1860,A85,'07导出'!$C$2:$C$1860,"212")</f>
        <v>0</v>
      </c>
      <c r="AG85" s="46">
        <f>SUMIFS('07导出'!$G$2:$G$1860,'07导出'!$A$2:$A$1860,A85,'07导出'!$D$2:$D$1860,"21203")</f>
        <v>0</v>
      </c>
      <c r="AH85" s="46">
        <f>SUMIFS('07导出'!$H$2:$H$1860,'07导出'!$A$2:$A$1860,A85,'07导出'!$D$2:$D$1860,"21203")</f>
        <v>0</v>
      </c>
      <c r="AI85" s="46">
        <f>SUMIFS('07导出'!$G$2:$G$1860,'07导出'!$A$2:$A$1860,A85,'07导出'!$C$2:$C$1860,"213")</f>
        <v>0</v>
      </c>
      <c r="AJ85" s="46">
        <f>SUMIFS('07导出'!$H$2:$H$1860,'07导出'!$A$2:$A$1860,A85,'07导出'!$C$2:$C$1860,"213")</f>
        <v>0</v>
      </c>
      <c r="AK85" s="46">
        <f>SUMIFS('07导出'!$G$2:$G$1860,'07导出'!$A$2:$A$1860,A85,'07导出'!$D$2:$D$1860,"21305")</f>
        <v>0</v>
      </c>
      <c r="AL85" s="46">
        <f>SUMIFS('07导出'!$H$2:$H$1860,'07导出'!$A$2:$A$1860,A85,'07导出'!$D$2:$D$1860,"21305")</f>
        <v>0</v>
      </c>
      <c r="AM85" s="46">
        <f>SUMIFS('07导出'!$G$2:$G$1860,'07导出'!$A$2:$A$1860,A85,'07导出'!$C$2:$C$1860,"221")</f>
        <v>2251600</v>
      </c>
      <c r="AN85" s="46">
        <f>SUMIFS('07导出'!$H$2:$H$1860,'07导出'!$A$2:$A$1860,A85,'07导出'!$C$2:$C$1860,"221")</f>
        <v>2240985.12</v>
      </c>
      <c r="AO85" s="46">
        <f>SUMIFS('07导出'!$G$2:$G$1860,'07导出'!$A$2:$A$1860,A85,'07导出'!$D$2:$D$1860,"22102")</f>
        <v>2251600</v>
      </c>
      <c r="AP85" s="46">
        <f>SUMIFS('07导出'!$H$2:$H$1860,'07导出'!$A$2:$A$1860,A85,'07导出'!$D$2:$D$1860,"22102")</f>
        <v>2240985.12</v>
      </c>
    </row>
    <row r="86" spans="1:42">
      <c r="A86" s="43">
        <v>255106</v>
      </c>
      <c r="B86" s="44" t="s">
        <v>85</v>
      </c>
      <c r="C86" s="45">
        <f>SUMIFS('07导出'!$G$2:$G$1860,'07导出'!$A$2:$A$1860,A86,'07导出'!$C$2:$C$1860,"205")</f>
        <v>3911559.91</v>
      </c>
      <c r="D86" s="45">
        <f>SUMIFS('07导出'!$H$2:$H$1860,'07导出'!$A$2:$A$1860,A86,'07导出'!$C$2:$C$1860,"205")</f>
        <v>3848653.79</v>
      </c>
      <c r="E86" s="46">
        <f>SUMIFS('07导出'!$G$2:$G$1860,'07导出'!$A$2:$A$1860,A86,'07导出'!$D$2:$D$1860,"20502")</f>
        <v>3911509.91</v>
      </c>
      <c r="F86" s="46">
        <f>SUMIFS('07导出'!$H$2:$H$1860,'07导出'!$A$2:$A$1860,A86,'07导出'!$D$2:$D$1860,"20502")</f>
        <v>3835053.79</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50</v>
      </c>
      <c r="N86" s="46">
        <f>SUMIFS('07导出'!$H$2:$H$1860,'07导出'!$A$2:$A$1860,A86,'07导出'!$D$2:$D$1860,"20508")</f>
        <v>13600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SUMIFS('07导出'!$G$2:$G$1860,'07导出'!$A$2:$A$1860,A86,'07导出'!$D$2:$D$1860,"20607")</f>
        <v>0</v>
      </c>
      <c r="T86" s="46">
        <f>SUMIFS('07导出'!$H$2:$H$1860,'07导出'!$A$2:$A$1860,A86,'07导出'!$D$2:$D$1860,"20607")</f>
        <v>0</v>
      </c>
      <c r="U86" s="46">
        <f>SUMIFS('07导出'!$G$2:$G$1860,'07导出'!$A$2:$A$1860,A86,'07导出'!$C$2:$C$1860,"208")</f>
        <v>831037.22000000009</v>
      </c>
      <c r="V86" s="46">
        <f>SUMIFS('07导出'!$H$2:$H$1860,'07导出'!$A$2:$A$1860,A86,'07导出'!$C$2:$C$1860,"208")</f>
        <v>807401.76000000013</v>
      </c>
      <c r="W86" s="46">
        <f>SUMIFS('07导出'!$G$2:$G$1860,'07导出'!$A$2:$A$1860,A86,'07导出'!$D$2:$D$1860,"20805")</f>
        <v>831037.22000000009</v>
      </c>
      <c r="X86" s="46">
        <f>SUMIFS('07导出'!$H$2:$H$1860,'07导出'!$A$2:$A$1860,A86,'07导出'!$D$2:$D$1860,"20805")</f>
        <v>807401.76000000013</v>
      </c>
      <c r="Y86" s="46">
        <f>SUMIFS('07导出'!$G$2:$G$1860,'07导出'!$A$2:$A$1860,A86,'07导出'!$D$2:$D$1860,"20808")</f>
        <v>0</v>
      </c>
      <c r="Z86" s="46">
        <f>SUMIFS('07导出'!$H$2:$H$1860,'07导出'!$A$2:$A$1860,A86,'07导出'!$D$2:$D$1860,"20808")</f>
        <v>0</v>
      </c>
      <c r="AA86" s="46">
        <f>SUMIFS('07导出'!$G$2:$G$1860,'07导出'!$A$2:$A$1860,A86,'07导出'!$C$2:$C$1860,"210")</f>
        <v>333112.42</v>
      </c>
      <c r="AB86" s="46">
        <f>SUMIFS('07导出'!$H$2:$H$1860,'07导出'!$A$2:$A$1860,A86,'07导出'!$C$2:$C$1860,"210")</f>
        <v>315480.62</v>
      </c>
      <c r="AC86" s="46">
        <f>SUMIFS('07导出'!$G$2:$G$1860,'07导出'!$A$2:$A$1860,A86,'07导出'!$D$2:$D$1860,"21011")</f>
        <v>333112.42</v>
      </c>
      <c r="AD86" s="46">
        <f>SUMIFS('07导出'!$H$2:$H$1860,'07导出'!$A$2:$A$1860,A86,'07导出'!$D$2:$D$1860,"21011")</f>
        <v>315480.62</v>
      </c>
      <c r="AE86" s="46">
        <f>SUMIFS('07导出'!$G$2:$G$1860,'07导出'!$A$2:$A$1860,A86,'07导出'!$C$2:$C$1860,"212")</f>
        <v>0</v>
      </c>
      <c r="AF86" s="46">
        <f>SUMIFS('07导出'!$H$2:$H$1860,'07导出'!$A$2:$A$1860,A86,'07导出'!$C$2:$C$1860,"212")</f>
        <v>0</v>
      </c>
      <c r="AG86" s="46">
        <f>SUMIFS('07导出'!$G$2:$G$1860,'07导出'!$A$2:$A$1860,A86,'07导出'!$D$2:$D$1860,"21203")</f>
        <v>0</v>
      </c>
      <c r="AH86" s="46">
        <f>SUMIFS('07导出'!$H$2:$H$1860,'07导出'!$A$2:$A$1860,A86,'07导出'!$D$2:$D$1860,"21203")</f>
        <v>0</v>
      </c>
      <c r="AI86" s="46">
        <f>SUMIFS('07导出'!$G$2:$G$1860,'07导出'!$A$2:$A$1860,A86,'07导出'!$C$2:$C$1860,"213")</f>
        <v>0</v>
      </c>
      <c r="AJ86" s="46">
        <f>SUMIFS('07导出'!$H$2:$H$1860,'07导出'!$A$2:$A$1860,A86,'07导出'!$C$2:$C$1860,"213")</f>
        <v>0</v>
      </c>
      <c r="AK86" s="46">
        <f>SUMIFS('07导出'!$G$2:$G$1860,'07导出'!$A$2:$A$1860,A86,'07导出'!$D$2:$D$1860,"21305")</f>
        <v>0</v>
      </c>
      <c r="AL86" s="46">
        <f>SUMIFS('07导出'!$H$2:$H$1860,'07导出'!$A$2:$A$1860,A86,'07导出'!$D$2:$D$1860,"21305")</f>
        <v>0</v>
      </c>
      <c r="AM86" s="46">
        <f>SUMIFS('07导出'!$G$2:$G$1860,'07导出'!$A$2:$A$1860,A86,'07导出'!$C$2:$C$1860,"221")</f>
        <v>756864</v>
      </c>
      <c r="AN86" s="46">
        <f>SUMIFS('07导出'!$H$2:$H$1860,'07导出'!$A$2:$A$1860,A86,'07导出'!$C$2:$C$1860,"221")</f>
        <v>787196.88</v>
      </c>
      <c r="AO86" s="46">
        <f>SUMIFS('07导出'!$G$2:$G$1860,'07导出'!$A$2:$A$1860,A86,'07导出'!$D$2:$D$1860,"22102")</f>
        <v>756864</v>
      </c>
      <c r="AP86" s="46">
        <f>SUMIFS('07导出'!$H$2:$H$1860,'07导出'!$A$2:$A$1860,A86,'07导出'!$D$2:$D$1860,"22102")</f>
        <v>787196.88</v>
      </c>
    </row>
    <row r="87" spans="1:42">
      <c r="A87" s="43">
        <v>255108</v>
      </c>
      <c r="B87" s="44" t="s">
        <v>86</v>
      </c>
      <c r="C87" s="45">
        <f>SUMIFS('07导出'!$G$2:$G$1860,'07导出'!$A$2:$A$1860,A87,'07导出'!$C$2:$C$1860,"205")</f>
        <v>1988433.83</v>
      </c>
      <c r="D87" s="45">
        <f>SUMIFS('07导出'!$H$2:$H$1860,'07导出'!$A$2:$A$1860,A87,'07导出'!$C$2:$C$1860,"205")</f>
        <v>1643053.5</v>
      </c>
      <c r="E87" s="46">
        <f>SUMIFS('07导出'!$G$2:$G$1860,'07导出'!$A$2:$A$1860,A87,'07导出'!$D$2:$D$1860,"20502")</f>
        <v>1988433.83</v>
      </c>
      <c r="F87" s="46">
        <f>SUMIFS('07导出'!$H$2:$H$1860,'07导出'!$A$2:$A$1860,A87,'07导出'!$D$2:$D$1860,"20502")</f>
        <v>1636653.5</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6400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SUMIFS('07导出'!$G$2:$G$1860,'07导出'!$A$2:$A$1860,A87,'07导出'!$D$2:$D$1860,"20607")</f>
        <v>0</v>
      </c>
      <c r="T87" s="46">
        <f>SUMIFS('07导出'!$H$2:$H$1860,'07导出'!$A$2:$A$1860,A87,'07导出'!$D$2:$D$1860,"20607")</f>
        <v>0</v>
      </c>
      <c r="U87" s="46">
        <f>SUMIFS('07导出'!$G$2:$G$1860,'07导出'!$A$2:$A$1860,A87,'07导出'!$C$2:$C$1860,"208")</f>
        <v>243637.4</v>
      </c>
      <c r="V87" s="46">
        <f>SUMIFS('07导出'!$H$2:$H$1860,'07导出'!$A$2:$A$1860,A87,'07导出'!$C$2:$C$1860,"208")</f>
        <v>228151.16999999998</v>
      </c>
      <c r="W87" s="46">
        <f>SUMIFS('07导出'!$G$2:$G$1860,'07导出'!$A$2:$A$1860,A87,'07导出'!$D$2:$D$1860,"20805")</f>
        <v>243637.4</v>
      </c>
      <c r="X87" s="46">
        <f>SUMIFS('07导出'!$H$2:$H$1860,'07导出'!$A$2:$A$1860,A87,'07导出'!$D$2:$D$1860,"20805")</f>
        <v>228151.16999999998</v>
      </c>
      <c r="Y87" s="46">
        <f>SUMIFS('07导出'!$G$2:$G$1860,'07导出'!$A$2:$A$1860,A87,'07导出'!$D$2:$D$1860,"20808")</f>
        <v>0</v>
      </c>
      <c r="Z87" s="46">
        <f>SUMIFS('07导出'!$H$2:$H$1860,'07导出'!$A$2:$A$1860,A87,'07导出'!$D$2:$D$1860,"20808")</f>
        <v>0</v>
      </c>
      <c r="AA87" s="46">
        <f>SUMIFS('07导出'!$G$2:$G$1860,'07导出'!$A$2:$A$1860,A87,'07导出'!$C$2:$C$1860,"210")</f>
        <v>156041.98000000001</v>
      </c>
      <c r="AB87" s="46">
        <f>SUMIFS('07导出'!$H$2:$H$1860,'07导出'!$A$2:$A$1860,A87,'07导出'!$C$2:$C$1860,"210")</f>
        <v>123581.88</v>
      </c>
      <c r="AC87" s="46">
        <f>SUMIFS('07导出'!$G$2:$G$1860,'07导出'!$A$2:$A$1860,A87,'07导出'!$D$2:$D$1860,"21011")</f>
        <v>156041.98000000001</v>
      </c>
      <c r="AD87" s="46">
        <f>SUMIFS('07导出'!$H$2:$H$1860,'07导出'!$A$2:$A$1860,A87,'07导出'!$D$2:$D$1860,"21011")</f>
        <v>123581.88</v>
      </c>
      <c r="AE87" s="46">
        <f>SUMIFS('07导出'!$G$2:$G$1860,'07导出'!$A$2:$A$1860,A87,'07导出'!$C$2:$C$1860,"212")</f>
        <v>0</v>
      </c>
      <c r="AF87" s="46">
        <f>SUMIFS('07导出'!$H$2:$H$1860,'07导出'!$A$2:$A$1860,A87,'07导出'!$C$2:$C$1860,"212")</f>
        <v>0</v>
      </c>
      <c r="AG87" s="46">
        <f>SUMIFS('07导出'!$G$2:$G$1860,'07导出'!$A$2:$A$1860,A87,'07导出'!$D$2:$D$1860,"21203")</f>
        <v>0</v>
      </c>
      <c r="AH87" s="46">
        <f>SUMIFS('07导出'!$H$2:$H$1860,'07导出'!$A$2:$A$1860,A87,'07导出'!$D$2:$D$1860,"21203")</f>
        <v>0</v>
      </c>
      <c r="AI87" s="46">
        <f>SUMIFS('07导出'!$G$2:$G$1860,'07导出'!$A$2:$A$1860,A87,'07导出'!$C$2:$C$1860,"213")</f>
        <v>0</v>
      </c>
      <c r="AJ87" s="46">
        <f>SUMIFS('07导出'!$H$2:$H$1860,'07导出'!$A$2:$A$1860,A87,'07导出'!$C$2:$C$1860,"213")</f>
        <v>0</v>
      </c>
      <c r="AK87" s="46">
        <f>SUMIFS('07导出'!$G$2:$G$1860,'07导出'!$A$2:$A$1860,A87,'07导出'!$D$2:$D$1860,"21305")</f>
        <v>0</v>
      </c>
      <c r="AL87" s="46">
        <f>SUMIFS('07导出'!$H$2:$H$1860,'07导出'!$A$2:$A$1860,A87,'07导出'!$D$2:$D$1860,"21305")</f>
        <v>0</v>
      </c>
      <c r="AM87" s="46">
        <f>SUMIFS('07导出'!$G$2:$G$1860,'07导出'!$A$2:$A$1860,A87,'07导出'!$C$2:$C$1860,"221")</f>
        <v>359545</v>
      </c>
      <c r="AN87" s="46">
        <f>SUMIFS('07导出'!$H$2:$H$1860,'07导出'!$A$2:$A$1860,A87,'07导出'!$C$2:$C$1860,"221")</f>
        <v>324507.58999999997</v>
      </c>
      <c r="AO87" s="46">
        <f>SUMIFS('07导出'!$G$2:$G$1860,'07导出'!$A$2:$A$1860,A87,'07导出'!$D$2:$D$1860,"22102")</f>
        <v>359545</v>
      </c>
      <c r="AP87" s="46">
        <f>SUMIFS('07导出'!$H$2:$H$1860,'07导出'!$A$2:$A$1860,A87,'07导出'!$D$2:$D$1860,"22102")</f>
        <v>324507.58999999997</v>
      </c>
    </row>
    <row r="88" spans="1:42">
      <c r="A88" s="43">
        <v>255109</v>
      </c>
      <c r="B88" s="44" t="s">
        <v>87</v>
      </c>
      <c r="C88" s="45">
        <f>SUMIFS('07导出'!$G$2:$G$1860,'07导出'!$A$2:$A$1860,A88,'07导出'!$C$2:$C$1860,"205")</f>
        <v>45506251.189999998</v>
      </c>
      <c r="D88" s="45">
        <f>SUMIFS('07导出'!$H$2:$H$1860,'07导出'!$A$2:$A$1860,A88,'07导出'!$C$2:$C$1860,"205")</f>
        <v>45762426.840000004</v>
      </c>
      <c r="E88" s="46">
        <f>SUMIFS('07导出'!$G$2:$G$1860,'07导出'!$A$2:$A$1860,A88,'07导出'!$D$2:$D$1860,"20502")</f>
        <v>22138054.390000001</v>
      </c>
      <c r="F88" s="46">
        <f>SUMIFS('07导出'!$H$2:$H$1860,'07导出'!$A$2:$A$1860,A88,'07导出'!$D$2:$D$1860,"20502")</f>
        <v>22324307.84</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15200</v>
      </c>
      <c r="N88" s="46">
        <f>SUMIFS('07导出'!$H$2:$H$1860,'07导出'!$A$2:$A$1860,A88,'07导出'!$D$2:$D$1860,"20508")</f>
        <v>30400</v>
      </c>
      <c r="O88" s="46">
        <f>SUMIFS('07导出'!$G$2:$G$1860,'07导出'!$A$2:$A$1860,A88,'07导出'!$D$2:$D$1860,"20509")</f>
        <v>23352996.800000001</v>
      </c>
      <c r="P88" s="46">
        <f>SUMIFS('07导出'!$H$2:$H$1860,'07导出'!$A$2:$A$1860,A88,'07导出'!$D$2:$D$1860,"20509")</f>
        <v>23407719</v>
      </c>
      <c r="Q88" s="46">
        <f>SUMIFS('07导出'!$G$2:$G$1860,'07导出'!$A$2:$A$1860,A88,'07导出'!$C$2:$C$1860,"206")</f>
        <v>0</v>
      </c>
      <c r="R88" s="46">
        <f>SUMIFS('07导出'!$H$2:$H$1860,'07导出'!$A$2:$A$1860,A88,'07导出'!$C$2:$C$1860,"206")</f>
        <v>0</v>
      </c>
      <c r="S88" s="46">
        <f>SUMIFS('07导出'!$G$2:$G$1860,'07导出'!$A$2:$A$1860,A88,'07导出'!$D$2:$D$1860,"20607")</f>
        <v>0</v>
      </c>
      <c r="T88" s="46">
        <f>SUMIFS('07导出'!$H$2:$H$1860,'07导出'!$A$2:$A$1860,A88,'07导出'!$D$2:$D$1860,"20607")</f>
        <v>0</v>
      </c>
      <c r="U88" s="46">
        <f>SUMIFS('07导出'!$G$2:$G$1860,'07导出'!$A$2:$A$1860,A88,'07导出'!$C$2:$C$1860,"208")</f>
        <v>1950488.3199999998</v>
      </c>
      <c r="V88" s="46">
        <f>SUMIFS('07导出'!$H$2:$H$1860,'07导出'!$A$2:$A$1860,A88,'07导出'!$C$2:$C$1860,"208")</f>
        <v>1642539.2000000002</v>
      </c>
      <c r="W88" s="46">
        <f>SUMIFS('07导出'!$G$2:$G$1860,'07导出'!$A$2:$A$1860,A88,'07导出'!$D$2:$D$1860,"20805")</f>
        <v>1950488.3199999998</v>
      </c>
      <c r="X88" s="46">
        <f>SUMIFS('07导出'!$H$2:$H$1860,'07导出'!$A$2:$A$1860,A88,'07导出'!$D$2:$D$1860,"20805")</f>
        <v>1642539.2000000002</v>
      </c>
      <c r="Y88" s="46">
        <f>SUMIFS('07导出'!$G$2:$G$1860,'07导出'!$A$2:$A$1860,A88,'07导出'!$D$2:$D$1860,"20808")</f>
        <v>0</v>
      </c>
      <c r="Z88" s="46">
        <f>SUMIFS('07导出'!$H$2:$H$1860,'07导出'!$A$2:$A$1860,A88,'07导出'!$D$2:$D$1860,"20808")</f>
        <v>0</v>
      </c>
      <c r="AA88" s="46">
        <f>SUMIFS('07导出'!$G$2:$G$1860,'07导出'!$A$2:$A$1860,A88,'07导出'!$C$2:$C$1860,"210")</f>
        <v>883501.08</v>
      </c>
      <c r="AB88" s="46">
        <f>SUMIFS('07导出'!$H$2:$H$1860,'07导出'!$A$2:$A$1860,A88,'07导出'!$C$2:$C$1860,"210")</f>
        <v>715959.4</v>
      </c>
      <c r="AC88" s="46">
        <f>SUMIFS('07导出'!$G$2:$G$1860,'07导出'!$A$2:$A$1860,A88,'07导出'!$D$2:$D$1860,"21011")</f>
        <v>883501.08</v>
      </c>
      <c r="AD88" s="46">
        <f>SUMIFS('07导出'!$H$2:$H$1860,'07导出'!$A$2:$A$1860,A88,'07导出'!$D$2:$D$1860,"21011")</f>
        <v>715959.4</v>
      </c>
      <c r="AE88" s="46">
        <f>SUMIFS('07导出'!$G$2:$G$1860,'07导出'!$A$2:$A$1860,A88,'07导出'!$C$2:$C$1860,"212")</f>
        <v>0</v>
      </c>
      <c r="AF88" s="46">
        <f>SUMIFS('07导出'!$H$2:$H$1860,'07导出'!$A$2:$A$1860,A88,'07导出'!$C$2:$C$1860,"212")</f>
        <v>0</v>
      </c>
      <c r="AG88" s="46">
        <f>SUMIFS('07导出'!$G$2:$G$1860,'07导出'!$A$2:$A$1860,A88,'07导出'!$D$2:$D$1860,"21203")</f>
        <v>0</v>
      </c>
      <c r="AH88" s="46">
        <f>SUMIFS('07导出'!$H$2:$H$1860,'07导出'!$A$2:$A$1860,A88,'07导出'!$D$2:$D$1860,"21203")</f>
        <v>0</v>
      </c>
      <c r="AI88" s="46">
        <f>SUMIFS('07导出'!$G$2:$G$1860,'07导出'!$A$2:$A$1860,A88,'07导出'!$C$2:$C$1860,"213")</f>
        <v>0</v>
      </c>
      <c r="AJ88" s="46">
        <f>SUMIFS('07导出'!$H$2:$H$1860,'07导出'!$A$2:$A$1860,A88,'07导出'!$C$2:$C$1860,"213")</f>
        <v>0</v>
      </c>
      <c r="AK88" s="46">
        <f>SUMIFS('07导出'!$G$2:$G$1860,'07导出'!$A$2:$A$1860,A88,'07导出'!$D$2:$D$1860,"21305")</f>
        <v>0</v>
      </c>
      <c r="AL88" s="46">
        <f>SUMIFS('07导出'!$H$2:$H$1860,'07导出'!$A$2:$A$1860,A88,'07导出'!$D$2:$D$1860,"21305")</f>
        <v>0</v>
      </c>
      <c r="AM88" s="46">
        <f>SUMIFS('07导出'!$G$2:$G$1860,'07导出'!$A$2:$A$1860,A88,'07导出'!$C$2:$C$1860,"221")</f>
        <v>1988729</v>
      </c>
      <c r="AN88" s="46">
        <f>SUMIFS('07导出'!$H$2:$H$1860,'07导出'!$A$2:$A$1860,A88,'07导出'!$C$2:$C$1860,"221")</f>
        <v>1694061.6</v>
      </c>
      <c r="AO88" s="46">
        <f>SUMIFS('07导出'!$G$2:$G$1860,'07导出'!$A$2:$A$1860,A88,'07导出'!$D$2:$D$1860,"22102")</f>
        <v>1988729</v>
      </c>
      <c r="AP88" s="46">
        <f>SUMIFS('07导出'!$H$2:$H$1860,'07导出'!$A$2:$A$1860,A88,'07导出'!$D$2:$D$1860,"22102")</f>
        <v>1694061.6</v>
      </c>
    </row>
    <row r="89" spans="1:42">
      <c r="A89" s="43">
        <v>255110</v>
      </c>
      <c r="B89" s="44" t="s">
        <v>88</v>
      </c>
      <c r="C89" s="45">
        <f>SUMIFS('07导出'!$G$2:$G$1860,'07导出'!$A$2:$A$1860,A89,'07导出'!$C$2:$C$1860,"205")</f>
        <v>9914005.4399999995</v>
      </c>
      <c r="D89" s="45">
        <f>SUMIFS('07导出'!$H$2:$H$1860,'07导出'!$A$2:$A$1860,A89,'07导出'!$C$2:$C$1860,"205")</f>
        <v>9803744.7899999991</v>
      </c>
      <c r="E89" s="46">
        <f>SUMIFS('07导出'!$G$2:$G$1860,'07导出'!$A$2:$A$1860,A89,'07导出'!$D$2:$D$1860,"20502")</f>
        <v>9507305.4399999995</v>
      </c>
      <c r="F89" s="46">
        <f>SUMIFS('07导出'!$H$2:$H$1860,'07导出'!$A$2:$A$1860,A89,'07导出'!$D$2:$D$1860,"20502")</f>
        <v>9396794.7899999991</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0</v>
      </c>
      <c r="N89" s="46">
        <f>SUMIFS('07导出'!$H$2:$H$1860,'07导出'!$A$2:$A$1860,A89,'07导出'!$D$2:$D$1860,"20508")</f>
        <v>0</v>
      </c>
      <c r="O89" s="46">
        <f>SUMIFS('07导出'!$G$2:$G$1860,'07导出'!$A$2:$A$1860,A89,'07导出'!$D$2:$D$1860,"20509")</f>
        <v>406700</v>
      </c>
      <c r="P89" s="46">
        <f>SUMIFS('07导出'!$H$2:$H$1860,'07导出'!$A$2:$A$1860,A89,'07导出'!$D$2:$D$1860,"20509")</f>
        <v>406950</v>
      </c>
      <c r="Q89" s="46">
        <f>SUMIFS('07导出'!$G$2:$G$1860,'07导出'!$A$2:$A$1860,A89,'07导出'!$C$2:$C$1860,"206")</f>
        <v>0</v>
      </c>
      <c r="R89" s="46">
        <f>SUMIFS('07导出'!$H$2:$H$1860,'07导出'!$A$2:$A$1860,A89,'07导出'!$C$2:$C$1860,"206")</f>
        <v>0</v>
      </c>
      <c r="S89" s="46">
        <f>SUMIFS('07导出'!$G$2:$G$1860,'07导出'!$A$2:$A$1860,A89,'07导出'!$D$2:$D$1860,"20607")</f>
        <v>0</v>
      </c>
      <c r="T89" s="46">
        <f>SUMIFS('07导出'!$H$2:$H$1860,'07导出'!$A$2:$A$1860,A89,'07导出'!$D$2:$D$1860,"20607")</f>
        <v>0</v>
      </c>
      <c r="U89" s="46">
        <f>SUMIFS('07导出'!$G$2:$G$1860,'07导出'!$A$2:$A$1860,A89,'07导出'!$C$2:$C$1860,"208")</f>
        <v>1278850.72</v>
      </c>
      <c r="V89" s="46">
        <f>SUMIFS('07导出'!$H$2:$H$1860,'07导出'!$A$2:$A$1860,A89,'07导出'!$C$2:$C$1860,"208")</f>
        <v>1550490.9600000002</v>
      </c>
      <c r="W89" s="46">
        <f>SUMIFS('07导出'!$G$2:$G$1860,'07导出'!$A$2:$A$1860,A89,'07导出'!$D$2:$D$1860,"20805")</f>
        <v>1278850.72</v>
      </c>
      <c r="X89" s="46">
        <f>SUMIFS('07导出'!$H$2:$H$1860,'07导出'!$A$2:$A$1860,A89,'07导出'!$D$2:$D$1860,"20805")</f>
        <v>1550490.9600000002</v>
      </c>
      <c r="Y89" s="46">
        <f>SUMIFS('07导出'!$G$2:$G$1860,'07导出'!$A$2:$A$1860,A89,'07导出'!$D$2:$D$1860,"20808")</f>
        <v>0</v>
      </c>
      <c r="Z89" s="46">
        <f>SUMIFS('07导出'!$H$2:$H$1860,'07导出'!$A$2:$A$1860,A89,'07导出'!$D$2:$D$1860,"20808")</f>
        <v>0</v>
      </c>
      <c r="AA89" s="46">
        <f>SUMIFS('07导出'!$G$2:$G$1860,'07导出'!$A$2:$A$1860,A89,'07导出'!$C$2:$C$1860,"210")</f>
        <v>617968.73</v>
      </c>
      <c r="AB89" s="46">
        <f>SUMIFS('07导出'!$H$2:$H$1860,'07导出'!$A$2:$A$1860,A89,'07导出'!$C$2:$C$1860,"210")</f>
        <v>768450.02</v>
      </c>
      <c r="AC89" s="46">
        <f>SUMIFS('07导出'!$G$2:$G$1860,'07导出'!$A$2:$A$1860,A89,'07导出'!$D$2:$D$1860,"21011")</f>
        <v>617968.73</v>
      </c>
      <c r="AD89" s="46">
        <f>SUMIFS('07导出'!$H$2:$H$1860,'07导出'!$A$2:$A$1860,A89,'07导出'!$D$2:$D$1860,"21011")</f>
        <v>768450.02</v>
      </c>
      <c r="AE89" s="46">
        <f>SUMIFS('07导出'!$G$2:$G$1860,'07导出'!$A$2:$A$1860,A89,'07导出'!$C$2:$C$1860,"212")</f>
        <v>0</v>
      </c>
      <c r="AF89" s="46">
        <f>SUMIFS('07导出'!$H$2:$H$1860,'07导出'!$A$2:$A$1860,A89,'07导出'!$C$2:$C$1860,"212")</f>
        <v>0</v>
      </c>
      <c r="AG89" s="46">
        <f>SUMIFS('07导出'!$G$2:$G$1860,'07导出'!$A$2:$A$1860,A89,'07导出'!$D$2:$D$1860,"21203")</f>
        <v>0</v>
      </c>
      <c r="AH89" s="46">
        <f>SUMIFS('07导出'!$H$2:$H$1860,'07导出'!$A$2:$A$1860,A89,'07导出'!$D$2:$D$1860,"21203")</f>
        <v>0</v>
      </c>
      <c r="AI89" s="46">
        <f>SUMIFS('07导出'!$G$2:$G$1860,'07导出'!$A$2:$A$1860,A89,'07导出'!$C$2:$C$1860,"213")</f>
        <v>0</v>
      </c>
      <c r="AJ89" s="46">
        <f>SUMIFS('07导出'!$H$2:$H$1860,'07导出'!$A$2:$A$1860,A89,'07导出'!$C$2:$C$1860,"213")</f>
        <v>0</v>
      </c>
      <c r="AK89" s="46">
        <f>SUMIFS('07导出'!$G$2:$G$1860,'07导出'!$A$2:$A$1860,A89,'07导出'!$D$2:$D$1860,"21305")</f>
        <v>0</v>
      </c>
      <c r="AL89" s="46">
        <f>SUMIFS('07导出'!$H$2:$H$1860,'07导出'!$A$2:$A$1860,A89,'07导出'!$D$2:$D$1860,"21305")</f>
        <v>0</v>
      </c>
      <c r="AM89" s="46">
        <f>SUMIFS('07导出'!$G$2:$G$1860,'07导出'!$A$2:$A$1860,A89,'07导出'!$C$2:$C$1860,"221")</f>
        <v>1924988</v>
      </c>
      <c r="AN89" s="46">
        <f>SUMIFS('07导出'!$H$2:$H$1860,'07导出'!$A$2:$A$1860,A89,'07导出'!$C$2:$C$1860,"221")</f>
        <v>1843194.48</v>
      </c>
      <c r="AO89" s="46">
        <f>SUMIFS('07导出'!$G$2:$G$1860,'07导出'!$A$2:$A$1860,A89,'07导出'!$D$2:$D$1860,"22102")</f>
        <v>1924988</v>
      </c>
      <c r="AP89" s="46">
        <f>SUMIFS('07导出'!$H$2:$H$1860,'07导出'!$A$2:$A$1860,A89,'07导出'!$D$2:$D$1860,"22102")</f>
        <v>1843194.48</v>
      </c>
    </row>
    <row r="90" spans="1:42">
      <c r="A90" s="43">
        <v>255111</v>
      </c>
      <c r="B90" s="44" t="s">
        <v>89</v>
      </c>
      <c r="C90" s="45">
        <f>SUMIFS('07导出'!$G$2:$G$1860,'07导出'!$A$2:$A$1860,A90,'07导出'!$C$2:$C$1860,"205")</f>
        <v>18768669.780000001</v>
      </c>
      <c r="D90" s="45">
        <f>SUMIFS('07导出'!$H$2:$H$1860,'07导出'!$A$2:$A$1860,A90,'07导出'!$C$2:$C$1860,"205")</f>
        <v>17200593.149999999</v>
      </c>
      <c r="E90" s="46">
        <f>SUMIFS('07导出'!$G$2:$G$1860,'07导出'!$A$2:$A$1860,A90,'07导出'!$D$2:$D$1860,"20502")</f>
        <v>18504533.780000001</v>
      </c>
      <c r="F90" s="46">
        <f>SUMIFS('07导出'!$H$2:$H$1860,'07导出'!$A$2:$A$1860,A90,'07导出'!$D$2:$D$1860,"20502")</f>
        <v>16885657.149999999</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400</v>
      </c>
      <c r="N90" s="46">
        <f>SUMIFS('07导出'!$H$2:$H$1860,'07导出'!$A$2:$A$1860,A90,'07导出'!$D$2:$D$1860,"20508")</f>
        <v>51200</v>
      </c>
      <c r="O90" s="46">
        <f>SUMIFS('07导出'!$G$2:$G$1860,'07导出'!$A$2:$A$1860,A90,'07导出'!$D$2:$D$1860,"20509")</f>
        <v>263736</v>
      </c>
      <c r="P90" s="46">
        <f>SUMIFS('07导出'!$H$2:$H$1860,'07导出'!$A$2:$A$1860,A90,'07导出'!$D$2:$D$1860,"20509")</f>
        <v>263736</v>
      </c>
      <c r="Q90" s="46">
        <f>SUMIFS('07导出'!$G$2:$G$1860,'07导出'!$A$2:$A$1860,A90,'07导出'!$C$2:$C$1860,"206")</f>
        <v>0</v>
      </c>
      <c r="R90" s="46">
        <f>SUMIFS('07导出'!$H$2:$H$1860,'07导出'!$A$2:$A$1860,A90,'07导出'!$C$2:$C$1860,"206")</f>
        <v>0</v>
      </c>
      <c r="S90" s="46">
        <f>SUMIFS('07导出'!$G$2:$G$1860,'07导出'!$A$2:$A$1860,A90,'07导出'!$D$2:$D$1860,"20607")</f>
        <v>0</v>
      </c>
      <c r="T90" s="46">
        <f>SUMIFS('07导出'!$H$2:$H$1860,'07导出'!$A$2:$A$1860,A90,'07导出'!$D$2:$D$1860,"20607")</f>
        <v>0</v>
      </c>
      <c r="U90" s="46">
        <f>SUMIFS('07导出'!$G$2:$G$1860,'07导出'!$A$2:$A$1860,A90,'07导出'!$C$2:$C$1860,"208")</f>
        <v>2560384.3200000003</v>
      </c>
      <c r="V90" s="46">
        <f>SUMIFS('07导出'!$H$2:$H$1860,'07导出'!$A$2:$A$1860,A90,'07导出'!$C$2:$C$1860,"208")</f>
        <v>2629795.92</v>
      </c>
      <c r="W90" s="46">
        <f>SUMIFS('07导出'!$G$2:$G$1860,'07导出'!$A$2:$A$1860,A90,'07导出'!$D$2:$D$1860,"20805")</f>
        <v>2560384.3200000003</v>
      </c>
      <c r="X90" s="46">
        <f>SUMIFS('07导出'!$H$2:$H$1860,'07导出'!$A$2:$A$1860,A90,'07导出'!$D$2:$D$1860,"20805")</f>
        <v>2629795.92</v>
      </c>
      <c r="Y90" s="46">
        <f>SUMIFS('07导出'!$G$2:$G$1860,'07导出'!$A$2:$A$1860,A90,'07导出'!$D$2:$D$1860,"20808")</f>
        <v>0</v>
      </c>
      <c r="Z90" s="46">
        <f>SUMIFS('07导出'!$H$2:$H$1860,'07导出'!$A$2:$A$1860,A90,'07导出'!$D$2:$D$1860,"20808")</f>
        <v>0</v>
      </c>
      <c r="AA90" s="46">
        <f>SUMIFS('07导出'!$G$2:$G$1860,'07导出'!$A$2:$A$1860,A90,'07导出'!$C$2:$C$1860,"210")</f>
        <v>1097482.8999999999</v>
      </c>
      <c r="AB90" s="46">
        <f>SUMIFS('07导出'!$H$2:$H$1860,'07导出'!$A$2:$A$1860,A90,'07导出'!$C$2:$C$1860,"210")</f>
        <v>1035857.29</v>
      </c>
      <c r="AC90" s="46">
        <f>SUMIFS('07导出'!$G$2:$G$1860,'07导出'!$A$2:$A$1860,A90,'07导出'!$D$2:$D$1860,"21011")</f>
        <v>1097482.8999999999</v>
      </c>
      <c r="AD90" s="46">
        <f>SUMIFS('07导出'!$H$2:$H$1860,'07导出'!$A$2:$A$1860,A90,'07导出'!$D$2:$D$1860,"21011")</f>
        <v>1035857.29</v>
      </c>
      <c r="AE90" s="46">
        <f>SUMIFS('07导出'!$G$2:$G$1860,'07导出'!$A$2:$A$1860,A90,'07导出'!$C$2:$C$1860,"212")</f>
        <v>0</v>
      </c>
      <c r="AF90" s="46">
        <f>SUMIFS('07导出'!$H$2:$H$1860,'07导出'!$A$2:$A$1860,A90,'07导出'!$C$2:$C$1860,"212")</f>
        <v>0</v>
      </c>
      <c r="AG90" s="46">
        <f>SUMIFS('07导出'!$G$2:$G$1860,'07导出'!$A$2:$A$1860,A90,'07导出'!$D$2:$D$1860,"21203")</f>
        <v>0</v>
      </c>
      <c r="AH90" s="46">
        <f>SUMIFS('07导出'!$H$2:$H$1860,'07导出'!$A$2:$A$1860,A90,'07导出'!$D$2:$D$1860,"21203")</f>
        <v>0</v>
      </c>
      <c r="AI90" s="46">
        <f>SUMIFS('07导出'!$G$2:$G$1860,'07导出'!$A$2:$A$1860,A90,'07导出'!$C$2:$C$1860,"213")</f>
        <v>0</v>
      </c>
      <c r="AJ90" s="46">
        <f>SUMIFS('07导出'!$H$2:$H$1860,'07导出'!$A$2:$A$1860,A90,'07导出'!$C$2:$C$1860,"213")</f>
        <v>0</v>
      </c>
      <c r="AK90" s="46">
        <f>SUMIFS('07导出'!$G$2:$G$1860,'07导出'!$A$2:$A$1860,A90,'07导出'!$D$2:$D$1860,"21305")</f>
        <v>0</v>
      </c>
      <c r="AL90" s="46">
        <f>SUMIFS('07导出'!$H$2:$H$1860,'07导出'!$A$2:$A$1860,A90,'07导出'!$D$2:$D$1860,"21305")</f>
        <v>0</v>
      </c>
      <c r="AM90" s="46">
        <f>SUMIFS('07导出'!$G$2:$G$1860,'07导出'!$A$2:$A$1860,A90,'07导出'!$C$2:$C$1860,"221")</f>
        <v>2912380</v>
      </c>
      <c r="AN90" s="46">
        <f>SUMIFS('07导出'!$H$2:$H$1860,'07导出'!$A$2:$A$1860,A90,'07导出'!$C$2:$C$1860,"221")</f>
        <v>2911659.96</v>
      </c>
      <c r="AO90" s="46">
        <f>SUMIFS('07导出'!$G$2:$G$1860,'07导出'!$A$2:$A$1860,A90,'07导出'!$D$2:$D$1860,"22102")</f>
        <v>2912380</v>
      </c>
      <c r="AP90" s="46">
        <f>SUMIFS('07导出'!$H$2:$H$1860,'07导出'!$A$2:$A$1860,A90,'07导出'!$D$2:$D$1860,"22102")</f>
        <v>2911659.96</v>
      </c>
    </row>
    <row r="91" spans="1:42">
      <c r="A91" s="43">
        <v>255112</v>
      </c>
      <c r="B91" s="44" t="s">
        <v>90</v>
      </c>
      <c r="C91" s="45">
        <f>SUMIFS('07导出'!$G$2:$G$1860,'07导出'!$A$2:$A$1860,A91,'07导出'!$C$2:$C$1860,"205")</f>
        <v>106870690.78</v>
      </c>
      <c r="D91" s="45">
        <f>SUMIFS('07导出'!$H$2:$H$1860,'07导出'!$A$2:$A$1860,A91,'07导出'!$C$2:$C$1860,"205")</f>
        <v>74845016.620000005</v>
      </c>
      <c r="E91" s="46">
        <f>SUMIFS('07导出'!$G$2:$G$1860,'07导出'!$A$2:$A$1860,A91,'07导出'!$D$2:$D$1860,"20502")</f>
        <v>101742415.08</v>
      </c>
      <c r="F91" s="46">
        <f>SUMIFS('07导出'!$H$2:$H$1860,'07导出'!$A$2:$A$1860,A91,'07导出'!$D$2:$D$1860,"20502")</f>
        <v>69581656.620000005</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107200</v>
      </c>
      <c r="N91" s="46">
        <f>SUMIFS('07导出'!$H$2:$H$1860,'07导出'!$A$2:$A$1860,A91,'07导出'!$D$2:$D$1860,"20508")</f>
        <v>214400</v>
      </c>
      <c r="O91" s="46">
        <f>SUMIFS('07导出'!$G$2:$G$1860,'07导出'!$A$2:$A$1860,A91,'07导出'!$D$2:$D$1860,"20509")</f>
        <v>5021075.7</v>
      </c>
      <c r="P91" s="46">
        <f>SUMIFS('07导出'!$H$2:$H$1860,'07导出'!$A$2:$A$1860,A91,'07导出'!$D$2:$D$1860,"20509")</f>
        <v>5048960</v>
      </c>
      <c r="Q91" s="46">
        <f>SUMIFS('07导出'!$G$2:$G$1860,'07导出'!$A$2:$A$1860,A91,'07导出'!$C$2:$C$1860,"206")</f>
        <v>0</v>
      </c>
      <c r="R91" s="46">
        <f>SUMIFS('07导出'!$H$2:$H$1860,'07导出'!$A$2:$A$1860,A91,'07导出'!$C$2:$C$1860,"206")</f>
        <v>0</v>
      </c>
      <c r="S91" s="46">
        <f>SUMIFS('07导出'!$G$2:$G$1860,'07导出'!$A$2:$A$1860,A91,'07导出'!$D$2:$D$1860,"20607")</f>
        <v>0</v>
      </c>
      <c r="T91" s="46">
        <f>SUMIFS('07导出'!$H$2:$H$1860,'07导出'!$A$2:$A$1860,A91,'07导出'!$D$2:$D$1860,"20607")</f>
        <v>0</v>
      </c>
      <c r="U91" s="46">
        <f>SUMIFS('07导出'!$G$2:$G$1860,'07导出'!$A$2:$A$1860,A91,'07导出'!$C$2:$C$1860,"208")</f>
        <v>9122449.3099999987</v>
      </c>
      <c r="V91" s="46">
        <f>SUMIFS('07导出'!$H$2:$H$1860,'07导出'!$A$2:$A$1860,A91,'07导出'!$C$2:$C$1860,"208")</f>
        <v>9757510.0800000001</v>
      </c>
      <c r="W91" s="46">
        <f>SUMIFS('07导出'!$G$2:$G$1860,'07导出'!$A$2:$A$1860,A91,'07导出'!$D$2:$D$1860,"20805")</f>
        <v>9122449.3099999987</v>
      </c>
      <c r="X91" s="46">
        <f>SUMIFS('07导出'!$H$2:$H$1860,'07导出'!$A$2:$A$1860,A91,'07导出'!$D$2:$D$1860,"20805")</f>
        <v>9757510.0800000001</v>
      </c>
      <c r="Y91" s="46">
        <f>SUMIFS('07导出'!$G$2:$G$1860,'07导出'!$A$2:$A$1860,A91,'07导出'!$D$2:$D$1860,"20808")</f>
        <v>0</v>
      </c>
      <c r="Z91" s="46">
        <f>SUMIFS('07导出'!$H$2:$H$1860,'07导出'!$A$2:$A$1860,A91,'07导出'!$D$2:$D$1860,"20808")</f>
        <v>0</v>
      </c>
      <c r="AA91" s="46">
        <f>SUMIFS('07导出'!$G$2:$G$1860,'07导出'!$A$2:$A$1860,A91,'07导出'!$C$2:$C$1860,"210")</f>
        <v>5482356.9699999997</v>
      </c>
      <c r="AB91" s="46">
        <f>SUMIFS('07导出'!$H$2:$H$1860,'07导出'!$A$2:$A$1860,A91,'07导出'!$C$2:$C$1860,"210")</f>
        <v>4929871.96</v>
      </c>
      <c r="AC91" s="46">
        <f>SUMIFS('07导出'!$G$2:$G$1860,'07导出'!$A$2:$A$1860,A91,'07导出'!$D$2:$D$1860,"21011")</f>
        <v>5482356.9699999997</v>
      </c>
      <c r="AD91" s="46">
        <f>SUMIFS('07导出'!$H$2:$H$1860,'07导出'!$A$2:$A$1860,A91,'07导出'!$D$2:$D$1860,"21011")</f>
        <v>4929871.96</v>
      </c>
      <c r="AE91" s="46">
        <f>SUMIFS('07导出'!$G$2:$G$1860,'07导出'!$A$2:$A$1860,A91,'07导出'!$C$2:$C$1860,"212")</f>
        <v>0</v>
      </c>
      <c r="AF91" s="46">
        <f>SUMIFS('07导出'!$H$2:$H$1860,'07导出'!$A$2:$A$1860,A91,'07导出'!$C$2:$C$1860,"212")</f>
        <v>0</v>
      </c>
      <c r="AG91" s="46">
        <f>SUMIFS('07导出'!$G$2:$G$1860,'07导出'!$A$2:$A$1860,A91,'07导出'!$D$2:$D$1860,"21203")</f>
        <v>0</v>
      </c>
      <c r="AH91" s="46">
        <f>SUMIFS('07导出'!$H$2:$H$1860,'07导出'!$A$2:$A$1860,A91,'07导出'!$D$2:$D$1860,"21203")</f>
        <v>0</v>
      </c>
      <c r="AI91" s="46">
        <f>SUMIFS('07导出'!$G$2:$G$1860,'07导出'!$A$2:$A$1860,A91,'07导出'!$C$2:$C$1860,"213")</f>
        <v>0</v>
      </c>
      <c r="AJ91" s="46">
        <f>SUMIFS('07导出'!$H$2:$H$1860,'07导出'!$A$2:$A$1860,A91,'07导出'!$C$2:$C$1860,"213")</f>
        <v>0</v>
      </c>
      <c r="AK91" s="46">
        <f>SUMIFS('07导出'!$G$2:$G$1860,'07导出'!$A$2:$A$1860,A91,'07导出'!$D$2:$D$1860,"21305")</f>
        <v>0</v>
      </c>
      <c r="AL91" s="46">
        <f>SUMIFS('07导出'!$H$2:$H$1860,'07导出'!$A$2:$A$1860,A91,'07导出'!$D$2:$D$1860,"21305")</f>
        <v>0</v>
      </c>
      <c r="AM91" s="46">
        <f>SUMIFS('07导出'!$G$2:$G$1860,'07导出'!$A$2:$A$1860,A91,'07导出'!$C$2:$C$1860,"221")</f>
        <v>14006382</v>
      </c>
      <c r="AN91" s="46">
        <f>SUMIFS('07导出'!$H$2:$H$1860,'07导出'!$A$2:$A$1860,A91,'07导出'!$C$2:$C$1860,"221")</f>
        <v>13462331.039999999</v>
      </c>
      <c r="AO91" s="46">
        <f>SUMIFS('07导出'!$G$2:$G$1860,'07导出'!$A$2:$A$1860,A91,'07导出'!$D$2:$D$1860,"22102")</f>
        <v>14006382</v>
      </c>
      <c r="AP91" s="46">
        <f>SUMIFS('07导出'!$H$2:$H$1860,'07导出'!$A$2:$A$1860,A91,'07导出'!$D$2:$D$1860,"22102")</f>
        <v>13462331.039999999</v>
      </c>
    </row>
    <row r="92" spans="1:42">
      <c r="A92" s="43">
        <v>255113</v>
      </c>
      <c r="B92" s="44" t="s">
        <v>91</v>
      </c>
      <c r="C92" s="45">
        <f>SUMIFS('07导出'!$G$2:$G$1860,'07导出'!$A$2:$A$1860,A92,'07导出'!$C$2:$C$1860,"205")</f>
        <v>6246264.9100000001</v>
      </c>
      <c r="D92" s="45">
        <f>SUMIFS('07导出'!$H$2:$H$1860,'07导出'!$A$2:$A$1860,A92,'07导出'!$C$2:$C$1860,"205")</f>
        <v>4595995.51</v>
      </c>
      <c r="E92" s="46">
        <f>SUMIFS('07导出'!$G$2:$G$1860,'07导出'!$A$2:$A$1860,A92,'07导出'!$D$2:$D$1860,"20502")</f>
        <v>6246264.9100000001</v>
      </c>
      <c r="F92" s="46">
        <f>SUMIFS('07导出'!$H$2:$H$1860,'07导出'!$A$2:$A$1860,A92,'07导出'!$D$2:$D$1860,"20502")</f>
        <v>4583995.51</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0</v>
      </c>
      <c r="N92" s="46">
        <f>SUMIFS('07导出'!$H$2:$H$1860,'07导出'!$A$2:$A$1860,A92,'07导出'!$D$2:$D$1860,"20508")</f>
        <v>12000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SUMIFS('07导出'!$G$2:$G$1860,'07导出'!$A$2:$A$1860,A92,'07导出'!$D$2:$D$1860,"20607")</f>
        <v>0</v>
      </c>
      <c r="T92" s="46">
        <f>SUMIFS('07导出'!$H$2:$H$1860,'07导出'!$A$2:$A$1860,A92,'07导出'!$D$2:$D$1860,"20607")</f>
        <v>0</v>
      </c>
      <c r="U92" s="46">
        <f>SUMIFS('07导出'!$G$2:$G$1860,'07导出'!$A$2:$A$1860,A92,'07导出'!$C$2:$C$1860,"208")</f>
        <v>518253.83999999997</v>
      </c>
      <c r="V92" s="46">
        <f>SUMIFS('07导出'!$H$2:$H$1860,'07导出'!$A$2:$A$1860,A92,'07导出'!$C$2:$C$1860,"208")</f>
        <v>546976.24</v>
      </c>
      <c r="W92" s="46">
        <f>SUMIFS('07导出'!$G$2:$G$1860,'07导出'!$A$2:$A$1860,A92,'07导出'!$D$2:$D$1860,"20805")</f>
        <v>518253.83999999997</v>
      </c>
      <c r="X92" s="46">
        <f>SUMIFS('07导出'!$H$2:$H$1860,'07导出'!$A$2:$A$1860,A92,'07导出'!$D$2:$D$1860,"20805")</f>
        <v>546976.24</v>
      </c>
      <c r="Y92" s="46">
        <f>SUMIFS('07导出'!$G$2:$G$1860,'07导出'!$A$2:$A$1860,A92,'07导出'!$D$2:$D$1860,"20808")</f>
        <v>0</v>
      </c>
      <c r="Z92" s="46">
        <f>SUMIFS('07导出'!$H$2:$H$1860,'07导出'!$A$2:$A$1860,A92,'07导出'!$D$2:$D$1860,"20808")</f>
        <v>0</v>
      </c>
      <c r="AA92" s="46">
        <f>SUMIFS('07导出'!$G$2:$G$1860,'07导出'!$A$2:$A$1860,A92,'07导出'!$C$2:$C$1860,"210")</f>
        <v>339691.91</v>
      </c>
      <c r="AB92" s="46">
        <f>SUMIFS('07导出'!$H$2:$H$1860,'07导出'!$A$2:$A$1860,A92,'07导出'!$C$2:$C$1860,"210")</f>
        <v>283565.88</v>
      </c>
      <c r="AC92" s="46">
        <f>SUMIFS('07导出'!$G$2:$G$1860,'07导出'!$A$2:$A$1860,A92,'07导出'!$D$2:$D$1860,"21011")</f>
        <v>339691.91</v>
      </c>
      <c r="AD92" s="46">
        <f>SUMIFS('07导出'!$H$2:$H$1860,'07导出'!$A$2:$A$1860,A92,'07导出'!$D$2:$D$1860,"21011")</f>
        <v>283565.88</v>
      </c>
      <c r="AE92" s="46">
        <f>SUMIFS('07导出'!$G$2:$G$1860,'07导出'!$A$2:$A$1860,A92,'07导出'!$C$2:$C$1860,"212")</f>
        <v>0</v>
      </c>
      <c r="AF92" s="46">
        <f>SUMIFS('07导出'!$H$2:$H$1860,'07导出'!$A$2:$A$1860,A92,'07导出'!$C$2:$C$1860,"212")</f>
        <v>0</v>
      </c>
      <c r="AG92" s="46">
        <f>SUMIFS('07导出'!$G$2:$G$1860,'07导出'!$A$2:$A$1860,A92,'07导出'!$D$2:$D$1860,"21203")</f>
        <v>0</v>
      </c>
      <c r="AH92" s="46">
        <f>SUMIFS('07导出'!$H$2:$H$1860,'07导出'!$A$2:$A$1860,A92,'07导出'!$D$2:$D$1860,"21203")</f>
        <v>0</v>
      </c>
      <c r="AI92" s="46">
        <f>SUMIFS('07导出'!$G$2:$G$1860,'07导出'!$A$2:$A$1860,A92,'07导出'!$C$2:$C$1860,"213")</f>
        <v>0</v>
      </c>
      <c r="AJ92" s="46">
        <f>SUMIFS('07导出'!$H$2:$H$1860,'07导出'!$A$2:$A$1860,A92,'07导出'!$C$2:$C$1860,"213")</f>
        <v>0</v>
      </c>
      <c r="AK92" s="46">
        <f>SUMIFS('07导出'!$G$2:$G$1860,'07导出'!$A$2:$A$1860,A92,'07导出'!$D$2:$D$1860,"21305")</f>
        <v>0</v>
      </c>
      <c r="AL92" s="46">
        <f>SUMIFS('07导出'!$H$2:$H$1860,'07导出'!$A$2:$A$1860,A92,'07导出'!$D$2:$D$1860,"21305")</f>
        <v>0</v>
      </c>
      <c r="AM92" s="46">
        <f>SUMIFS('07导出'!$G$2:$G$1860,'07导出'!$A$2:$A$1860,A92,'07导出'!$C$2:$C$1860,"221")</f>
        <v>827415</v>
      </c>
      <c r="AN92" s="46">
        <f>SUMIFS('07导出'!$H$2:$H$1860,'07导出'!$A$2:$A$1860,A92,'07导出'!$C$2:$C$1860,"221")</f>
        <v>756297.12</v>
      </c>
      <c r="AO92" s="46">
        <f>SUMIFS('07导出'!$G$2:$G$1860,'07导出'!$A$2:$A$1860,A92,'07导出'!$D$2:$D$1860,"22102")</f>
        <v>827415</v>
      </c>
      <c r="AP92" s="46">
        <f>SUMIFS('07导出'!$H$2:$H$1860,'07导出'!$A$2:$A$1860,A92,'07导出'!$D$2:$D$1860,"22102")</f>
        <v>756297.12</v>
      </c>
    </row>
    <row r="93" spans="1:42">
      <c r="A93" s="43">
        <v>255114</v>
      </c>
      <c r="B93" s="44" t="s">
        <v>92</v>
      </c>
      <c r="C93" s="45">
        <f>SUMIFS('07导出'!$G$2:$G$1860,'07导出'!$A$2:$A$1860,A93,'07导出'!$C$2:$C$1860,"205")</f>
        <v>113463069.28</v>
      </c>
      <c r="D93" s="45">
        <f>SUMIFS('07导出'!$H$2:$H$1860,'07导出'!$A$2:$A$1860,A93,'07导出'!$C$2:$C$1860,"205")</f>
        <v>82199224.689999998</v>
      </c>
      <c r="E93" s="46">
        <f>SUMIFS('07导出'!$G$2:$G$1860,'07导出'!$A$2:$A$1860,A93,'07导出'!$D$2:$D$1860,"20502")</f>
        <v>109282179.31</v>
      </c>
      <c r="F93" s="46">
        <f>SUMIFS('07导出'!$H$2:$H$1860,'07导出'!$A$2:$A$1860,A93,'07导出'!$D$2:$D$1860,"20502")</f>
        <v>77428884.689999998</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109600</v>
      </c>
      <c r="N93" s="46">
        <f>SUMIFS('07导出'!$H$2:$H$1860,'07导出'!$A$2:$A$1860,A93,'07导出'!$D$2:$D$1860,"20508")</f>
        <v>219200</v>
      </c>
      <c r="O93" s="46">
        <f>SUMIFS('07导出'!$G$2:$G$1860,'07导出'!$A$2:$A$1860,A93,'07导出'!$D$2:$D$1860,"20509")</f>
        <v>4071289.9699999997</v>
      </c>
      <c r="P93" s="46">
        <f>SUMIFS('07导出'!$H$2:$H$1860,'07导出'!$A$2:$A$1860,A93,'07导出'!$D$2:$D$1860,"20509")</f>
        <v>4551140</v>
      </c>
      <c r="Q93" s="46">
        <f>SUMIFS('07导出'!$G$2:$G$1860,'07导出'!$A$2:$A$1860,A93,'07导出'!$C$2:$C$1860,"206")</f>
        <v>0</v>
      </c>
      <c r="R93" s="46">
        <f>SUMIFS('07导出'!$H$2:$H$1860,'07导出'!$A$2:$A$1860,A93,'07导出'!$C$2:$C$1860,"206")</f>
        <v>0</v>
      </c>
      <c r="S93" s="46">
        <f>SUMIFS('07导出'!$G$2:$G$1860,'07导出'!$A$2:$A$1860,A93,'07导出'!$D$2:$D$1860,"20607")</f>
        <v>0</v>
      </c>
      <c r="T93" s="46">
        <f>SUMIFS('07导出'!$H$2:$H$1860,'07导出'!$A$2:$A$1860,A93,'07导出'!$D$2:$D$1860,"20607")</f>
        <v>0</v>
      </c>
      <c r="U93" s="46">
        <f>SUMIFS('07导出'!$G$2:$G$1860,'07导出'!$A$2:$A$1860,A93,'07导出'!$C$2:$C$1860,"208")</f>
        <v>18222455.920000002</v>
      </c>
      <c r="V93" s="46">
        <f>SUMIFS('07导出'!$H$2:$H$1860,'07导出'!$A$2:$A$1860,A93,'07导出'!$C$2:$C$1860,"208")</f>
        <v>17386934.199999999</v>
      </c>
      <c r="W93" s="46">
        <f>SUMIFS('07导出'!$G$2:$G$1860,'07导出'!$A$2:$A$1860,A93,'07导出'!$D$2:$D$1860,"20805")</f>
        <v>18222455.920000002</v>
      </c>
      <c r="X93" s="46">
        <f>SUMIFS('07导出'!$H$2:$H$1860,'07导出'!$A$2:$A$1860,A93,'07导出'!$D$2:$D$1860,"20805")</f>
        <v>17386934.199999999</v>
      </c>
      <c r="Y93" s="46">
        <f>SUMIFS('07导出'!$G$2:$G$1860,'07导出'!$A$2:$A$1860,A93,'07导出'!$D$2:$D$1860,"20808")</f>
        <v>0</v>
      </c>
      <c r="Z93" s="46">
        <f>SUMIFS('07导出'!$H$2:$H$1860,'07导出'!$A$2:$A$1860,A93,'07导出'!$D$2:$D$1860,"20808")</f>
        <v>0</v>
      </c>
      <c r="AA93" s="46">
        <f>SUMIFS('07导出'!$G$2:$G$1860,'07导出'!$A$2:$A$1860,A93,'07导出'!$C$2:$C$1860,"210")</f>
        <v>6228772.79</v>
      </c>
      <c r="AB93" s="46">
        <f>SUMIFS('07导出'!$H$2:$H$1860,'07导出'!$A$2:$A$1860,A93,'07导出'!$C$2:$C$1860,"210")</f>
        <v>6433473.6500000004</v>
      </c>
      <c r="AC93" s="46">
        <f>SUMIFS('07导出'!$G$2:$G$1860,'07导出'!$A$2:$A$1860,A93,'07导出'!$D$2:$D$1860,"21011")</f>
        <v>6228772.79</v>
      </c>
      <c r="AD93" s="46">
        <f>SUMIFS('07导出'!$H$2:$H$1860,'07导出'!$A$2:$A$1860,A93,'07导出'!$D$2:$D$1860,"21011")</f>
        <v>6433473.6500000004</v>
      </c>
      <c r="AE93" s="46">
        <f>SUMIFS('07导出'!$G$2:$G$1860,'07导出'!$A$2:$A$1860,A93,'07导出'!$C$2:$C$1860,"212")</f>
        <v>0</v>
      </c>
      <c r="AF93" s="46">
        <f>SUMIFS('07导出'!$H$2:$H$1860,'07导出'!$A$2:$A$1860,A93,'07导出'!$C$2:$C$1860,"212")</f>
        <v>0</v>
      </c>
      <c r="AG93" s="46">
        <f>SUMIFS('07导出'!$G$2:$G$1860,'07导出'!$A$2:$A$1860,A93,'07导出'!$D$2:$D$1860,"21203")</f>
        <v>0</v>
      </c>
      <c r="AH93" s="46">
        <f>SUMIFS('07导出'!$H$2:$H$1860,'07导出'!$A$2:$A$1860,A93,'07导出'!$D$2:$D$1860,"21203")</f>
        <v>0</v>
      </c>
      <c r="AI93" s="46">
        <f>SUMIFS('07导出'!$G$2:$G$1860,'07导出'!$A$2:$A$1860,A93,'07导出'!$C$2:$C$1860,"213")</f>
        <v>0</v>
      </c>
      <c r="AJ93" s="46">
        <f>SUMIFS('07导出'!$H$2:$H$1860,'07导出'!$A$2:$A$1860,A93,'07导出'!$C$2:$C$1860,"213")</f>
        <v>0</v>
      </c>
      <c r="AK93" s="46">
        <f>SUMIFS('07导出'!$G$2:$G$1860,'07导出'!$A$2:$A$1860,A93,'07导出'!$D$2:$D$1860,"21305")</f>
        <v>0</v>
      </c>
      <c r="AL93" s="46">
        <f>SUMIFS('07导出'!$H$2:$H$1860,'07导出'!$A$2:$A$1860,A93,'07导出'!$D$2:$D$1860,"21305")</f>
        <v>0</v>
      </c>
      <c r="AM93" s="46">
        <f>SUMIFS('07导出'!$G$2:$G$1860,'07导出'!$A$2:$A$1860,A93,'07导出'!$C$2:$C$1860,"221")</f>
        <v>16282879</v>
      </c>
      <c r="AN93" s="46">
        <f>SUMIFS('07导出'!$H$2:$H$1860,'07导出'!$A$2:$A$1860,A93,'07导出'!$C$2:$C$1860,"221")</f>
        <v>15171960.6</v>
      </c>
      <c r="AO93" s="46">
        <f>SUMIFS('07导出'!$G$2:$G$1860,'07导出'!$A$2:$A$1860,A93,'07导出'!$D$2:$D$1860,"22102")</f>
        <v>16282879</v>
      </c>
      <c r="AP93" s="46">
        <f>SUMIFS('07导出'!$H$2:$H$1860,'07导出'!$A$2:$A$1860,A93,'07导出'!$D$2:$D$1860,"22102")</f>
        <v>15171960.6</v>
      </c>
    </row>
    <row r="94" spans="1:42">
      <c r="A94" s="43">
        <v>255115</v>
      </c>
      <c r="B94" s="44" t="s">
        <v>93</v>
      </c>
      <c r="C94" s="45">
        <f>SUMIFS('07导出'!$G$2:$G$1860,'07导出'!$A$2:$A$1860,A94,'07导出'!$C$2:$C$1860,"205")</f>
        <v>117032922.08000001</v>
      </c>
      <c r="D94" s="45">
        <f>SUMIFS('07导出'!$H$2:$H$1860,'07导出'!$A$2:$A$1860,A94,'07导出'!$C$2:$C$1860,"205")</f>
        <v>101014056.18000001</v>
      </c>
      <c r="E94" s="46">
        <f>SUMIFS('07导出'!$G$2:$G$1860,'07导出'!$A$2:$A$1860,A94,'07导出'!$D$2:$D$1860,"20502")</f>
        <v>105693808.79000001</v>
      </c>
      <c r="F94" s="46">
        <f>SUMIFS('07导出'!$H$2:$H$1860,'07导出'!$A$2:$A$1860,A94,'07导出'!$D$2:$D$1860,"20502")</f>
        <v>88319598.180000007</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134000</v>
      </c>
      <c r="N94" s="46">
        <f>SUMIFS('07导出'!$H$2:$H$1860,'07导出'!$A$2:$A$1860,A94,'07导出'!$D$2:$D$1860,"20508")</f>
        <v>268000</v>
      </c>
      <c r="O94" s="46">
        <f>SUMIFS('07导出'!$G$2:$G$1860,'07导出'!$A$2:$A$1860,A94,'07导出'!$D$2:$D$1860,"20509")</f>
        <v>11205113.289999999</v>
      </c>
      <c r="P94" s="46">
        <f>SUMIFS('07导出'!$H$2:$H$1860,'07导出'!$A$2:$A$1860,A94,'07导出'!$D$2:$D$1860,"20509")</f>
        <v>12426458</v>
      </c>
      <c r="Q94" s="46">
        <f>SUMIFS('07导出'!$G$2:$G$1860,'07导出'!$A$2:$A$1860,A94,'07导出'!$C$2:$C$1860,"206")</f>
        <v>0</v>
      </c>
      <c r="R94" s="46">
        <f>SUMIFS('07导出'!$H$2:$H$1860,'07导出'!$A$2:$A$1860,A94,'07导出'!$C$2:$C$1860,"206")</f>
        <v>0</v>
      </c>
      <c r="S94" s="46">
        <f>SUMIFS('07导出'!$G$2:$G$1860,'07导出'!$A$2:$A$1860,A94,'07导出'!$D$2:$D$1860,"20607")</f>
        <v>0</v>
      </c>
      <c r="T94" s="46">
        <f>SUMIFS('07导出'!$H$2:$H$1860,'07导出'!$A$2:$A$1860,A94,'07导出'!$D$2:$D$1860,"20607")</f>
        <v>0</v>
      </c>
      <c r="U94" s="46">
        <f>SUMIFS('07导出'!$G$2:$G$1860,'07导出'!$A$2:$A$1860,A94,'07导出'!$C$2:$C$1860,"208")</f>
        <v>20501403.759999998</v>
      </c>
      <c r="V94" s="46">
        <f>SUMIFS('07导出'!$H$2:$H$1860,'07导出'!$A$2:$A$1860,A94,'07导出'!$C$2:$C$1860,"208")</f>
        <v>20157531.600000001</v>
      </c>
      <c r="W94" s="46">
        <f>SUMIFS('07导出'!$G$2:$G$1860,'07导出'!$A$2:$A$1860,A94,'07导出'!$D$2:$D$1860,"20805")</f>
        <v>20501403.759999998</v>
      </c>
      <c r="X94" s="46">
        <f>SUMIFS('07导出'!$H$2:$H$1860,'07导出'!$A$2:$A$1860,A94,'07导出'!$D$2:$D$1860,"20805")</f>
        <v>20157531.600000001</v>
      </c>
      <c r="Y94" s="46">
        <f>SUMIFS('07导出'!$G$2:$G$1860,'07导出'!$A$2:$A$1860,A94,'07导出'!$D$2:$D$1860,"20808")</f>
        <v>0</v>
      </c>
      <c r="Z94" s="46">
        <f>SUMIFS('07导出'!$H$2:$H$1860,'07导出'!$A$2:$A$1860,A94,'07导出'!$D$2:$D$1860,"20808")</f>
        <v>0</v>
      </c>
      <c r="AA94" s="46">
        <f>SUMIFS('07导出'!$G$2:$G$1860,'07导出'!$A$2:$A$1860,A94,'07导出'!$C$2:$C$1860,"210")</f>
        <v>9575748.8000000007</v>
      </c>
      <c r="AB94" s="46">
        <f>SUMIFS('07导出'!$H$2:$H$1860,'07导出'!$A$2:$A$1860,A94,'07导出'!$C$2:$C$1860,"210")</f>
        <v>7833067.7000000002</v>
      </c>
      <c r="AC94" s="46">
        <f>SUMIFS('07导出'!$G$2:$G$1860,'07导出'!$A$2:$A$1860,A94,'07导出'!$D$2:$D$1860,"21011")</f>
        <v>9575748.8000000007</v>
      </c>
      <c r="AD94" s="46">
        <f>SUMIFS('07导出'!$H$2:$H$1860,'07导出'!$A$2:$A$1860,A94,'07导出'!$D$2:$D$1860,"21011")</f>
        <v>7833067.7000000002</v>
      </c>
      <c r="AE94" s="46">
        <f>SUMIFS('07导出'!$G$2:$G$1860,'07导出'!$A$2:$A$1860,A94,'07导出'!$C$2:$C$1860,"212")</f>
        <v>0</v>
      </c>
      <c r="AF94" s="46">
        <f>SUMIFS('07导出'!$H$2:$H$1860,'07导出'!$A$2:$A$1860,A94,'07导出'!$C$2:$C$1860,"212")</f>
        <v>0</v>
      </c>
      <c r="AG94" s="46">
        <f>SUMIFS('07导出'!$G$2:$G$1860,'07导出'!$A$2:$A$1860,A94,'07导出'!$D$2:$D$1860,"21203")</f>
        <v>0</v>
      </c>
      <c r="AH94" s="46">
        <f>SUMIFS('07导出'!$H$2:$H$1860,'07导出'!$A$2:$A$1860,A94,'07导出'!$D$2:$D$1860,"21203")</f>
        <v>0</v>
      </c>
      <c r="AI94" s="46">
        <f>SUMIFS('07导出'!$G$2:$G$1860,'07导出'!$A$2:$A$1860,A94,'07导出'!$C$2:$C$1860,"213")</f>
        <v>0</v>
      </c>
      <c r="AJ94" s="46">
        <f>SUMIFS('07导出'!$H$2:$H$1860,'07导出'!$A$2:$A$1860,A94,'07导出'!$C$2:$C$1860,"213")</f>
        <v>0</v>
      </c>
      <c r="AK94" s="46">
        <f>SUMIFS('07导出'!$G$2:$G$1860,'07导出'!$A$2:$A$1860,A94,'07导出'!$D$2:$D$1860,"21305")</f>
        <v>0</v>
      </c>
      <c r="AL94" s="46">
        <f>SUMIFS('07导出'!$H$2:$H$1860,'07导出'!$A$2:$A$1860,A94,'07导出'!$D$2:$D$1860,"21305")</f>
        <v>0</v>
      </c>
      <c r="AM94" s="46">
        <f>SUMIFS('07导出'!$G$2:$G$1860,'07导出'!$A$2:$A$1860,A94,'07导出'!$C$2:$C$1860,"221")</f>
        <v>19488793</v>
      </c>
      <c r="AN94" s="46">
        <f>SUMIFS('07导出'!$H$2:$H$1860,'07导出'!$A$2:$A$1860,A94,'07导出'!$C$2:$C$1860,"221")</f>
        <v>17662714.800000001</v>
      </c>
      <c r="AO94" s="46">
        <f>SUMIFS('07导出'!$G$2:$G$1860,'07导出'!$A$2:$A$1860,A94,'07导出'!$D$2:$D$1860,"22102")</f>
        <v>19488793</v>
      </c>
      <c r="AP94" s="46">
        <f>SUMIFS('07导出'!$H$2:$H$1860,'07导出'!$A$2:$A$1860,A94,'07导出'!$D$2:$D$1860,"22102")</f>
        <v>17662714.800000001</v>
      </c>
    </row>
    <row r="95" spans="1:42">
      <c r="A95" s="43">
        <v>255116</v>
      </c>
      <c r="B95" s="44" t="s">
        <v>94</v>
      </c>
      <c r="C95" s="45">
        <f>SUMIFS('07导出'!$G$2:$G$1860,'07导出'!$A$2:$A$1860,A95,'07导出'!$C$2:$C$1860,"205")</f>
        <v>37188455.770000003</v>
      </c>
      <c r="D95" s="45">
        <f>SUMIFS('07导出'!$H$2:$H$1860,'07导出'!$A$2:$A$1860,A95,'07导出'!$C$2:$C$1860,"205")</f>
        <v>31595064.5</v>
      </c>
      <c r="E95" s="46">
        <f>SUMIFS('07导出'!$G$2:$G$1860,'07导出'!$A$2:$A$1860,A95,'07导出'!$D$2:$D$1860,"20502")</f>
        <v>36017585.770000003</v>
      </c>
      <c r="F95" s="46">
        <f>SUMIFS('07导出'!$H$2:$H$1860,'07导出'!$A$2:$A$1860,A95,'07导出'!$D$2:$D$1860,"20502")</f>
        <v>30370114.5</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48000</v>
      </c>
      <c r="N95" s="46">
        <f>SUMIFS('07导出'!$H$2:$H$1860,'07导出'!$A$2:$A$1860,A95,'07导出'!$D$2:$D$1860,"20508")</f>
        <v>96000</v>
      </c>
      <c r="O95" s="46">
        <f>SUMIFS('07导出'!$G$2:$G$1860,'07导出'!$A$2:$A$1860,A95,'07导出'!$D$2:$D$1860,"20509")</f>
        <v>1122870</v>
      </c>
      <c r="P95" s="46">
        <f>SUMIFS('07导出'!$H$2:$H$1860,'07导出'!$A$2:$A$1860,A95,'07导出'!$D$2:$D$1860,"20509")</f>
        <v>1128950</v>
      </c>
      <c r="Q95" s="46">
        <f>SUMIFS('07导出'!$G$2:$G$1860,'07导出'!$A$2:$A$1860,A95,'07导出'!$C$2:$C$1860,"206")</f>
        <v>0</v>
      </c>
      <c r="R95" s="46">
        <f>SUMIFS('07导出'!$H$2:$H$1860,'07导出'!$A$2:$A$1860,A95,'07导出'!$C$2:$C$1860,"206")</f>
        <v>0</v>
      </c>
      <c r="S95" s="46">
        <f>SUMIFS('07导出'!$G$2:$G$1860,'07导出'!$A$2:$A$1860,A95,'07导出'!$D$2:$D$1860,"20607")</f>
        <v>0</v>
      </c>
      <c r="T95" s="46">
        <f>SUMIFS('07导出'!$H$2:$H$1860,'07导出'!$A$2:$A$1860,A95,'07导出'!$D$2:$D$1860,"20607")</f>
        <v>0</v>
      </c>
      <c r="U95" s="46">
        <f>SUMIFS('07导出'!$G$2:$G$1860,'07导出'!$A$2:$A$1860,A95,'07导出'!$C$2:$C$1860,"208")</f>
        <v>8090941.040000001</v>
      </c>
      <c r="V95" s="46">
        <f>SUMIFS('07导出'!$H$2:$H$1860,'07导出'!$A$2:$A$1860,A95,'07导出'!$C$2:$C$1860,"208")</f>
        <v>7563801.7599999998</v>
      </c>
      <c r="W95" s="46">
        <f>SUMIFS('07导出'!$G$2:$G$1860,'07导出'!$A$2:$A$1860,A95,'07导出'!$D$2:$D$1860,"20805")</f>
        <v>8090941.040000001</v>
      </c>
      <c r="X95" s="46">
        <f>SUMIFS('07导出'!$H$2:$H$1860,'07导出'!$A$2:$A$1860,A95,'07导出'!$D$2:$D$1860,"20805")</f>
        <v>7563801.7599999998</v>
      </c>
      <c r="Y95" s="46">
        <f>SUMIFS('07导出'!$G$2:$G$1860,'07导出'!$A$2:$A$1860,A95,'07导出'!$D$2:$D$1860,"20808")</f>
        <v>0</v>
      </c>
      <c r="Z95" s="46">
        <f>SUMIFS('07导出'!$H$2:$H$1860,'07导出'!$A$2:$A$1860,A95,'07导出'!$D$2:$D$1860,"20808")</f>
        <v>0</v>
      </c>
      <c r="AA95" s="46">
        <f>SUMIFS('07导出'!$G$2:$G$1860,'07导出'!$A$2:$A$1860,A95,'07导出'!$C$2:$C$1860,"210")</f>
        <v>3088198.12</v>
      </c>
      <c r="AB95" s="46">
        <f>SUMIFS('07导出'!$H$2:$H$1860,'07导出'!$A$2:$A$1860,A95,'07导出'!$C$2:$C$1860,"210")</f>
        <v>2593515.87</v>
      </c>
      <c r="AC95" s="46">
        <f>SUMIFS('07导出'!$G$2:$G$1860,'07导出'!$A$2:$A$1860,A95,'07导出'!$D$2:$D$1860,"21011")</f>
        <v>3088198.12</v>
      </c>
      <c r="AD95" s="46">
        <f>SUMIFS('07导出'!$H$2:$H$1860,'07导出'!$A$2:$A$1860,A95,'07导出'!$D$2:$D$1860,"21011")</f>
        <v>2593515.87</v>
      </c>
      <c r="AE95" s="46">
        <f>SUMIFS('07导出'!$G$2:$G$1860,'07导出'!$A$2:$A$1860,A95,'07导出'!$C$2:$C$1860,"212")</f>
        <v>0</v>
      </c>
      <c r="AF95" s="46">
        <f>SUMIFS('07导出'!$H$2:$H$1860,'07导出'!$A$2:$A$1860,A95,'07导出'!$C$2:$C$1860,"212")</f>
        <v>0</v>
      </c>
      <c r="AG95" s="46">
        <f>SUMIFS('07导出'!$G$2:$G$1860,'07导出'!$A$2:$A$1860,A95,'07导出'!$D$2:$D$1860,"21203")</f>
        <v>0</v>
      </c>
      <c r="AH95" s="46">
        <f>SUMIFS('07导出'!$H$2:$H$1860,'07导出'!$A$2:$A$1860,A95,'07导出'!$D$2:$D$1860,"21203")</f>
        <v>0</v>
      </c>
      <c r="AI95" s="46">
        <f>SUMIFS('07导出'!$G$2:$G$1860,'07导出'!$A$2:$A$1860,A95,'07导出'!$C$2:$C$1860,"213")</f>
        <v>0</v>
      </c>
      <c r="AJ95" s="46">
        <f>SUMIFS('07导出'!$H$2:$H$1860,'07导出'!$A$2:$A$1860,A95,'07导出'!$C$2:$C$1860,"213")</f>
        <v>0</v>
      </c>
      <c r="AK95" s="46">
        <f>SUMIFS('07导出'!$G$2:$G$1860,'07导出'!$A$2:$A$1860,A95,'07导出'!$D$2:$D$1860,"21305")</f>
        <v>0</v>
      </c>
      <c r="AL95" s="46">
        <f>SUMIFS('07导出'!$H$2:$H$1860,'07导出'!$A$2:$A$1860,A95,'07导出'!$D$2:$D$1860,"21305")</f>
        <v>0</v>
      </c>
      <c r="AM95" s="46">
        <f>SUMIFS('07导出'!$G$2:$G$1860,'07导出'!$A$2:$A$1860,A95,'07导出'!$C$2:$C$1860,"221")</f>
        <v>6651699</v>
      </c>
      <c r="AN95" s="46">
        <f>SUMIFS('07导出'!$H$2:$H$1860,'07导出'!$A$2:$A$1860,A95,'07导出'!$C$2:$C$1860,"221")</f>
        <v>6188879.8799999999</v>
      </c>
      <c r="AO95" s="46">
        <f>SUMIFS('07导出'!$G$2:$G$1860,'07导出'!$A$2:$A$1860,A95,'07导出'!$D$2:$D$1860,"22102")</f>
        <v>6651699</v>
      </c>
      <c r="AP95" s="46">
        <f>SUMIFS('07导出'!$H$2:$H$1860,'07导出'!$A$2:$A$1860,A95,'07导出'!$D$2:$D$1860,"22102")</f>
        <v>6188879.8799999999</v>
      </c>
    </row>
    <row r="96" spans="1:42">
      <c r="A96" s="43">
        <v>255117</v>
      </c>
      <c r="B96" s="44" t="s">
        <v>95</v>
      </c>
      <c r="C96" s="45">
        <f>SUMIFS('07导出'!$G$2:$G$1860,'07导出'!$A$2:$A$1860,A96,'07导出'!$C$2:$C$1860,"205")</f>
        <v>36840748.489999995</v>
      </c>
      <c r="D96" s="45">
        <f>SUMIFS('07导出'!$H$2:$H$1860,'07导出'!$A$2:$A$1860,A96,'07导出'!$C$2:$C$1860,"205")</f>
        <v>33103758.09</v>
      </c>
      <c r="E96" s="46">
        <f>SUMIFS('07导出'!$G$2:$G$1860,'07导出'!$A$2:$A$1860,A96,'07导出'!$D$2:$D$1860,"20502")</f>
        <v>33052209.989999998</v>
      </c>
      <c r="F96" s="46">
        <f>SUMIFS('07导出'!$H$2:$H$1860,'07导出'!$A$2:$A$1860,A96,'07导出'!$D$2:$D$1860,"20502")</f>
        <v>29087071.09</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290</v>
      </c>
      <c r="N96" s="46">
        <f>SUMIFS('07导出'!$H$2:$H$1860,'07导出'!$A$2:$A$1860,A96,'07导出'!$D$2:$D$1860,"20508")</f>
        <v>92800</v>
      </c>
      <c r="O96" s="46">
        <f>SUMIFS('07导出'!$G$2:$G$1860,'07导出'!$A$2:$A$1860,A96,'07导出'!$D$2:$D$1860,"20509")</f>
        <v>3788248.5</v>
      </c>
      <c r="P96" s="46">
        <f>SUMIFS('07导出'!$H$2:$H$1860,'07导出'!$A$2:$A$1860,A96,'07导出'!$D$2:$D$1860,"20509")</f>
        <v>3923887</v>
      </c>
      <c r="Q96" s="46">
        <f>SUMIFS('07导出'!$G$2:$G$1860,'07导出'!$A$2:$A$1860,A96,'07导出'!$C$2:$C$1860,"206")</f>
        <v>0</v>
      </c>
      <c r="R96" s="46">
        <f>SUMIFS('07导出'!$H$2:$H$1860,'07导出'!$A$2:$A$1860,A96,'07导出'!$C$2:$C$1860,"206")</f>
        <v>0</v>
      </c>
      <c r="S96" s="46">
        <f>SUMIFS('07导出'!$G$2:$G$1860,'07导出'!$A$2:$A$1860,A96,'07导出'!$D$2:$D$1860,"20607")</f>
        <v>0</v>
      </c>
      <c r="T96" s="46">
        <f>SUMIFS('07导出'!$H$2:$H$1860,'07导出'!$A$2:$A$1860,A96,'07导出'!$D$2:$D$1860,"20607")</f>
        <v>0</v>
      </c>
      <c r="U96" s="46">
        <f>SUMIFS('07导出'!$G$2:$G$1860,'07导出'!$A$2:$A$1860,A96,'07导出'!$C$2:$C$1860,"208")</f>
        <v>6440799.9100000001</v>
      </c>
      <c r="V96" s="46">
        <f>SUMIFS('07导出'!$H$2:$H$1860,'07导出'!$A$2:$A$1860,A96,'07导出'!$C$2:$C$1860,"208")</f>
        <v>6353551.4400000004</v>
      </c>
      <c r="W96" s="46">
        <f>SUMIFS('07导出'!$G$2:$G$1860,'07导出'!$A$2:$A$1860,A96,'07导出'!$D$2:$D$1860,"20805")</f>
        <v>6440799.9100000001</v>
      </c>
      <c r="X96" s="46">
        <f>SUMIFS('07导出'!$H$2:$H$1860,'07导出'!$A$2:$A$1860,A96,'07导出'!$D$2:$D$1860,"20805")</f>
        <v>6353551.4400000004</v>
      </c>
      <c r="Y96" s="46">
        <f>SUMIFS('07导出'!$G$2:$G$1860,'07导出'!$A$2:$A$1860,A96,'07导出'!$D$2:$D$1860,"20808")</f>
        <v>0</v>
      </c>
      <c r="Z96" s="46">
        <f>SUMIFS('07导出'!$H$2:$H$1860,'07导出'!$A$2:$A$1860,A96,'07导出'!$D$2:$D$1860,"20808")</f>
        <v>0</v>
      </c>
      <c r="AA96" s="46">
        <f>SUMIFS('07导出'!$G$2:$G$1860,'07导出'!$A$2:$A$1860,A96,'07导出'!$C$2:$C$1860,"210")</f>
        <v>2164277.16</v>
      </c>
      <c r="AB96" s="46">
        <f>SUMIFS('07导出'!$H$2:$H$1860,'07导出'!$A$2:$A$1860,A96,'07导出'!$C$2:$C$1860,"210")</f>
        <v>2569950.46</v>
      </c>
      <c r="AC96" s="46">
        <f>SUMIFS('07导出'!$G$2:$G$1860,'07导出'!$A$2:$A$1860,A96,'07导出'!$D$2:$D$1860,"21011")</f>
        <v>2164277.16</v>
      </c>
      <c r="AD96" s="46">
        <f>SUMIFS('07导出'!$H$2:$H$1860,'07导出'!$A$2:$A$1860,A96,'07导出'!$D$2:$D$1860,"21011")</f>
        <v>2569950.46</v>
      </c>
      <c r="AE96" s="46">
        <f>SUMIFS('07导出'!$G$2:$G$1860,'07导出'!$A$2:$A$1860,A96,'07导出'!$C$2:$C$1860,"212")</f>
        <v>0</v>
      </c>
      <c r="AF96" s="46">
        <f>SUMIFS('07导出'!$H$2:$H$1860,'07导出'!$A$2:$A$1860,A96,'07导出'!$C$2:$C$1860,"212")</f>
        <v>0</v>
      </c>
      <c r="AG96" s="46">
        <f>SUMIFS('07导出'!$G$2:$G$1860,'07导出'!$A$2:$A$1860,A96,'07导出'!$D$2:$D$1860,"21203")</f>
        <v>0</v>
      </c>
      <c r="AH96" s="46">
        <f>SUMIFS('07导出'!$H$2:$H$1860,'07导出'!$A$2:$A$1860,A96,'07导出'!$D$2:$D$1860,"21203")</f>
        <v>0</v>
      </c>
      <c r="AI96" s="46">
        <f>SUMIFS('07导出'!$G$2:$G$1860,'07导出'!$A$2:$A$1860,A96,'07导出'!$C$2:$C$1860,"213")</f>
        <v>0</v>
      </c>
      <c r="AJ96" s="46">
        <f>SUMIFS('07导出'!$H$2:$H$1860,'07导出'!$A$2:$A$1860,A96,'07导出'!$C$2:$C$1860,"213")</f>
        <v>0</v>
      </c>
      <c r="AK96" s="46">
        <f>SUMIFS('07导出'!$G$2:$G$1860,'07导出'!$A$2:$A$1860,A96,'07导出'!$D$2:$D$1860,"21305")</f>
        <v>0</v>
      </c>
      <c r="AL96" s="46">
        <f>SUMIFS('07导出'!$H$2:$H$1860,'07导出'!$A$2:$A$1860,A96,'07导出'!$D$2:$D$1860,"21305")</f>
        <v>0</v>
      </c>
      <c r="AM96" s="46">
        <f>SUMIFS('07导出'!$G$2:$G$1860,'07导出'!$A$2:$A$1860,A96,'07导出'!$C$2:$C$1860,"221")</f>
        <v>6581841.5</v>
      </c>
      <c r="AN96" s="46">
        <f>SUMIFS('07导出'!$H$2:$H$1860,'07导出'!$A$2:$A$1860,A96,'07导出'!$C$2:$C$1860,"221")</f>
        <v>6650825.04</v>
      </c>
      <c r="AO96" s="46">
        <f>SUMIFS('07导出'!$G$2:$G$1860,'07导出'!$A$2:$A$1860,A96,'07导出'!$D$2:$D$1860,"22102")</f>
        <v>6581841.5</v>
      </c>
      <c r="AP96" s="46">
        <f>SUMIFS('07导出'!$H$2:$H$1860,'07导出'!$A$2:$A$1860,A96,'07导出'!$D$2:$D$1860,"22102")</f>
        <v>6650825.04</v>
      </c>
    </row>
    <row r="97" spans="1:42">
      <c r="A97" s="43">
        <v>255119</v>
      </c>
      <c r="B97" s="44" t="s">
        <v>96</v>
      </c>
      <c r="C97" s="45">
        <f>SUMIFS('07导出'!$G$2:$G$1860,'07导出'!$A$2:$A$1860,A97,'07导出'!$C$2:$C$1860,"205")</f>
        <v>80560971.549999997</v>
      </c>
      <c r="D97" s="45">
        <f>SUMIFS('07导出'!$H$2:$H$1860,'07导出'!$A$2:$A$1860,A97,'07导出'!$C$2:$C$1860,"205")</f>
        <v>69005085.799999997</v>
      </c>
      <c r="E97" s="46">
        <f>SUMIFS('07导出'!$G$2:$G$1860,'07导出'!$A$2:$A$1860,A97,'07导出'!$D$2:$D$1860,"20502")</f>
        <v>78791691.219999999</v>
      </c>
      <c r="F97" s="46">
        <f>SUMIFS('07导出'!$H$2:$H$1860,'07导出'!$A$2:$A$1860,A97,'07导出'!$D$2:$D$1860,"20502")</f>
        <v>66695512.600000001</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11177.38</v>
      </c>
      <c r="N97" s="46">
        <f>SUMIFS('07导出'!$H$2:$H$1860,'07导出'!$A$2:$A$1860,A97,'07导出'!$D$2:$D$1860,"20508")</f>
        <v>212800</v>
      </c>
      <c r="O97" s="46">
        <f>SUMIFS('07导出'!$G$2:$G$1860,'07导出'!$A$2:$A$1860,A97,'07导出'!$D$2:$D$1860,"20509")</f>
        <v>1758102.95</v>
      </c>
      <c r="P97" s="46">
        <f>SUMIFS('07导出'!$H$2:$H$1860,'07导出'!$A$2:$A$1860,A97,'07导出'!$D$2:$D$1860,"20509")</f>
        <v>2096773.2</v>
      </c>
      <c r="Q97" s="46">
        <f>SUMIFS('07导出'!$G$2:$G$1860,'07导出'!$A$2:$A$1860,A97,'07导出'!$C$2:$C$1860,"206")</f>
        <v>0</v>
      </c>
      <c r="R97" s="46">
        <f>SUMIFS('07导出'!$H$2:$H$1860,'07导出'!$A$2:$A$1860,A97,'07导出'!$C$2:$C$1860,"206")</f>
        <v>0</v>
      </c>
      <c r="S97" s="46">
        <f>SUMIFS('07导出'!$G$2:$G$1860,'07导出'!$A$2:$A$1860,A97,'07导出'!$D$2:$D$1860,"20607")</f>
        <v>0</v>
      </c>
      <c r="T97" s="46">
        <f>SUMIFS('07导出'!$H$2:$H$1860,'07导出'!$A$2:$A$1860,A97,'07导出'!$D$2:$D$1860,"20607")</f>
        <v>0</v>
      </c>
      <c r="U97" s="46">
        <f>SUMIFS('07导出'!$G$2:$G$1860,'07导出'!$A$2:$A$1860,A97,'07导出'!$C$2:$C$1860,"208")</f>
        <v>15256608.799999999</v>
      </c>
      <c r="V97" s="46">
        <f>SUMIFS('07导出'!$H$2:$H$1860,'07导出'!$A$2:$A$1860,A97,'07导出'!$C$2:$C$1860,"208")</f>
        <v>14752293.279999999</v>
      </c>
      <c r="W97" s="46">
        <f>SUMIFS('07导出'!$G$2:$G$1860,'07导出'!$A$2:$A$1860,A97,'07导出'!$D$2:$D$1860,"20805")</f>
        <v>15256608.799999999</v>
      </c>
      <c r="X97" s="46">
        <f>SUMIFS('07导出'!$H$2:$H$1860,'07导出'!$A$2:$A$1860,A97,'07导出'!$D$2:$D$1860,"20805")</f>
        <v>14752293.279999999</v>
      </c>
      <c r="Y97" s="46">
        <f>SUMIFS('07导出'!$G$2:$G$1860,'07导出'!$A$2:$A$1860,A97,'07导出'!$D$2:$D$1860,"20808")</f>
        <v>0</v>
      </c>
      <c r="Z97" s="46">
        <f>SUMIFS('07导出'!$H$2:$H$1860,'07导出'!$A$2:$A$1860,A97,'07导出'!$D$2:$D$1860,"20808")</f>
        <v>0</v>
      </c>
      <c r="AA97" s="46">
        <f>SUMIFS('07导出'!$G$2:$G$1860,'07导出'!$A$2:$A$1860,A97,'07导出'!$C$2:$C$1860,"210")</f>
        <v>7001797.4800000004</v>
      </c>
      <c r="AB97" s="46">
        <f>SUMIFS('07导出'!$H$2:$H$1860,'07导出'!$A$2:$A$1860,A97,'07导出'!$C$2:$C$1860,"210")</f>
        <v>5846451.3600000003</v>
      </c>
      <c r="AC97" s="46">
        <f>SUMIFS('07导出'!$G$2:$G$1860,'07导出'!$A$2:$A$1860,A97,'07导出'!$D$2:$D$1860,"21011")</f>
        <v>7001797.4800000004</v>
      </c>
      <c r="AD97" s="46">
        <f>SUMIFS('07导出'!$H$2:$H$1860,'07导出'!$A$2:$A$1860,A97,'07导出'!$D$2:$D$1860,"21011")</f>
        <v>5846451.3600000003</v>
      </c>
      <c r="AE97" s="46">
        <f>SUMIFS('07导出'!$G$2:$G$1860,'07导出'!$A$2:$A$1860,A97,'07导出'!$C$2:$C$1860,"212")</f>
        <v>0</v>
      </c>
      <c r="AF97" s="46">
        <f>SUMIFS('07导出'!$H$2:$H$1860,'07导出'!$A$2:$A$1860,A97,'07导出'!$C$2:$C$1860,"212")</f>
        <v>0</v>
      </c>
      <c r="AG97" s="46">
        <f>SUMIFS('07导出'!$G$2:$G$1860,'07导出'!$A$2:$A$1860,A97,'07导出'!$D$2:$D$1860,"21203")</f>
        <v>0</v>
      </c>
      <c r="AH97" s="46">
        <f>SUMIFS('07导出'!$H$2:$H$1860,'07导出'!$A$2:$A$1860,A97,'07导出'!$D$2:$D$1860,"21203")</f>
        <v>0</v>
      </c>
      <c r="AI97" s="46">
        <f>SUMIFS('07导出'!$G$2:$G$1860,'07导出'!$A$2:$A$1860,A97,'07导出'!$C$2:$C$1860,"213")</f>
        <v>0</v>
      </c>
      <c r="AJ97" s="46">
        <f>SUMIFS('07导出'!$H$2:$H$1860,'07导出'!$A$2:$A$1860,A97,'07导出'!$C$2:$C$1860,"213")</f>
        <v>0</v>
      </c>
      <c r="AK97" s="46">
        <f>SUMIFS('07导出'!$G$2:$G$1860,'07导出'!$A$2:$A$1860,A97,'07导出'!$D$2:$D$1860,"21305")</f>
        <v>0</v>
      </c>
      <c r="AL97" s="46">
        <f>SUMIFS('07导出'!$H$2:$H$1860,'07导出'!$A$2:$A$1860,A97,'07导出'!$D$2:$D$1860,"21305")</f>
        <v>0</v>
      </c>
      <c r="AM97" s="46">
        <f>SUMIFS('07导出'!$G$2:$G$1860,'07导出'!$A$2:$A$1860,A97,'07导出'!$C$2:$C$1860,"221")</f>
        <v>15569665.32</v>
      </c>
      <c r="AN97" s="46">
        <f>SUMIFS('07导出'!$H$2:$H$1860,'07导出'!$A$2:$A$1860,A97,'07导出'!$C$2:$C$1860,"221")</f>
        <v>14846233.68</v>
      </c>
      <c r="AO97" s="46">
        <f>SUMIFS('07导出'!$G$2:$G$1860,'07导出'!$A$2:$A$1860,A97,'07导出'!$D$2:$D$1860,"22102")</f>
        <v>15569665.32</v>
      </c>
      <c r="AP97" s="46">
        <f>SUMIFS('07导出'!$H$2:$H$1860,'07导出'!$A$2:$A$1860,A97,'07导出'!$D$2:$D$1860,"22102")</f>
        <v>14846233.68</v>
      </c>
    </row>
    <row r="98" spans="1:42">
      <c r="A98" s="43">
        <v>255122</v>
      </c>
      <c r="B98" s="44" t="s">
        <v>97</v>
      </c>
      <c r="C98" s="45">
        <f>SUMIFS('07导出'!$G$2:$G$1860,'07导出'!$A$2:$A$1860,A98,'07导出'!$C$2:$C$1860,"205")</f>
        <v>27838310.539999999</v>
      </c>
      <c r="D98" s="45">
        <f>SUMIFS('07导出'!$H$2:$H$1860,'07导出'!$A$2:$A$1860,A98,'07导出'!$C$2:$C$1860,"205")</f>
        <v>25475651.66</v>
      </c>
      <c r="E98" s="46">
        <f>SUMIFS('07导出'!$G$2:$G$1860,'07导出'!$A$2:$A$1860,A98,'07导出'!$D$2:$D$1860,"20502")</f>
        <v>248465</v>
      </c>
      <c r="F98" s="46">
        <f>SUMIFS('07导出'!$H$2:$H$1860,'07导出'!$A$2:$A$1860,A98,'07导出'!$D$2:$D$1860,"20502")</f>
        <v>3198</v>
      </c>
      <c r="G98" s="46">
        <f>SUMIFS('07导出'!$G$2:$G$1860,'07导出'!$A$2:$A$1860,A98,'07导出'!$D$2:$D$1860,"20503")</f>
        <v>26263347.600000001</v>
      </c>
      <c r="H98" s="46">
        <f>SUMIFS('07导出'!$H$2:$H$1860,'07导出'!$A$2:$A$1860,A98,'07导出'!$D$2:$D$1860,"20503")</f>
        <v>23958793.66</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28793.200000000001</v>
      </c>
      <c r="N98" s="46">
        <f>SUMIFS('07导出'!$H$2:$H$1860,'07导出'!$A$2:$A$1860,A98,'07导出'!$D$2:$D$1860,"20508")</f>
        <v>71200</v>
      </c>
      <c r="O98" s="46">
        <f>SUMIFS('07导出'!$G$2:$G$1860,'07导出'!$A$2:$A$1860,A98,'07导出'!$D$2:$D$1860,"20509")</f>
        <v>1297704.74</v>
      </c>
      <c r="P98" s="46">
        <f>SUMIFS('07导出'!$H$2:$H$1860,'07导出'!$A$2:$A$1860,A98,'07导出'!$D$2:$D$1860,"20509")</f>
        <v>1442460</v>
      </c>
      <c r="Q98" s="46">
        <f>SUMIFS('07导出'!$G$2:$G$1860,'07导出'!$A$2:$A$1860,A98,'07导出'!$C$2:$C$1860,"206")</f>
        <v>0</v>
      </c>
      <c r="R98" s="46">
        <f>SUMIFS('07导出'!$H$2:$H$1860,'07导出'!$A$2:$A$1860,A98,'07导出'!$C$2:$C$1860,"206")</f>
        <v>0</v>
      </c>
      <c r="S98" s="46">
        <f>SUMIFS('07导出'!$G$2:$G$1860,'07导出'!$A$2:$A$1860,A98,'07导出'!$D$2:$D$1860,"20607")</f>
        <v>0</v>
      </c>
      <c r="T98" s="46">
        <f>SUMIFS('07导出'!$H$2:$H$1860,'07导出'!$A$2:$A$1860,A98,'07导出'!$D$2:$D$1860,"20607")</f>
        <v>0</v>
      </c>
      <c r="U98" s="46">
        <f>SUMIFS('07导出'!$G$2:$G$1860,'07导出'!$A$2:$A$1860,A98,'07导出'!$C$2:$C$1860,"208")</f>
        <v>8746625.0299999993</v>
      </c>
      <c r="V98" s="46">
        <f>SUMIFS('07导出'!$H$2:$H$1860,'07导出'!$A$2:$A$1860,A98,'07导出'!$C$2:$C$1860,"208")</f>
        <v>7709107.080000001</v>
      </c>
      <c r="W98" s="46">
        <f>SUMIFS('07导出'!$G$2:$G$1860,'07导出'!$A$2:$A$1860,A98,'07导出'!$D$2:$D$1860,"20805")</f>
        <v>8746625.0299999993</v>
      </c>
      <c r="X98" s="46">
        <f>SUMIFS('07导出'!$H$2:$H$1860,'07导出'!$A$2:$A$1860,A98,'07导出'!$D$2:$D$1860,"20805")</f>
        <v>7709107.080000001</v>
      </c>
      <c r="Y98" s="46">
        <f>SUMIFS('07导出'!$G$2:$G$1860,'07导出'!$A$2:$A$1860,A98,'07导出'!$D$2:$D$1860,"20808")</f>
        <v>0</v>
      </c>
      <c r="Z98" s="46">
        <f>SUMIFS('07导出'!$H$2:$H$1860,'07导出'!$A$2:$A$1860,A98,'07导出'!$D$2:$D$1860,"20808")</f>
        <v>0</v>
      </c>
      <c r="AA98" s="46">
        <f>SUMIFS('07导出'!$G$2:$G$1860,'07导出'!$A$2:$A$1860,A98,'07导出'!$C$2:$C$1860,"210")</f>
        <v>2146201.21</v>
      </c>
      <c r="AB98" s="46">
        <f>SUMIFS('07导出'!$H$2:$H$1860,'07导出'!$A$2:$A$1860,A98,'07导出'!$C$2:$C$1860,"210")</f>
        <v>2146201.21</v>
      </c>
      <c r="AC98" s="46">
        <f>SUMIFS('07导出'!$G$2:$G$1860,'07导出'!$A$2:$A$1860,A98,'07导出'!$D$2:$D$1860,"21011")</f>
        <v>2146201.21</v>
      </c>
      <c r="AD98" s="46">
        <f>SUMIFS('07导出'!$H$2:$H$1860,'07导出'!$A$2:$A$1860,A98,'07导出'!$D$2:$D$1860,"21011")</f>
        <v>2146201.21</v>
      </c>
      <c r="AE98" s="46">
        <f>SUMIFS('07导出'!$G$2:$G$1860,'07导出'!$A$2:$A$1860,A98,'07导出'!$C$2:$C$1860,"212")</f>
        <v>0</v>
      </c>
      <c r="AF98" s="46">
        <f>SUMIFS('07导出'!$H$2:$H$1860,'07导出'!$A$2:$A$1860,A98,'07导出'!$C$2:$C$1860,"212")</f>
        <v>0</v>
      </c>
      <c r="AG98" s="46">
        <f>SUMIFS('07导出'!$G$2:$G$1860,'07导出'!$A$2:$A$1860,A98,'07导出'!$D$2:$D$1860,"21203")</f>
        <v>0</v>
      </c>
      <c r="AH98" s="46">
        <f>SUMIFS('07导出'!$H$2:$H$1860,'07导出'!$A$2:$A$1860,A98,'07导出'!$D$2:$D$1860,"21203")</f>
        <v>0</v>
      </c>
      <c r="AI98" s="46">
        <f>SUMIFS('07导出'!$G$2:$G$1860,'07导出'!$A$2:$A$1860,A98,'07导出'!$C$2:$C$1860,"213")</f>
        <v>75000</v>
      </c>
      <c r="AJ98" s="46">
        <f>SUMIFS('07导出'!$H$2:$H$1860,'07导出'!$A$2:$A$1860,A98,'07导出'!$C$2:$C$1860,"213")</f>
        <v>0</v>
      </c>
      <c r="AK98" s="46">
        <f>SUMIFS('07导出'!$G$2:$G$1860,'07导出'!$A$2:$A$1860,A98,'07导出'!$D$2:$D$1860,"21305")</f>
        <v>75000</v>
      </c>
      <c r="AL98" s="46">
        <f>SUMIFS('07导出'!$H$2:$H$1860,'07导出'!$A$2:$A$1860,A98,'07导出'!$D$2:$D$1860,"21305")</f>
        <v>0</v>
      </c>
      <c r="AM98" s="46">
        <f>SUMIFS('07导出'!$G$2:$G$1860,'07导出'!$A$2:$A$1860,A98,'07导出'!$C$2:$C$1860,"221")</f>
        <v>4531573.04</v>
      </c>
      <c r="AN98" s="46">
        <f>SUMIFS('07导出'!$H$2:$H$1860,'07导出'!$A$2:$A$1860,A98,'07导出'!$C$2:$C$1860,"221")</f>
        <v>4814642.04</v>
      </c>
      <c r="AO98" s="46">
        <f>SUMIFS('07导出'!$G$2:$G$1860,'07导出'!$A$2:$A$1860,A98,'07导出'!$D$2:$D$1860,"22102")</f>
        <v>4531573.04</v>
      </c>
      <c r="AP98" s="46">
        <f>SUMIFS('07导出'!$H$2:$H$1860,'07导出'!$A$2:$A$1860,A98,'07导出'!$D$2:$D$1860,"22102")</f>
        <v>4814642.04</v>
      </c>
    </row>
    <row r="99" spans="1:42">
      <c r="A99" s="43">
        <v>255124</v>
      </c>
      <c r="B99" s="44" t="s">
        <v>98</v>
      </c>
      <c r="C99" s="45">
        <f>SUMIFS('07导出'!$G$2:$G$1860,'07导出'!$A$2:$A$1860,A99,'07导出'!$C$2:$C$1860,"205")</f>
        <v>17533616.25</v>
      </c>
      <c r="D99" s="45">
        <f>SUMIFS('07导出'!$H$2:$H$1860,'07导出'!$A$2:$A$1860,A99,'07导出'!$C$2:$C$1860,"205")</f>
        <v>15902083.640000001</v>
      </c>
      <c r="E99" s="46">
        <f>SUMIFS('07导出'!$G$2:$G$1860,'07导出'!$A$2:$A$1860,A99,'07导出'!$D$2:$D$1860,"20502")</f>
        <v>17533616.25</v>
      </c>
      <c r="F99" s="46">
        <f>SUMIFS('07导出'!$H$2:$H$1860,'07导出'!$A$2:$A$1860,A99,'07导出'!$D$2:$D$1860,"20502")</f>
        <v>15867683.640000001</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34400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SUMIFS('07导出'!$G$2:$G$1860,'07导出'!$A$2:$A$1860,A99,'07导出'!$D$2:$D$1860,"20607")</f>
        <v>0</v>
      </c>
      <c r="T99" s="46">
        <f>SUMIFS('07导出'!$H$2:$H$1860,'07导出'!$A$2:$A$1860,A99,'07导出'!$D$2:$D$1860,"20607")</f>
        <v>0</v>
      </c>
      <c r="U99" s="46">
        <f>SUMIFS('07导出'!$G$2:$G$1860,'07导出'!$A$2:$A$1860,A99,'07导出'!$C$2:$C$1860,"208")</f>
        <v>4917945.08</v>
      </c>
      <c r="V99" s="46">
        <f>SUMIFS('07导出'!$H$2:$H$1860,'07导出'!$A$2:$A$1860,A99,'07导出'!$C$2:$C$1860,"208")</f>
        <v>4301412.24</v>
      </c>
      <c r="W99" s="46">
        <f>SUMIFS('07导出'!$G$2:$G$1860,'07导出'!$A$2:$A$1860,A99,'07导出'!$D$2:$D$1860,"20805")</f>
        <v>4917945.08</v>
      </c>
      <c r="X99" s="46">
        <f>SUMIFS('07导出'!$H$2:$H$1860,'07导出'!$A$2:$A$1860,A99,'07导出'!$D$2:$D$1860,"20805")</f>
        <v>4301412.24</v>
      </c>
      <c r="Y99" s="46">
        <f>SUMIFS('07导出'!$G$2:$G$1860,'07导出'!$A$2:$A$1860,A99,'07导出'!$D$2:$D$1860,"20808")</f>
        <v>0</v>
      </c>
      <c r="Z99" s="46">
        <f>SUMIFS('07导出'!$H$2:$H$1860,'07导出'!$A$2:$A$1860,A99,'07导出'!$D$2:$D$1860,"20808")</f>
        <v>0</v>
      </c>
      <c r="AA99" s="46">
        <f>SUMIFS('07导出'!$G$2:$G$1860,'07导出'!$A$2:$A$1860,A99,'07导出'!$C$2:$C$1860,"210")</f>
        <v>1026451.04</v>
      </c>
      <c r="AB99" s="46">
        <f>SUMIFS('07导出'!$H$2:$H$1860,'07导出'!$A$2:$A$1860,A99,'07导出'!$C$2:$C$1860,"210")</f>
        <v>1296760.6299999999</v>
      </c>
      <c r="AC99" s="46">
        <f>SUMIFS('07导出'!$G$2:$G$1860,'07导出'!$A$2:$A$1860,A99,'07导出'!$D$2:$D$1860,"21011")</f>
        <v>1026451.04</v>
      </c>
      <c r="AD99" s="46">
        <f>SUMIFS('07导出'!$H$2:$H$1860,'07导出'!$A$2:$A$1860,A99,'07导出'!$D$2:$D$1860,"21011")</f>
        <v>1296760.6299999999</v>
      </c>
      <c r="AE99" s="46">
        <f>SUMIFS('07导出'!$G$2:$G$1860,'07导出'!$A$2:$A$1860,A99,'07导出'!$C$2:$C$1860,"212")</f>
        <v>0</v>
      </c>
      <c r="AF99" s="46">
        <f>SUMIFS('07导出'!$H$2:$H$1860,'07导出'!$A$2:$A$1860,A99,'07导出'!$C$2:$C$1860,"212")</f>
        <v>0</v>
      </c>
      <c r="AG99" s="46">
        <f>SUMIFS('07导出'!$G$2:$G$1860,'07导出'!$A$2:$A$1860,A99,'07导出'!$D$2:$D$1860,"21203")</f>
        <v>0</v>
      </c>
      <c r="AH99" s="46">
        <f>SUMIFS('07导出'!$H$2:$H$1860,'07导出'!$A$2:$A$1860,A99,'07导出'!$D$2:$D$1860,"21203")</f>
        <v>0</v>
      </c>
      <c r="AI99" s="46">
        <f>SUMIFS('07导出'!$G$2:$G$1860,'07导出'!$A$2:$A$1860,A99,'07导出'!$C$2:$C$1860,"213")</f>
        <v>0</v>
      </c>
      <c r="AJ99" s="46">
        <f>SUMIFS('07导出'!$H$2:$H$1860,'07导出'!$A$2:$A$1860,A99,'07导出'!$C$2:$C$1860,"213")</f>
        <v>0</v>
      </c>
      <c r="AK99" s="46">
        <f>SUMIFS('07导出'!$G$2:$G$1860,'07导出'!$A$2:$A$1860,A99,'07导出'!$D$2:$D$1860,"21305")</f>
        <v>0</v>
      </c>
      <c r="AL99" s="46">
        <f>SUMIFS('07导出'!$H$2:$H$1860,'07导出'!$A$2:$A$1860,A99,'07导出'!$D$2:$D$1860,"21305")</f>
        <v>0</v>
      </c>
      <c r="AM99" s="46">
        <f>SUMIFS('07导出'!$G$2:$G$1860,'07导出'!$A$2:$A$1860,A99,'07导出'!$C$2:$C$1860,"221")</f>
        <v>2380409</v>
      </c>
      <c r="AN99" s="46">
        <f>SUMIFS('07导出'!$H$2:$H$1860,'07导出'!$A$2:$A$1860,A99,'07导出'!$C$2:$C$1860,"221")</f>
        <v>2420886.12</v>
      </c>
      <c r="AO99" s="46">
        <f>SUMIFS('07导出'!$G$2:$G$1860,'07导出'!$A$2:$A$1860,A99,'07导出'!$D$2:$D$1860,"22102")</f>
        <v>2380409</v>
      </c>
      <c r="AP99" s="46">
        <f>SUMIFS('07导出'!$H$2:$H$1860,'07导出'!$A$2:$A$1860,A99,'07导出'!$D$2:$D$1860,"22102")</f>
        <v>2420886.12</v>
      </c>
    </row>
    <row r="100" spans="1:42">
      <c r="A100" s="43">
        <v>255126</v>
      </c>
      <c r="B100" s="44" t="s">
        <v>99</v>
      </c>
      <c r="C100" s="45">
        <f>SUMIFS('07导出'!$G$2:$G$1860,'07导出'!$A$2:$A$1860,A100,'07导出'!$C$2:$C$1860,"205")</f>
        <v>76357884.38000001</v>
      </c>
      <c r="D100" s="45">
        <f>SUMIFS('07导出'!$H$2:$H$1860,'07导出'!$A$2:$A$1860,A100,'07导出'!$C$2:$C$1860,"205")</f>
        <v>64193923.159999996</v>
      </c>
      <c r="E100" s="46">
        <f>SUMIFS('07导出'!$G$2:$G$1860,'07导出'!$A$2:$A$1860,A100,'07导出'!$D$2:$D$1860,"20502")</f>
        <v>73501216.290000007</v>
      </c>
      <c r="F100" s="46">
        <f>SUMIFS('07导出'!$H$2:$H$1860,'07导出'!$A$2:$A$1860,A100,'07导出'!$D$2:$D$1860,"20502")</f>
        <v>60302223.159999996</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91200</v>
      </c>
      <c r="N100" s="46">
        <f>SUMIFS('07导出'!$H$2:$H$1860,'07导出'!$A$2:$A$1860,A100,'07导出'!$D$2:$D$1860,"20508")</f>
        <v>182400</v>
      </c>
      <c r="O100" s="46">
        <f>SUMIFS('07导出'!$G$2:$G$1860,'07导出'!$A$2:$A$1860,A100,'07导出'!$D$2:$D$1860,"20509")</f>
        <v>2765468.09</v>
      </c>
      <c r="P100" s="46">
        <f>SUMIFS('07导出'!$H$2:$H$1860,'07导出'!$A$2:$A$1860,A100,'07导出'!$D$2:$D$1860,"20509")</f>
        <v>3709300</v>
      </c>
      <c r="Q100" s="46">
        <f>SUMIFS('07导出'!$G$2:$G$1860,'07导出'!$A$2:$A$1860,A100,'07导出'!$C$2:$C$1860,"206")</f>
        <v>0</v>
      </c>
      <c r="R100" s="46">
        <f>SUMIFS('07导出'!$H$2:$H$1860,'07导出'!$A$2:$A$1860,A100,'07导出'!$C$2:$C$1860,"206")</f>
        <v>0</v>
      </c>
      <c r="S100" s="46">
        <f>SUMIFS('07导出'!$G$2:$G$1860,'07导出'!$A$2:$A$1860,A100,'07导出'!$D$2:$D$1860,"20607")</f>
        <v>0</v>
      </c>
      <c r="T100" s="46">
        <f>SUMIFS('07导出'!$H$2:$H$1860,'07导出'!$A$2:$A$1860,A100,'07导出'!$D$2:$D$1860,"20607")</f>
        <v>0</v>
      </c>
      <c r="U100" s="46">
        <f>SUMIFS('07导出'!$G$2:$G$1860,'07导出'!$A$2:$A$1860,A100,'07导出'!$C$2:$C$1860,"208")</f>
        <v>14433061.359999999</v>
      </c>
      <c r="V100" s="46">
        <f>SUMIFS('07导出'!$H$2:$H$1860,'07导出'!$A$2:$A$1860,A100,'07导出'!$C$2:$C$1860,"208")</f>
        <v>12794135.200000001</v>
      </c>
      <c r="W100" s="46">
        <f>SUMIFS('07导出'!$G$2:$G$1860,'07导出'!$A$2:$A$1860,A100,'07导出'!$D$2:$D$1860,"20805")</f>
        <v>14433061.359999999</v>
      </c>
      <c r="X100" s="46">
        <f>SUMIFS('07导出'!$H$2:$H$1860,'07导出'!$A$2:$A$1860,A100,'07导出'!$D$2:$D$1860,"20805")</f>
        <v>12794135.200000001</v>
      </c>
      <c r="Y100" s="46">
        <f>SUMIFS('07导出'!$G$2:$G$1860,'07导出'!$A$2:$A$1860,A100,'07导出'!$D$2:$D$1860,"20808")</f>
        <v>0</v>
      </c>
      <c r="Z100" s="46">
        <f>SUMIFS('07导出'!$H$2:$H$1860,'07导出'!$A$2:$A$1860,A100,'07导出'!$D$2:$D$1860,"20808")</f>
        <v>0</v>
      </c>
      <c r="AA100" s="46">
        <f>SUMIFS('07导出'!$G$2:$G$1860,'07导出'!$A$2:$A$1860,A100,'07导出'!$C$2:$C$1860,"210")</f>
        <v>4284320.79</v>
      </c>
      <c r="AB100" s="46">
        <f>SUMIFS('07导出'!$H$2:$H$1860,'07导出'!$A$2:$A$1860,A100,'07导出'!$C$2:$C$1860,"210")</f>
        <v>4760014.1500000004</v>
      </c>
      <c r="AC100" s="46">
        <f>SUMIFS('07导出'!$G$2:$G$1860,'07导出'!$A$2:$A$1860,A100,'07导出'!$D$2:$D$1860,"21011")</f>
        <v>4284320.79</v>
      </c>
      <c r="AD100" s="46">
        <f>SUMIFS('07导出'!$H$2:$H$1860,'07导出'!$A$2:$A$1860,A100,'07导出'!$D$2:$D$1860,"21011")</f>
        <v>4760014.1500000004</v>
      </c>
      <c r="AE100" s="46">
        <f>SUMIFS('07导出'!$G$2:$G$1860,'07导出'!$A$2:$A$1860,A100,'07导出'!$C$2:$C$1860,"212")</f>
        <v>0</v>
      </c>
      <c r="AF100" s="46">
        <f>SUMIFS('07导出'!$H$2:$H$1860,'07导出'!$A$2:$A$1860,A100,'07导出'!$C$2:$C$1860,"212")</f>
        <v>0</v>
      </c>
      <c r="AG100" s="46">
        <f>SUMIFS('07导出'!$G$2:$G$1860,'07导出'!$A$2:$A$1860,A100,'07导出'!$D$2:$D$1860,"21203")</f>
        <v>0</v>
      </c>
      <c r="AH100" s="46">
        <f>SUMIFS('07导出'!$H$2:$H$1860,'07导出'!$A$2:$A$1860,A100,'07导出'!$D$2:$D$1860,"21203")</f>
        <v>0</v>
      </c>
      <c r="AI100" s="46">
        <f>SUMIFS('07导出'!$G$2:$G$1860,'07导出'!$A$2:$A$1860,A100,'07导出'!$C$2:$C$1860,"213")</f>
        <v>0</v>
      </c>
      <c r="AJ100" s="46">
        <f>SUMIFS('07导出'!$H$2:$H$1860,'07导出'!$A$2:$A$1860,A100,'07导出'!$C$2:$C$1860,"213")</f>
        <v>0</v>
      </c>
      <c r="AK100" s="46">
        <f>SUMIFS('07导出'!$G$2:$G$1860,'07导出'!$A$2:$A$1860,A100,'07导出'!$D$2:$D$1860,"21305")</f>
        <v>0</v>
      </c>
      <c r="AL100" s="46">
        <f>SUMIFS('07导出'!$H$2:$H$1860,'07导出'!$A$2:$A$1860,A100,'07导出'!$D$2:$D$1860,"21305")</f>
        <v>0</v>
      </c>
      <c r="AM100" s="46">
        <f>SUMIFS('07导出'!$G$2:$G$1860,'07导出'!$A$2:$A$1860,A100,'07导出'!$C$2:$C$1860,"221")</f>
        <v>13100936</v>
      </c>
      <c r="AN100" s="46">
        <f>SUMIFS('07导出'!$H$2:$H$1860,'07导出'!$A$2:$A$1860,A100,'07导出'!$C$2:$C$1860,"221")</f>
        <v>12004038.6</v>
      </c>
      <c r="AO100" s="46">
        <f>SUMIFS('07导出'!$G$2:$G$1860,'07导出'!$A$2:$A$1860,A100,'07导出'!$D$2:$D$1860,"22102")</f>
        <v>13100936</v>
      </c>
      <c r="AP100" s="46">
        <f>SUMIFS('07导出'!$H$2:$H$1860,'07导出'!$A$2:$A$1860,A100,'07导出'!$D$2:$D$1860,"22102")</f>
        <v>12004038.6</v>
      </c>
    </row>
    <row r="101" spans="1:42">
      <c r="A101" s="43">
        <v>255127</v>
      </c>
      <c r="B101" s="44" t="s">
        <v>100</v>
      </c>
      <c r="C101" s="45">
        <f>SUMIFS('07导出'!$G$2:$G$1860,'07导出'!$A$2:$A$1860,A101,'07导出'!$C$2:$C$1860,"205")</f>
        <v>41378997.720000006</v>
      </c>
      <c r="D101" s="45">
        <f>SUMIFS('07导出'!$H$2:$H$1860,'07导出'!$A$2:$A$1860,A101,'07导出'!$C$2:$C$1860,"205")</f>
        <v>40786943.689999998</v>
      </c>
      <c r="E101" s="46">
        <f>SUMIFS('07导出'!$G$2:$G$1860,'07导出'!$A$2:$A$1860,A101,'07导出'!$D$2:$D$1860,"20502")</f>
        <v>40950585.120000005</v>
      </c>
      <c r="F101" s="46">
        <f>SUMIFS('07导出'!$H$2:$H$1860,'07导出'!$A$2:$A$1860,A101,'07导出'!$D$2:$D$1860,"20502")</f>
        <v>39459343.689999998</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50478</v>
      </c>
      <c r="N101" s="46">
        <f>SUMIFS('07导出'!$H$2:$H$1860,'07导出'!$A$2:$A$1860,A101,'07导出'!$D$2:$D$1860,"20508")</f>
        <v>109600</v>
      </c>
      <c r="O101" s="46">
        <f>SUMIFS('07导出'!$G$2:$G$1860,'07导出'!$A$2:$A$1860,A101,'07导出'!$D$2:$D$1860,"20509")</f>
        <v>377934.6</v>
      </c>
      <c r="P101" s="46">
        <f>SUMIFS('07导出'!$H$2:$H$1860,'07导出'!$A$2:$A$1860,A101,'07导出'!$D$2:$D$1860,"20509")</f>
        <v>1218000</v>
      </c>
      <c r="Q101" s="46">
        <f>SUMIFS('07导出'!$G$2:$G$1860,'07导出'!$A$2:$A$1860,A101,'07导出'!$C$2:$C$1860,"206")</f>
        <v>0</v>
      </c>
      <c r="R101" s="46">
        <f>SUMIFS('07导出'!$H$2:$H$1860,'07导出'!$A$2:$A$1860,A101,'07导出'!$C$2:$C$1860,"206")</f>
        <v>0</v>
      </c>
      <c r="S101" s="46">
        <f>SUMIFS('07导出'!$G$2:$G$1860,'07导出'!$A$2:$A$1860,A101,'07导出'!$D$2:$D$1860,"20607")</f>
        <v>0</v>
      </c>
      <c r="T101" s="46">
        <f>SUMIFS('07导出'!$H$2:$H$1860,'07导出'!$A$2:$A$1860,A101,'07导出'!$D$2:$D$1860,"20607")</f>
        <v>0</v>
      </c>
      <c r="U101" s="46">
        <f>SUMIFS('07导出'!$G$2:$G$1860,'07导出'!$A$2:$A$1860,A101,'07导出'!$C$2:$C$1860,"208")</f>
        <v>7725180.7999999998</v>
      </c>
      <c r="V101" s="46">
        <f>SUMIFS('07导出'!$H$2:$H$1860,'07导出'!$A$2:$A$1860,A101,'07导出'!$C$2:$C$1860,"208")</f>
        <v>8009227.5600000005</v>
      </c>
      <c r="W101" s="46">
        <f>SUMIFS('07导出'!$G$2:$G$1860,'07导出'!$A$2:$A$1860,A101,'07导出'!$D$2:$D$1860,"20805")</f>
        <v>7725180.7999999998</v>
      </c>
      <c r="X101" s="46">
        <f>SUMIFS('07导出'!$H$2:$H$1860,'07导出'!$A$2:$A$1860,A101,'07导出'!$D$2:$D$1860,"20805")</f>
        <v>8009227.5600000005</v>
      </c>
      <c r="Y101" s="46">
        <f>SUMIFS('07导出'!$G$2:$G$1860,'07导出'!$A$2:$A$1860,A101,'07导出'!$D$2:$D$1860,"20808")</f>
        <v>0</v>
      </c>
      <c r="Z101" s="46">
        <f>SUMIFS('07导出'!$H$2:$H$1860,'07导出'!$A$2:$A$1860,A101,'07导出'!$D$2:$D$1860,"20808")</f>
        <v>0</v>
      </c>
      <c r="AA101" s="46">
        <f>SUMIFS('07导出'!$G$2:$G$1860,'07导出'!$A$2:$A$1860,A101,'07导出'!$C$2:$C$1860,"210")</f>
        <v>3271385.65</v>
      </c>
      <c r="AB101" s="46">
        <f>SUMIFS('07导出'!$H$2:$H$1860,'07导出'!$A$2:$A$1860,A101,'07导出'!$C$2:$C$1860,"210")</f>
        <v>3417629.72</v>
      </c>
      <c r="AC101" s="46">
        <f>SUMIFS('07导出'!$G$2:$G$1860,'07导出'!$A$2:$A$1860,A101,'07导出'!$D$2:$D$1860,"21011")</f>
        <v>3271385.65</v>
      </c>
      <c r="AD101" s="46">
        <f>SUMIFS('07导出'!$H$2:$H$1860,'07导出'!$A$2:$A$1860,A101,'07导出'!$D$2:$D$1860,"21011")</f>
        <v>3417629.72</v>
      </c>
      <c r="AE101" s="46">
        <f>SUMIFS('07导出'!$G$2:$G$1860,'07导出'!$A$2:$A$1860,A101,'07导出'!$C$2:$C$1860,"212")</f>
        <v>0</v>
      </c>
      <c r="AF101" s="46">
        <f>SUMIFS('07导出'!$H$2:$H$1860,'07导出'!$A$2:$A$1860,A101,'07导出'!$C$2:$C$1860,"212")</f>
        <v>0</v>
      </c>
      <c r="AG101" s="46">
        <f>SUMIFS('07导出'!$G$2:$G$1860,'07导出'!$A$2:$A$1860,A101,'07导出'!$D$2:$D$1860,"21203")</f>
        <v>0</v>
      </c>
      <c r="AH101" s="46">
        <f>SUMIFS('07导出'!$H$2:$H$1860,'07导出'!$A$2:$A$1860,A101,'07导出'!$D$2:$D$1860,"21203")</f>
        <v>0</v>
      </c>
      <c r="AI101" s="46">
        <f>SUMIFS('07导出'!$G$2:$G$1860,'07导出'!$A$2:$A$1860,A101,'07导出'!$C$2:$C$1860,"213")</f>
        <v>0</v>
      </c>
      <c r="AJ101" s="46">
        <f>SUMIFS('07导出'!$H$2:$H$1860,'07导出'!$A$2:$A$1860,A101,'07导出'!$C$2:$C$1860,"213")</f>
        <v>0</v>
      </c>
      <c r="AK101" s="46">
        <f>SUMIFS('07导出'!$G$2:$G$1860,'07导出'!$A$2:$A$1860,A101,'07导出'!$D$2:$D$1860,"21305")</f>
        <v>0</v>
      </c>
      <c r="AL101" s="46">
        <f>SUMIFS('07导出'!$H$2:$H$1860,'07导出'!$A$2:$A$1860,A101,'07导出'!$D$2:$D$1860,"21305")</f>
        <v>0</v>
      </c>
      <c r="AM101" s="46">
        <f>SUMIFS('07导出'!$G$2:$G$1860,'07导出'!$A$2:$A$1860,A101,'07导出'!$C$2:$C$1860,"221")</f>
        <v>7615930.4299999997</v>
      </c>
      <c r="AN101" s="46">
        <f>SUMIFS('07导出'!$H$2:$H$1860,'07导出'!$A$2:$A$1860,A101,'07导出'!$C$2:$C$1860,"221")</f>
        <v>7923833.2799999993</v>
      </c>
      <c r="AO101" s="46">
        <f>SUMIFS('07导出'!$G$2:$G$1860,'07导出'!$A$2:$A$1860,A101,'07导出'!$D$2:$D$1860,"22102")</f>
        <v>7615930.4299999997</v>
      </c>
      <c r="AP101" s="46">
        <f>SUMIFS('07导出'!$H$2:$H$1860,'07导出'!$A$2:$A$1860,A101,'07导出'!$D$2:$D$1860,"22102")</f>
        <v>7923833.2799999993</v>
      </c>
    </row>
    <row r="102" spans="1:42">
      <c r="A102" s="43">
        <v>255129</v>
      </c>
      <c r="B102" s="44" t="s">
        <v>101</v>
      </c>
      <c r="C102" s="45">
        <f>SUMIFS('07导出'!$G$2:$G$1860,'07导出'!$A$2:$A$1860,A102,'07导出'!$C$2:$C$1860,"205")</f>
        <v>178827748.35999998</v>
      </c>
      <c r="D102" s="45">
        <f>SUMIFS('07导出'!$H$2:$H$1860,'07导出'!$A$2:$A$1860,A102,'07导出'!$C$2:$C$1860,"205")</f>
        <v>150410959.83000001</v>
      </c>
      <c r="E102" s="46">
        <f>SUMIFS('07导出'!$G$2:$G$1860,'07导出'!$A$2:$A$1860,A102,'07导出'!$D$2:$D$1860,"20502")</f>
        <v>176047139.35999998</v>
      </c>
      <c r="F102" s="46">
        <f>SUMIFS('07导出'!$H$2:$H$1860,'07导出'!$A$2:$A$1860,A102,'07导出'!$D$2:$D$1860,"20502")</f>
        <v>146426619.83000001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69269</v>
      </c>
      <c r="N102" s="46">
        <f>SUMIFS('07导出'!$H$2:$H$1860,'07导出'!$A$2:$A$1860,A102,'07导出'!$D$2:$D$1860,"20508")</f>
        <v>433600</v>
      </c>
      <c r="O102" s="46">
        <f>SUMIFS('07导出'!$G$2:$G$1860,'07导出'!$A$2:$A$1860,A102,'07导出'!$D$2:$D$1860,"20509")</f>
        <v>2711340</v>
      </c>
      <c r="P102" s="46">
        <f>SUMIFS('07导出'!$H$2:$H$1860,'07导出'!$A$2:$A$1860,A102,'07导出'!$D$2:$D$1860,"20509")</f>
        <v>3550740</v>
      </c>
      <c r="Q102" s="46">
        <f>SUMIFS('07导出'!$G$2:$G$1860,'07导出'!$A$2:$A$1860,A102,'07导出'!$C$2:$C$1860,"206")</f>
        <v>0</v>
      </c>
      <c r="R102" s="46">
        <f>SUMIFS('07导出'!$H$2:$H$1860,'07导出'!$A$2:$A$1860,A102,'07导出'!$C$2:$C$1860,"206")</f>
        <v>0</v>
      </c>
      <c r="S102" s="46">
        <f>SUMIFS('07导出'!$G$2:$G$1860,'07导出'!$A$2:$A$1860,A102,'07导出'!$D$2:$D$1860,"20607")</f>
        <v>0</v>
      </c>
      <c r="T102" s="46">
        <f>SUMIFS('07导出'!$H$2:$H$1860,'07导出'!$A$2:$A$1860,A102,'07导出'!$D$2:$D$1860,"20607")</f>
        <v>0</v>
      </c>
      <c r="U102" s="46">
        <f>SUMIFS('07导出'!$G$2:$G$1860,'07导出'!$A$2:$A$1860,A102,'07导出'!$C$2:$C$1860,"208")</f>
        <v>35789084.510000005</v>
      </c>
      <c r="V102" s="46">
        <f>SUMIFS('07导出'!$H$2:$H$1860,'07导出'!$A$2:$A$1860,A102,'07导出'!$C$2:$C$1860,"208")</f>
        <v>33011341.759999998</v>
      </c>
      <c r="W102" s="46">
        <f>SUMIFS('07导出'!$G$2:$G$1860,'07导出'!$A$2:$A$1860,A102,'07导出'!$D$2:$D$1860,"20805")</f>
        <v>35789084.510000005</v>
      </c>
      <c r="X102" s="46">
        <f>SUMIFS('07导出'!$H$2:$H$1860,'07导出'!$A$2:$A$1860,A102,'07导出'!$D$2:$D$1860,"20805")</f>
        <v>33011341.759999998</v>
      </c>
      <c r="Y102" s="46">
        <f>SUMIFS('07导出'!$G$2:$G$1860,'07导出'!$A$2:$A$1860,A102,'07导出'!$D$2:$D$1860,"20808")</f>
        <v>0</v>
      </c>
      <c r="Z102" s="46">
        <f>SUMIFS('07导出'!$H$2:$H$1860,'07导出'!$A$2:$A$1860,A102,'07导出'!$D$2:$D$1860,"20808")</f>
        <v>0</v>
      </c>
      <c r="AA102" s="46">
        <f>SUMIFS('07导出'!$G$2:$G$1860,'07导出'!$A$2:$A$1860,A102,'07导出'!$C$2:$C$1860,"210")</f>
        <v>15218736.310000001</v>
      </c>
      <c r="AB102" s="46">
        <f>SUMIFS('07导出'!$H$2:$H$1860,'07导出'!$A$2:$A$1860,A102,'07导出'!$C$2:$C$1860,"210")</f>
        <v>12658807.119999999</v>
      </c>
      <c r="AC102" s="46">
        <f>SUMIFS('07导出'!$G$2:$G$1860,'07导出'!$A$2:$A$1860,A102,'07导出'!$D$2:$D$1860,"21011")</f>
        <v>15218736.310000001</v>
      </c>
      <c r="AD102" s="46">
        <f>SUMIFS('07导出'!$H$2:$H$1860,'07导出'!$A$2:$A$1860,A102,'07导出'!$D$2:$D$1860,"21011")</f>
        <v>12658807.119999999</v>
      </c>
      <c r="AE102" s="46">
        <f>SUMIFS('07导出'!$G$2:$G$1860,'07导出'!$A$2:$A$1860,A102,'07导出'!$C$2:$C$1860,"212")</f>
        <v>0</v>
      </c>
      <c r="AF102" s="46">
        <f>SUMIFS('07导出'!$H$2:$H$1860,'07导出'!$A$2:$A$1860,A102,'07导出'!$C$2:$C$1860,"212")</f>
        <v>0</v>
      </c>
      <c r="AG102" s="46">
        <f>SUMIFS('07导出'!$G$2:$G$1860,'07导出'!$A$2:$A$1860,A102,'07导出'!$D$2:$D$1860,"21203")</f>
        <v>0</v>
      </c>
      <c r="AH102" s="46">
        <f>SUMIFS('07导出'!$H$2:$H$1860,'07导出'!$A$2:$A$1860,A102,'07导出'!$D$2:$D$1860,"21203")</f>
        <v>0</v>
      </c>
      <c r="AI102" s="46">
        <f>SUMIFS('07导出'!$G$2:$G$1860,'07导出'!$A$2:$A$1860,A102,'07导出'!$C$2:$C$1860,"213")</f>
        <v>0</v>
      </c>
      <c r="AJ102" s="46">
        <f>SUMIFS('07导出'!$H$2:$H$1860,'07导出'!$A$2:$A$1860,A102,'07导出'!$C$2:$C$1860,"213")</f>
        <v>0</v>
      </c>
      <c r="AK102" s="46">
        <f>SUMIFS('07导出'!$G$2:$G$1860,'07导出'!$A$2:$A$1860,A102,'07导出'!$D$2:$D$1860,"21305")</f>
        <v>0</v>
      </c>
      <c r="AL102" s="46">
        <f>SUMIFS('07导出'!$H$2:$H$1860,'07导出'!$A$2:$A$1860,A102,'07导出'!$D$2:$D$1860,"21305")</f>
        <v>0</v>
      </c>
      <c r="AM102" s="46">
        <f>SUMIFS('07导出'!$G$2:$G$1860,'07导出'!$A$2:$A$1860,A102,'07导出'!$C$2:$C$1860,"221")</f>
        <v>31656554</v>
      </c>
      <c r="AN102" s="46">
        <f>SUMIFS('07导出'!$H$2:$H$1860,'07导出'!$A$2:$A$1860,A102,'07导出'!$C$2:$C$1860,"221")</f>
        <v>29209358.880000003</v>
      </c>
      <c r="AO102" s="46">
        <f>SUMIFS('07导出'!$G$2:$G$1860,'07导出'!$A$2:$A$1860,A102,'07导出'!$D$2:$D$1860,"22102")</f>
        <v>31656554</v>
      </c>
      <c r="AP102" s="46">
        <f>SUMIFS('07导出'!$H$2:$H$1860,'07导出'!$A$2:$A$1860,A102,'07导出'!$D$2:$D$1860,"22102")</f>
        <v>29209358.880000003</v>
      </c>
    </row>
    <row r="103" spans="1:42">
      <c r="A103" s="43">
        <v>255131</v>
      </c>
      <c r="B103" s="44" t="s">
        <v>102</v>
      </c>
      <c r="C103" s="45">
        <f>SUMIFS('07导出'!$G$2:$G$1860,'07导出'!$A$2:$A$1860,A103,'07导出'!$C$2:$C$1860,"205")</f>
        <v>62389498.960000001</v>
      </c>
      <c r="D103" s="45">
        <f>SUMIFS('07导出'!$H$2:$H$1860,'07导出'!$A$2:$A$1860,A103,'07导出'!$C$2:$C$1860,"205")</f>
        <v>50888406.240000002</v>
      </c>
      <c r="E103" s="46">
        <f>SUMIFS('07导出'!$G$2:$G$1860,'07导出'!$A$2:$A$1860,A103,'07导出'!$D$2:$D$1860,"20502")</f>
        <v>59481600.640000001</v>
      </c>
      <c r="F103" s="46">
        <f>SUMIFS('07导出'!$H$2:$H$1860,'07导出'!$A$2:$A$1860,A103,'07导出'!$D$2:$D$1860,"20502")</f>
        <v>46299888.240000002</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2725</v>
      </c>
      <c r="N103" s="46">
        <f>SUMIFS('07导出'!$H$2:$H$1860,'07导出'!$A$2:$A$1860,A103,'07导出'!$D$2:$D$1860,"20508")</f>
        <v>133600</v>
      </c>
      <c r="O103" s="46">
        <f>SUMIFS('07导出'!$G$2:$G$1860,'07导出'!$A$2:$A$1860,A103,'07导出'!$D$2:$D$1860,"20509")</f>
        <v>2905173.3200000003</v>
      </c>
      <c r="P103" s="46">
        <f>SUMIFS('07导出'!$H$2:$H$1860,'07导出'!$A$2:$A$1860,A103,'07导出'!$D$2:$D$1860,"20509")</f>
        <v>4454918</v>
      </c>
      <c r="Q103" s="46">
        <f>SUMIFS('07导出'!$G$2:$G$1860,'07导出'!$A$2:$A$1860,A103,'07导出'!$C$2:$C$1860,"206")</f>
        <v>0</v>
      </c>
      <c r="R103" s="46">
        <f>SUMIFS('07导出'!$H$2:$H$1860,'07导出'!$A$2:$A$1860,A103,'07导出'!$C$2:$C$1860,"206")</f>
        <v>0</v>
      </c>
      <c r="S103" s="46">
        <f>SUMIFS('07导出'!$G$2:$G$1860,'07导出'!$A$2:$A$1860,A103,'07导出'!$D$2:$D$1860,"20607")</f>
        <v>0</v>
      </c>
      <c r="T103" s="46">
        <f>SUMIFS('07导出'!$H$2:$H$1860,'07导出'!$A$2:$A$1860,A103,'07导出'!$D$2:$D$1860,"20607")</f>
        <v>0</v>
      </c>
      <c r="U103" s="46">
        <f>SUMIFS('07导出'!$G$2:$G$1860,'07导出'!$A$2:$A$1860,A103,'07导出'!$C$2:$C$1860,"208")</f>
        <v>10910653.16</v>
      </c>
      <c r="V103" s="46">
        <f>SUMIFS('07导出'!$H$2:$H$1860,'07导出'!$A$2:$A$1860,A103,'07导出'!$C$2:$C$1860,"208")</f>
        <v>9823128.1600000001</v>
      </c>
      <c r="W103" s="46">
        <f>SUMIFS('07导出'!$G$2:$G$1860,'07导出'!$A$2:$A$1860,A103,'07导出'!$D$2:$D$1860,"20805")</f>
        <v>10910653.16</v>
      </c>
      <c r="X103" s="46">
        <f>SUMIFS('07导出'!$H$2:$H$1860,'07导出'!$A$2:$A$1860,A103,'07导出'!$D$2:$D$1860,"20805")</f>
        <v>9823128.1600000001</v>
      </c>
      <c r="Y103" s="46">
        <f>SUMIFS('07导出'!$G$2:$G$1860,'07导出'!$A$2:$A$1860,A103,'07导出'!$D$2:$D$1860,"20808")</f>
        <v>0</v>
      </c>
      <c r="Z103" s="46">
        <f>SUMIFS('07导出'!$H$2:$H$1860,'07导出'!$A$2:$A$1860,A103,'07导出'!$D$2:$D$1860,"20808")</f>
        <v>0</v>
      </c>
      <c r="AA103" s="46">
        <f>SUMIFS('07导出'!$G$2:$G$1860,'07导出'!$A$2:$A$1860,A103,'07导出'!$C$2:$C$1860,"210")</f>
        <v>3910238.91</v>
      </c>
      <c r="AB103" s="46">
        <f>SUMIFS('07导出'!$H$2:$H$1860,'07导出'!$A$2:$A$1860,A103,'07导出'!$C$2:$C$1860,"210")</f>
        <v>3596272.17</v>
      </c>
      <c r="AC103" s="46">
        <f>SUMIFS('07导出'!$G$2:$G$1860,'07导出'!$A$2:$A$1860,A103,'07导出'!$D$2:$D$1860,"21011")</f>
        <v>3910238.91</v>
      </c>
      <c r="AD103" s="46">
        <f>SUMIFS('07导出'!$H$2:$H$1860,'07导出'!$A$2:$A$1860,A103,'07导出'!$D$2:$D$1860,"21011")</f>
        <v>3596272.17</v>
      </c>
      <c r="AE103" s="46">
        <f>SUMIFS('07导出'!$G$2:$G$1860,'07导出'!$A$2:$A$1860,A103,'07导出'!$C$2:$C$1860,"212")</f>
        <v>0</v>
      </c>
      <c r="AF103" s="46">
        <f>SUMIFS('07导出'!$H$2:$H$1860,'07导出'!$A$2:$A$1860,A103,'07导出'!$C$2:$C$1860,"212")</f>
        <v>0</v>
      </c>
      <c r="AG103" s="46">
        <f>SUMIFS('07导出'!$G$2:$G$1860,'07导出'!$A$2:$A$1860,A103,'07导出'!$D$2:$D$1860,"21203")</f>
        <v>0</v>
      </c>
      <c r="AH103" s="46">
        <f>SUMIFS('07导出'!$H$2:$H$1860,'07导出'!$A$2:$A$1860,A103,'07导出'!$D$2:$D$1860,"21203")</f>
        <v>0</v>
      </c>
      <c r="AI103" s="46">
        <f>SUMIFS('07导出'!$G$2:$G$1860,'07导出'!$A$2:$A$1860,A103,'07导出'!$C$2:$C$1860,"213")</f>
        <v>0</v>
      </c>
      <c r="AJ103" s="46">
        <f>SUMIFS('07导出'!$H$2:$H$1860,'07导出'!$A$2:$A$1860,A103,'07导出'!$C$2:$C$1860,"213")</f>
        <v>0</v>
      </c>
      <c r="AK103" s="46">
        <f>SUMIFS('07导出'!$G$2:$G$1860,'07导出'!$A$2:$A$1860,A103,'07导出'!$D$2:$D$1860,"21305")</f>
        <v>0</v>
      </c>
      <c r="AL103" s="46">
        <f>SUMIFS('07导出'!$H$2:$H$1860,'07导出'!$A$2:$A$1860,A103,'07导出'!$D$2:$D$1860,"21305")</f>
        <v>0</v>
      </c>
      <c r="AM103" s="46">
        <f>SUMIFS('07导出'!$G$2:$G$1860,'07导出'!$A$2:$A$1860,A103,'07导出'!$C$2:$C$1860,"221")</f>
        <v>8678739.0800000001</v>
      </c>
      <c r="AN103" s="46">
        <f>SUMIFS('07导出'!$H$2:$H$1860,'07导出'!$A$2:$A$1860,A103,'07导出'!$C$2:$C$1860,"221")</f>
        <v>8800345.0800000001</v>
      </c>
      <c r="AO103" s="46">
        <f>SUMIFS('07导出'!$G$2:$G$1860,'07导出'!$A$2:$A$1860,A103,'07导出'!$D$2:$D$1860,"22102")</f>
        <v>8678739.0800000001</v>
      </c>
      <c r="AP103" s="46">
        <f>SUMIFS('07导出'!$H$2:$H$1860,'07导出'!$A$2:$A$1860,A103,'07导出'!$D$2:$D$1860,"22102")</f>
        <v>8800345.0800000001</v>
      </c>
    </row>
    <row r="104" spans="1:42">
      <c r="A104" s="43">
        <v>255132</v>
      </c>
      <c r="B104" s="44" t="s">
        <v>103</v>
      </c>
      <c r="C104" s="45">
        <f>SUMIFS('07导出'!$G$2:$G$1860,'07导出'!$A$2:$A$1860,A104,'07导出'!$C$2:$C$1860,"205")</f>
        <v>37889488.510000005</v>
      </c>
      <c r="D104" s="45">
        <f>SUMIFS('07导出'!$H$2:$H$1860,'07导出'!$A$2:$A$1860,A104,'07导出'!$C$2:$C$1860,"205")</f>
        <v>29201225.049999997</v>
      </c>
      <c r="E104" s="46">
        <f>SUMIFS('07导出'!$G$2:$G$1860,'07导出'!$A$2:$A$1860,A104,'07导出'!$D$2:$D$1860,"20502")</f>
        <v>37657391.380000003</v>
      </c>
      <c r="F104" s="46">
        <f>SUMIFS('07导出'!$H$2:$H$1860,'07导出'!$A$2:$A$1860,A104,'07导出'!$D$2:$D$1860,"20502")</f>
        <v>28646625.049999997</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11675.13</v>
      </c>
      <c r="N104" s="46">
        <f>SUMIFS('07导出'!$H$2:$H$1860,'07导出'!$A$2:$A$1860,A104,'07导出'!$D$2:$D$1860,"20508")</f>
        <v>77600</v>
      </c>
      <c r="O104" s="46">
        <f>SUMIFS('07导出'!$G$2:$G$1860,'07导出'!$A$2:$A$1860,A104,'07导出'!$D$2:$D$1860,"20509")</f>
        <v>220422</v>
      </c>
      <c r="P104" s="46">
        <f>SUMIFS('07导出'!$H$2:$H$1860,'07导出'!$A$2:$A$1860,A104,'07导出'!$D$2:$D$1860,"20509")</f>
        <v>477000</v>
      </c>
      <c r="Q104" s="46">
        <f>SUMIFS('07导出'!$G$2:$G$1860,'07导出'!$A$2:$A$1860,A104,'07导出'!$C$2:$C$1860,"206")</f>
        <v>0</v>
      </c>
      <c r="R104" s="46">
        <f>SUMIFS('07导出'!$H$2:$H$1860,'07导出'!$A$2:$A$1860,A104,'07导出'!$C$2:$C$1860,"206")</f>
        <v>0</v>
      </c>
      <c r="S104" s="46">
        <f>SUMIFS('07导出'!$G$2:$G$1860,'07导出'!$A$2:$A$1860,A104,'07导出'!$D$2:$D$1860,"20607")</f>
        <v>0</v>
      </c>
      <c r="T104" s="46">
        <f>SUMIFS('07导出'!$H$2:$H$1860,'07导出'!$A$2:$A$1860,A104,'07导出'!$D$2:$D$1860,"20607")</f>
        <v>0</v>
      </c>
      <c r="U104" s="46">
        <f>SUMIFS('07导出'!$G$2:$G$1860,'07导出'!$A$2:$A$1860,A104,'07导出'!$C$2:$C$1860,"208")</f>
        <v>6447879.7400000002</v>
      </c>
      <c r="V104" s="46">
        <f>SUMIFS('07导出'!$H$2:$H$1860,'07导出'!$A$2:$A$1860,A104,'07导出'!$C$2:$C$1860,"208")</f>
        <v>5025451.26</v>
      </c>
      <c r="W104" s="46">
        <f>SUMIFS('07导出'!$G$2:$G$1860,'07导出'!$A$2:$A$1860,A104,'07导出'!$D$2:$D$1860,"20805")</f>
        <v>6447879.7400000002</v>
      </c>
      <c r="X104" s="46">
        <f>SUMIFS('07导出'!$H$2:$H$1860,'07导出'!$A$2:$A$1860,A104,'07导出'!$D$2:$D$1860,"20805")</f>
        <v>5025451.26</v>
      </c>
      <c r="Y104" s="46">
        <f>SUMIFS('07导出'!$G$2:$G$1860,'07导出'!$A$2:$A$1860,A104,'07导出'!$D$2:$D$1860,"20808")</f>
        <v>0</v>
      </c>
      <c r="Z104" s="46">
        <f>SUMIFS('07导出'!$H$2:$H$1860,'07导出'!$A$2:$A$1860,A104,'07导出'!$D$2:$D$1860,"20808")</f>
        <v>0</v>
      </c>
      <c r="AA104" s="46">
        <f>SUMIFS('07导出'!$G$2:$G$1860,'07导出'!$A$2:$A$1860,A104,'07导出'!$C$2:$C$1860,"210")</f>
        <v>2752152.02</v>
      </c>
      <c r="AB104" s="46">
        <f>SUMIFS('07导出'!$H$2:$H$1860,'07导出'!$A$2:$A$1860,A104,'07导出'!$C$2:$C$1860,"210")</f>
        <v>1870552.1</v>
      </c>
      <c r="AC104" s="46">
        <f>SUMIFS('07导出'!$G$2:$G$1860,'07导出'!$A$2:$A$1860,A104,'07导出'!$D$2:$D$1860,"21011")</f>
        <v>2752152.02</v>
      </c>
      <c r="AD104" s="46">
        <f>SUMIFS('07导出'!$H$2:$H$1860,'07导出'!$A$2:$A$1860,A104,'07导出'!$D$2:$D$1860,"21011")</f>
        <v>1870552.1</v>
      </c>
      <c r="AE104" s="46">
        <f>SUMIFS('07导出'!$G$2:$G$1860,'07导出'!$A$2:$A$1860,A104,'07导出'!$C$2:$C$1860,"212")</f>
        <v>0</v>
      </c>
      <c r="AF104" s="46">
        <f>SUMIFS('07导出'!$H$2:$H$1860,'07导出'!$A$2:$A$1860,A104,'07导出'!$C$2:$C$1860,"212")</f>
        <v>0</v>
      </c>
      <c r="AG104" s="46">
        <f>SUMIFS('07导出'!$G$2:$G$1860,'07导出'!$A$2:$A$1860,A104,'07导出'!$D$2:$D$1860,"21203")</f>
        <v>0</v>
      </c>
      <c r="AH104" s="46">
        <f>SUMIFS('07导出'!$H$2:$H$1860,'07导出'!$A$2:$A$1860,A104,'07导出'!$D$2:$D$1860,"21203")</f>
        <v>0</v>
      </c>
      <c r="AI104" s="46">
        <f>SUMIFS('07导出'!$G$2:$G$1860,'07导出'!$A$2:$A$1860,A104,'07导出'!$C$2:$C$1860,"213")</f>
        <v>0</v>
      </c>
      <c r="AJ104" s="46">
        <f>SUMIFS('07导出'!$H$2:$H$1860,'07导出'!$A$2:$A$1860,A104,'07导出'!$C$2:$C$1860,"213")</f>
        <v>0</v>
      </c>
      <c r="AK104" s="46">
        <f>SUMIFS('07导出'!$G$2:$G$1860,'07导出'!$A$2:$A$1860,A104,'07导出'!$D$2:$D$1860,"21305")</f>
        <v>0</v>
      </c>
      <c r="AL104" s="46">
        <f>SUMIFS('07导出'!$H$2:$H$1860,'07导出'!$A$2:$A$1860,A104,'07导出'!$D$2:$D$1860,"21305")</f>
        <v>0</v>
      </c>
      <c r="AM104" s="46">
        <f>SUMIFS('07导出'!$G$2:$G$1860,'07导出'!$A$2:$A$1860,A104,'07导出'!$C$2:$C$1860,"221")</f>
        <v>4736055.58</v>
      </c>
      <c r="AN104" s="46">
        <f>SUMIFS('07导出'!$H$2:$H$1860,'07导出'!$A$2:$A$1860,A104,'07导出'!$C$2:$C$1860,"221")</f>
        <v>4660385.63</v>
      </c>
      <c r="AO104" s="46">
        <f>SUMIFS('07导出'!$G$2:$G$1860,'07导出'!$A$2:$A$1860,A104,'07导出'!$D$2:$D$1860,"22102")</f>
        <v>4736055.58</v>
      </c>
      <c r="AP104" s="46">
        <f>SUMIFS('07导出'!$H$2:$H$1860,'07导出'!$A$2:$A$1860,A104,'07导出'!$D$2:$D$1860,"22102")</f>
        <v>4660385.63</v>
      </c>
    </row>
    <row r="105" spans="1:42">
      <c r="A105" s="43">
        <v>255133</v>
      </c>
      <c r="B105" s="44" t="s">
        <v>104</v>
      </c>
      <c r="C105" s="45">
        <f>SUMIFS('07导出'!$G$2:$G$1860,'07导出'!$A$2:$A$1860,A105,'07导出'!$C$2:$C$1860,"205")</f>
        <v>79933531.969999984</v>
      </c>
      <c r="D105" s="45">
        <f>SUMIFS('07导出'!$H$2:$H$1860,'07导出'!$A$2:$A$1860,A105,'07导出'!$C$2:$C$1860,"205")</f>
        <v>62063662.439999998</v>
      </c>
      <c r="E105" s="46">
        <f>SUMIFS('07导出'!$G$2:$G$1860,'07导出'!$A$2:$A$1860,A105,'07导出'!$D$2:$D$1860,"20502")</f>
        <v>78911159.399999991</v>
      </c>
      <c r="F105" s="46">
        <f>SUMIFS('07导出'!$H$2:$H$1860,'07导出'!$A$2:$A$1860,A105,'07导出'!$D$2:$D$1860,"20502")</f>
        <v>60889346.439999998</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25828</v>
      </c>
      <c r="N105" s="46">
        <f>SUMIFS('07导出'!$H$2:$H$1860,'07导出'!$A$2:$A$1860,A105,'07导出'!$D$2:$D$1860,"20508")</f>
        <v>173600</v>
      </c>
      <c r="O105" s="46">
        <f>SUMIFS('07导出'!$G$2:$G$1860,'07导出'!$A$2:$A$1860,A105,'07导出'!$D$2:$D$1860,"20509")</f>
        <v>996544.57</v>
      </c>
      <c r="P105" s="46">
        <f>SUMIFS('07导出'!$H$2:$H$1860,'07导出'!$A$2:$A$1860,A105,'07导出'!$D$2:$D$1860,"20509")</f>
        <v>1000716</v>
      </c>
      <c r="Q105" s="46">
        <f>SUMIFS('07导出'!$G$2:$G$1860,'07导出'!$A$2:$A$1860,A105,'07导出'!$C$2:$C$1860,"206")</f>
        <v>0</v>
      </c>
      <c r="R105" s="46">
        <f>SUMIFS('07导出'!$H$2:$H$1860,'07导出'!$A$2:$A$1860,A105,'07导出'!$C$2:$C$1860,"206")</f>
        <v>0</v>
      </c>
      <c r="S105" s="46">
        <f>SUMIFS('07导出'!$G$2:$G$1860,'07导出'!$A$2:$A$1860,A105,'07导出'!$D$2:$D$1860,"20607")</f>
        <v>0</v>
      </c>
      <c r="T105" s="46">
        <f>SUMIFS('07导出'!$H$2:$H$1860,'07导出'!$A$2:$A$1860,A105,'07导出'!$D$2:$D$1860,"20607")</f>
        <v>0</v>
      </c>
      <c r="U105" s="46">
        <f>SUMIFS('07导出'!$G$2:$G$1860,'07导出'!$A$2:$A$1860,A105,'07导出'!$C$2:$C$1860,"208")</f>
        <v>8880883.6500000004</v>
      </c>
      <c r="V105" s="46">
        <f>SUMIFS('07导出'!$H$2:$H$1860,'07导出'!$A$2:$A$1860,A105,'07导出'!$C$2:$C$1860,"208")</f>
        <v>8762815.8399999999</v>
      </c>
      <c r="W105" s="46">
        <f>SUMIFS('07导出'!$G$2:$G$1860,'07导出'!$A$2:$A$1860,A105,'07导出'!$D$2:$D$1860,"20805")</f>
        <v>8880883.6500000004</v>
      </c>
      <c r="X105" s="46">
        <f>SUMIFS('07导出'!$H$2:$H$1860,'07导出'!$A$2:$A$1860,A105,'07导出'!$D$2:$D$1860,"20805")</f>
        <v>8762815.8399999999</v>
      </c>
      <c r="Y105" s="46">
        <f>SUMIFS('07导出'!$G$2:$G$1860,'07导出'!$A$2:$A$1860,A105,'07导出'!$D$2:$D$1860,"20808")</f>
        <v>0</v>
      </c>
      <c r="Z105" s="46">
        <f>SUMIFS('07导出'!$H$2:$H$1860,'07导出'!$A$2:$A$1860,A105,'07导出'!$D$2:$D$1860,"20808")</f>
        <v>0</v>
      </c>
      <c r="AA105" s="46">
        <f>SUMIFS('07导出'!$G$2:$G$1860,'07导出'!$A$2:$A$1860,A105,'07导出'!$C$2:$C$1860,"210")</f>
        <v>4630496.6399999997</v>
      </c>
      <c r="AB105" s="46">
        <f>SUMIFS('07导出'!$H$2:$H$1860,'07导出'!$A$2:$A$1860,A105,'07导出'!$C$2:$C$1860,"210")</f>
        <v>4244953.83</v>
      </c>
      <c r="AC105" s="46">
        <f>SUMIFS('07导出'!$G$2:$G$1860,'07导出'!$A$2:$A$1860,A105,'07导出'!$D$2:$D$1860,"21011")</f>
        <v>4630496.6399999997</v>
      </c>
      <c r="AD105" s="46">
        <f>SUMIFS('07导出'!$H$2:$H$1860,'07导出'!$A$2:$A$1860,A105,'07导出'!$D$2:$D$1860,"21011")</f>
        <v>4244953.83</v>
      </c>
      <c r="AE105" s="46">
        <f>SUMIFS('07导出'!$G$2:$G$1860,'07导出'!$A$2:$A$1860,A105,'07导出'!$C$2:$C$1860,"212")</f>
        <v>0</v>
      </c>
      <c r="AF105" s="46">
        <f>SUMIFS('07导出'!$H$2:$H$1860,'07导出'!$A$2:$A$1860,A105,'07导出'!$C$2:$C$1860,"212")</f>
        <v>0</v>
      </c>
      <c r="AG105" s="46">
        <f>SUMIFS('07导出'!$G$2:$G$1860,'07导出'!$A$2:$A$1860,A105,'07导出'!$D$2:$D$1860,"21203")</f>
        <v>0</v>
      </c>
      <c r="AH105" s="46">
        <f>SUMIFS('07导出'!$H$2:$H$1860,'07导出'!$A$2:$A$1860,A105,'07导出'!$D$2:$D$1860,"21203")</f>
        <v>0</v>
      </c>
      <c r="AI105" s="46">
        <f>SUMIFS('07导出'!$G$2:$G$1860,'07导出'!$A$2:$A$1860,A105,'07导出'!$C$2:$C$1860,"213")</f>
        <v>0</v>
      </c>
      <c r="AJ105" s="46">
        <f>SUMIFS('07导出'!$H$2:$H$1860,'07导出'!$A$2:$A$1860,A105,'07导出'!$C$2:$C$1860,"213")</f>
        <v>0</v>
      </c>
      <c r="AK105" s="46">
        <f>SUMIFS('07导出'!$G$2:$G$1860,'07导出'!$A$2:$A$1860,A105,'07导出'!$D$2:$D$1860,"21305")</f>
        <v>0</v>
      </c>
      <c r="AL105" s="46">
        <f>SUMIFS('07导出'!$H$2:$H$1860,'07导出'!$A$2:$A$1860,A105,'07导出'!$D$2:$D$1860,"21305")</f>
        <v>0</v>
      </c>
      <c r="AM105" s="46">
        <f>SUMIFS('07导出'!$G$2:$G$1860,'07导出'!$A$2:$A$1860,A105,'07导出'!$C$2:$C$1860,"221")</f>
        <v>11290430</v>
      </c>
      <c r="AN105" s="46">
        <f>SUMIFS('07导出'!$H$2:$H$1860,'07导出'!$A$2:$A$1860,A105,'07导出'!$C$2:$C$1860,"221")</f>
        <v>10757758.92</v>
      </c>
      <c r="AO105" s="46">
        <f>SUMIFS('07导出'!$G$2:$G$1860,'07导出'!$A$2:$A$1860,A105,'07导出'!$D$2:$D$1860,"22102")</f>
        <v>11290430</v>
      </c>
      <c r="AP105" s="46">
        <f>SUMIFS('07导出'!$H$2:$H$1860,'07导出'!$A$2:$A$1860,A105,'07导出'!$D$2:$D$1860,"22102")</f>
        <v>10757758.92</v>
      </c>
    </row>
    <row r="106" spans="1:42">
      <c r="A106" s="43">
        <v>255134</v>
      </c>
      <c r="B106" s="44" t="s">
        <v>105</v>
      </c>
      <c r="C106" s="45">
        <f>SUMIFS('07导出'!$G$2:$G$1860,'07导出'!$A$2:$A$1860,A106,'07导出'!$C$2:$C$1860,"205")</f>
        <v>30701292.420000002</v>
      </c>
      <c r="D106" s="45">
        <f>SUMIFS('07导出'!$H$2:$H$1860,'07导出'!$A$2:$A$1860,A106,'07导出'!$C$2:$C$1860,"205")</f>
        <v>25002143.399999999</v>
      </c>
      <c r="E106" s="46">
        <f>SUMIFS('07导出'!$G$2:$G$1860,'07导出'!$A$2:$A$1860,A106,'07导出'!$D$2:$D$1860,"20502")</f>
        <v>27841086.09</v>
      </c>
      <c r="F106" s="46">
        <f>SUMIFS('07导出'!$H$2:$H$1860,'07导出'!$A$2:$A$1860,A106,'07导出'!$D$2:$D$1860,"20502")</f>
        <v>15864445.4</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31600</v>
      </c>
      <c r="N106" s="46">
        <f>SUMIFS('07导出'!$H$2:$H$1860,'07导出'!$A$2:$A$1860,A106,'07导出'!$D$2:$D$1860,"20508")</f>
        <v>63200</v>
      </c>
      <c r="O106" s="46">
        <f>SUMIFS('07导出'!$G$2:$G$1860,'07导出'!$A$2:$A$1860,A106,'07导出'!$D$2:$D$1860,"20509")</f>
        <v>2828606.33</v>
      </c>
      <c r="P106" s="46">
        <f>SUMIFS('07导出'!$H$2:$H$1860,'07导出'!$A$2:$A$1860,A106,'07导出'!$D$2:$D$1860,"20509")</f>
        <v>9074498</v>
      </c>
      <c r="Q106" s="46">
        <f>SUMIFS('07导出'!$G$2:$G$1860,'07导出'!$A$2:$A$1860,A106,'07导出'!$C$2:$C$1860,"206")</f>
        <v>0</v>
      </c>
      <c r="R106" s="46">
        <f>SUMIFS('07导出'!$H$2:$H$1860,'07导出'!$A$2:$A$1860,A106,'07导出'!$C$2:$C$1860,"206")</f>
        <v>0</v>
      </c>
      <c r="S106" s="46">
        <f>SUMIFS('07导出'!$G$2:$G$1860,'07导出'!$A$2:$A$1860,A106,'07导出'!$D$2:$D$1860,"20607")</f>
        <v>0</v>
      </c>
      <c r="T106" s="46">
        <f>SUMIFS('07导出'!$H$2:$H$1860,'07导出'!$A$2:$A$1860,A106,'07导出'!$D$2:$D$1860,"20607")</f>
        <v>0</v>
      </c>
      <c r="U106" s="46">
        <f>SUMIFS('07导出'!$G$2:$G$1860,'07导出'!$A$2:$A$1860,A106,'07导出'!$C$2:$C$1860,"208")</f>
        <v>5200579.8</v>
      </c>
      <c r="V106" s="46">
        <f>SUMIFS('07导出'!$H$2:$H$1860,'07导出'!$A$2:$A$1860,A106,'07导出'!$C$2:$C$1860,"208")</f>
        <v>4409455.76</v>
      </c>
      <c r="W106" s="46">
        <f>SUMIFS('07导出'!$G$2:$G$1860,'07导出'!$A$2:$A$1860,A106,'07导出'!$D$2:$D$1860,"20805")</f>
        <v>5200579.8</v>
      </c>
      <c r="X106" s="46">
        <f>SUMIFS('07导出'!$H$2:$H$1860,'07导出'!$A$2:$A$1860,A106,'07导出'!$D$2:$D$1860,"20805")</f>
        <v>4409455.76</v>
      </c>
      <c r="Y106" s="46">
        <f>SUMIFS('07导出'!$G$2:$G$1860,'07导出'!$A$2:$A$1860,A106,'07导出'!$D$2:$D$1860,"20808")</f>
        <v>0</v>
      </c>
      <c r="Z106" s="46">
        <f>SUMIFS('07导出'!$H$2:$H$1860,'07导出'!$A$2:$A$1860,A106,'07导出'!$D$2:$D$1860,"20808")</f>
        <v>0</v>
      </c>
      <c r="AA106" s="46">
        <f>SUMIFS('07导出'!$G$2:$G$1860,'07导出'!$A$2:$A$1860,A106,'07导出'!$C$2:$C$1860,"210")</f>
        <v>1868053.62</v>
      </c>
      <c r="AB106" s="46">
        <f>SUMIFS('07导出'!$H$2:$H$1860,'07导出'!$A$2:$A$1860,A106,'07导出'!$C$2:$C$1860,"210")</f>
        <v>1609930.62</v>
      </c>
      <c r="AC106" s="46">
        <f>SUMIFS('07导出'!$G$2:$G$1860,'07导出'!$A$2:$A$1860,A106,'07导出'!$D$2:$D$1860,"21011")</f>
        <v>1868053.62</v>
      </c>
      <c r="AD106" s="46">
        <f>SUMIFS('07导出'!$H$2:$H$1860,'07导出'!$A$2:$A$1860,A106,'07导出'!$D$2:$D$1860,"21011")</f>
        <v>1609930.62</v>
      </c>
      <c r="AE106" s="46">
        <f>SUMIFS('07导出'!$G$2:$G$1860,'07导出'!$A$2:$A$1860,A106,'07导出'!$C$2:$C$1860,"212")</f>
        <v>0</v>
      </c>
      <c r="AF106" s="46">
        <f>SUMIFS('07导出'!$H$2:$H$1860,'07导出'!$A$2:$A$1860,A106,'07导出'!$C$2:$C$1860,"212")</f>
        <v>0</v>
      </c>
      <c r="AG106" s="46">
        <f>SUMIFS('07导出'!$G$2:$G$1860,'07导出'!$A$2:$A$1860,A106,'07导出'!$D$2:$D$1860,"21203")</f>
        <v>0</v>
      </c>
      <c r="AH106" s="46">
        <f>SUMIFS('07导出'!$H$2:$H$1860,'07导出'!$A$2:$A$1860,A106,'07导出'!$D$2:$D$1860,"21203")</f>
        <v>0</v>
      </c>
      <c r="AI106" s="46">
        <f>SUMIFS('07导出'!$G$2:$G$1860,'07导出'!$A$2:$A$1860,A106,'07导出'!$C$2:$C$1860,"213")</f>
        <v>0</v>
      </c>
      <c r="AJ106" s="46">
        <f>SUMIFS('07导出'!$H$2:$H$1860,'07导出'!$A$2:$A$1860,A106,'07导出'!$C$2:$C$1860,"213")</f>
        <v>0</v>
      </c>
      <c r="AK106" s="46">
        <f>SUMIFS('07导出'!$G$2:$G$1860,'07导出'!$A$2:$A$1860,A106,'07导出'!$D$2:$D$1860,"21305")</f>
        <v>0</v>
      </c>
      <c r="AL106" s="46">
        <f>SUMIFS('07导出'!$H$2:$H$1860,'07导出'!$A$2:$A$1860,A106,'07导出'!$D$2:$D$1860,"21305")</f>
        <v>0</v>
      </c>
      <c r="AM106" s="46">
        <f>SUMIFS('07导出'!$G$2:$G$1860,'07导出'!$A$2:$A$1860,A106,'07导出'!$C$2:$C$1860,"221")</f>
        <v>4181787.88</v>
      </c>
      <c r="AN106" s="46">
        <f>SUMIFS('07导出'!$H$2:$H$1860,'07导出'!$A$2:$A$1860,A106,'07导出'!$C$2:$C$1860,"221")</f>
        <v>4097228.88</v>
      </c>
      <c r="AO106" s="46">
        <f>SUMIFS('07导出'!$G$2:$G$1860,'07导出'!$A$2:$A$1860,A106,'07导出'!$D$2:$D$1860,"22102")</f>
        <v>4181787.88</v>
      </c>
      <c r="AP106" s="46">
        <f>SUMIFS('07导出'!$H$2:$H$1860,'07导出'!$A$2:$A$1860,A106,'07导出'!$D$2:$D$1860,"22102")</f>
        <v>4097228.88</v>
      </c>
    </row>
    <row r="107" spans="1:42">
      <c r="A107" s="43">
        <v>255135</v>
      </c>
      <c r="B107" s="44" t="s">
        <v>106</v>
      </c>
      <c r="C107" s="45">
        <f>SUMIFS('07导出'!$G$2:$G$1860,'07导出'!$A$2:$A$1860,A107,'07导出'!$C$2:$C$1860,"205")</f>
        <v>76023723.780000001</v>
      </c>
      <c r="D107" s="45">
        <f>SUMIFS('07导出'!$H$2:$H$1860,'07导出'!$A$2:$A$1860,A107,'07导出'!$C$2:$C$1860,"205")</f>
        <v>64447877.859999999</v>
      </c>
      <c r="E107" s="46">
        <f>SUMIFS('07导出'!$G$2:$G$1860,'07导出'!$A$2:$A$1860,A107,'07导出'!$D$2:$D$1860,"20502")</f>
        <v>70799362.769999996</v>
      </c>
      <c r="F107" s="46">
        <f>SUMIFS('07导出'!$H$2:$H$1860,'07导出'!$A$2:$A$1860,A107,'07导出'!$D$2:$D$1860,"20502")</f>
        <v>59028617.859999999</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0</v>
      </c>
      <c r="N107" s="46">
        <f>SUMIFS('07导出'!$H$2:$H$1860,'07导出'!$A$2:$A$1860,A107,'07导出'!$D$2:$D$1860,"20508")</f>
        <v>172800</v>
      </c>
      <c r="O107" s="46">
        <f>SUMIFS('07导出'!$G$2:$G$1860,'07导出'!$A$2:$A$1860,A107,'07导出'!$D$2:$D$1860,"20509")</f>
        <v>5224361.01</v>
      </c>
      <c r="P107" s="46">
        <f>SUMIFS('07导出'!$H$2:$H$1860,'07导出'!$A$2:$A$1860,A107,'07导出'!$D$2:$D$1860,"20509")</f>
        <v>5246460</v>
      </c>
      <c r="Q107" s="46">
        <f>SUMIFS('07导出'!$G$2:$G$1860,'07导出'!$A$2:$A$1860,A107,'07导出'!$C$2:$C$1860,"206")</f>
        <v>0</v>
      </c>
      <c r="R107" s="46">
        <f>SUMIFS('07导出'!$H$2:$H$1860,'07导出'!$A$2:$A$1860,A107,'07导出'!$C$2:$C$1860,"206")</f>
        <v>0</v>
      </c>
      <c r="S107" s="46">
        <f>SUMIFS('07导出'!$G$2:$G$1860,'07导出'!$A$2:$A$1860,A107,'07导出'!$D$2:$D$1860,"20607")</f>
        <v>0</v>
      </c>
      <c r="T107" s="46">
        <f>SUMIFS('07导出'!$H$2:$H$1860,'07导出'!$A$2:$A$1860,A107,'07导出'!$D$2:$D$1860,"20607")</f>
        <v>0</v>
      </c>
      <c r="U107" s="46">
        <f>SUMIFS('07导出'!$G$2:$G$1860,'07导出'!$A$2:$A$1860,A107,'07导出'!$C$2:$C$1860,"208")</f>
        <v>11684090.68</v>
      </c>
      <c r="V107" s="46">
        <f>SUMIFS('07导出'!$H$2:$H$1860,'07导出'!$A$2:$A$1860,A107,'07导出'!$C$2:$C$1860,"208")</f>
        <v>10170617.399999999</v>
      </c>
      <c r="W107" s="46">
        <f>SUMIFS('07导出'!$G$2:$G$1860,'07导出'!$A$2:$A$1860,A107,'07导出'!$D$2:$D$1860,"20805")</f>
        <v>11368372.68</v>
      </c>
      <c r="X107" s="46">
        <f>SUMIFS('07导出'!$H$2:$H$1860,'07导出'!$A$2:$A$1860,A107,'07导出'!$D$2:$D$1860,"20805")</f>
        <v>10170617.399999999</v>
      </c>
      <c r="Y107" s="46">
        <f>SUMIFS('07导出'!$G$2:$G$1860,'07导出'!$A$2:$A$1860,A107,'07导出'!$D$2:$D$1860,"20808")</f>
        <v>315718</v>
      </c>
      <c r="Z107" s="46">
        <f>SUMIFS('07导出'!$H$2:$H$1860,'07导出'!$A$2:$A$1860,A107,'07导出'!$D$2:$D$1860,"20808")</f>
        <v>0</v>
      </c>
      <c r="AA107" s="46">
        <f>SUMIFS('07导出'!$G$2:$G$1860,'07导出'!$A$2:$A$1860,A107,'07导出'!$C$2:$C$1860,"210")</f>
        <v>4683606.45</v>
      </c>
      <c r="AB107" s="46">
        <f>SUMIFS('07导出'!$H$2:$H$1860,'07导出'!$A$2:$A$1860,A107,'07导出'!$C$2:$C$1860,"210")</f>
        <v>4351324.3</v>
      </c>
      <c r="AC107" s="46">
        <f>SUMIFS('07导出'!$G$2:$G$1860,'07导出'!$A$2:$A$1860,A107,'07导出'!$D$2:$D$1860,"21011")</f>
        <v>4683606.45</v>
      </c>
      <c r="AD107" s="46">
        <f>SUMIFS('07导出'!$H$2:$H$1860,'07导出'!$A$2:$A$1860,A107,'07导出'!$D$2:$D$1860,"21011")</f>
        <v>4351324.3</v>
      </c>
      <c r="AE107" s="46">
        <f>SUMIFS('07导出'!$G$2:$G$1860,'07导出'!$A$2:$A$1860,A107,'07导出'!$C$2:$C$1860,"212")</f>
        <v>0</v>
      </c>
      <c r="AF107" s="46">
        <f>SUMIFS('07导出'!$H$2:$H$1860,'07导出'!$A$2:$A$1860,A107,'07导出'!$C$2:$C$1860,"212")</f>
        <v>0</v>
      </c>
      <c r="AG107" s="46">
        <f>SUMIFS('07导出'!$G$2:$G$1860,'07导出'!$A$2:$A$1860,A107,'07导出'!$D$2:$D$1860,"21203")</f>
        <v>0</v>
      </c>
      <c r="AH107" s="46">
        <f>SUMIFS('07导出'!$H$2:$H$1860,'07导出'!$A$2:$A$1860,A107,'07导出'!$D$2:$D$1860,"21203")</f>
        <v>0</v>
      </c>
      <c r="AI107" s="46">
        <f>SUMIFS('07导出'!$G$2:$G$1860,'07导出'!$A$2:$A$1860,A107,'07导出'!$C$2:$C$1860,"213")</f>
        <v>0</v>
      </c>
      <c r="AJ107" s="46">
        <f>SUMIFS('07导出'!$H$2:$H$1860,'07导出'!$A$2:$A$1860,A107,'07导出'!$C$2:$C$1860,"213")</f>
        <v>0</v>
      </c>
      <c r="AK107" s="46">
        <f>SUMIFS('07导出'!$G$2:$G$1860,'07导出'!$A$2:$A$1860,A107,'07导出'!$D$2:$D$1860,"21305")</f>
        <v>0</v>
      </c>
      <c r="AL107" s="46">
        <f>SUMIFS('07导出'!$H$2:$H$1860,'07导出'!$A$2:$A$1860,A107,'07导出'!$D$2:$D$1860,"21305")</f>
        <v>0</v>
      </c>
      <c r="AM107" s="46">
        <f>SUMIFS('07导出'!$G$2:$G$1860,'07导出'!$A$2:$A$1860,A107,'07导出'!$C$2:$C$1860,"221")</f>
        <v>11119204</v>
      </c>
      <c r="AN107" s="46">
        <f>SUMIFS('07导出'!$H$2:$H$1860,'07导出'!$A$2:$A$1860,A107,'07导出'!$C$2:$C$1860,"221")</f>
        <v>10988175.960000001</v>
      </c>
      <c r="AO107" s="46">
        <f>SUMIFS('07导出'!$G$2:$G$1860,'07导出'!$A$2:$A$1860,A107,'07导出'!$D$2:$D$1860,"22102")</f>
        <v>11119204</v>
      </c>
      <c r="AP107" s="46">
        <f>SUMIFS('07导出'!$H$2:$H$1860,'07导出'!$A$2:$A$1860,A107,'07导出'!$D$2:$D$1860,"22102")</f>
        <v>10988175.960000001</v>
      </c>
    </row>
    <row r="108" spans="1:42">
      <c r="A108" s="43">
        <v>255137</v>
      </c>
      <c r="B108" s="44" t="s">
        <v>107</v>
      </c>
      <c r="C108" s="45">
        <f>SUMIFS('07导出'!$G$2:$G$1860,'07导出'!$A$2:$A$1860,A108,'07导出'!$C$2:$C$1860,"205")</f>
        <v>20436573.75</v>
      </c>
      <c r="D108" s="45">
        <f>SUMIFS('07导出'!$H$2:$H$1860,'07导出'!$A$2:$A$1860,A108,'07导出'!$C$2:$C$1860,"205")</f>
        <v>15032902.52</v>
      </c>
      <c r="E108" s="46">
        <f>SUMIFS('07导出'!$G$2:$G$1860,'07导出'!$A$2:$A$1860,A108,'07导出'!$D$2:$D$1860,"20502")</f>
        <v>19627018.550000001</v>
      </c>
      <c r="F108" s="46">
        <f>SUMIFS('07导出'!$H$2:$H$1860,'07导出'!$A$2:$A$1860,A108,'07导出'!$D$2:$D$1860,"20502")</f>
        <v>14200262.32</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19600</v>
      </c>
      <c r="N108" s="46">
        <f>SUMIFS('07导出'!$H$2:$H$1860,'07导出'!$A$2:$A$1860,A108,'07导出'!$D$2:$D$1860,"20508")</f>
        <v>39200</v>
      </c>
      <c r="O108" s="46">
        <f>SUMIFS('07导出'!$G$2:$G$1860,'07导出'!$A$2:$A$1860,A108,'07导出'!$D$2:$D$1860,"20509")</f>
        <v>789955.2</v>
      </c>
      <c r="P108" s="46">
        <f>SUMIFS('07导出'!$H$2:$H$1860,'07导出'!$A$2:$A$1860,A108,'07导出'!$D$2:$D$1860,"20509")</f>
        <v>793440.2</v>
      </c>
      <c r="Q108" s="46">
        <f>SUMIFS('07导出'!$G$2:$G$1860,'07导出'!$A$2:$A$1860,A108,'07导出'!$C$2:$C$1860,"206")</f>
        <v>0</v>
      </c>
      <c r="R108" s="46">
        <f>SUMIFS('07导出'!$H$2:$H$1860,'07导出'!$A$2:$A$1860,A108,'07导出'!$C$2:$C$1860,"206")</f>
        <v>0</v>
      </c>
      <c r="S108" s="46">
        <f>SUMIFS('07导出'!$G$2:$G$1860,'07导出'!$A$2:$A$1860,A108,'07导出'!$D$2:$D$1860,"20607")</f>
        <v>0</v>
      </c>
      <c r="T108" s="46">
        <f>SUMIFS('07导出'!$H$2:$H$1860,'07导出'!$A$2:$A$1860,A108,'07导出'!$D$2:$D$1860,"20607")</f>
        <v>0</v>
      </c>
      <c r="U108" s="46">
        <f>SUMIFS('07导出'!$G$2:$G$1860,'07导出'!$A$2:$A$1860,A108,'07导出'!$C$2:$C$1860,"208")</f>
        <v>2194896.7200000002</v>
      </c>
      <c r="V108" s="46">
        <f>SUMIFS('07导出'!$H$2:$H$1860,'07导出'!$A$2:$A$1860,A108,'07导出'!$C$2:$C$1860,"208")</f>
        <v>2249900.4</v>
      </c>
      <c r="W108" s="46">
        <f>SUMIFS('07导出'!$G$2:$G$1860,'07导出'!$A$2:$A$1860,A108,'07导出'!$D$2:$D$1860,"20805")</f>
        <v>2194896.7200000002</v>
      </c>
      <c r="X108" s="46">
        <f>SUMIFS('07导出'!$H$2:$H$1860,'07导出'!$A$2:$A$1860,A108,'07导出'!$D$2:$D$1860,"20805")</f>
        <v>2249900.4</v>
      </c>
      <c r="Y108" s="46">
        <f>SUMIFS('07导出'!$G$2:$G$1860,'07导出'!$A$2:$A$1860,A108,'07导出'!$D$2:$D$1860,"20808")</f>
        <v>0</v>
      </c>
      <c r="Z108" s="46">
        <f>SUMIFS('07导出'!$H$2:$H$1860,'07导出'!$A$2:$A$1860,A108,'07导出'!$D$2:$D$1860,"20808")</f>
        <v>0</v>
      </c>
      <c r="AA108" s="46">
        <f>SUMIFS('07导出'!$G$2:$G$1860,'07导出'!$A$2:$A$1860,A108,'07导出'!$C$2:$C$1860,"210")</f>
        <v>818155.74</v>
      </c>
      <c r="AB108" s="46">
        <f>SUMIFS('07导出'!$H$2:$H$1860,'07导出'!$A$2:$A$1860,A108,'07导出'!$C$2:$C$1860,"210")</f>
        <v>830122.8</v>
      </c>
      <c r="AC108" s="46">
        <f>SUMIFS('07导出'!$G$2:$G$1860,'07导出'!$A$2:$A$1860,A108,'07导出'!$D$2:$D$1860,"21011")</f>
        <v>818155.74</v>
      </c>
      <c r="AD108" s="46">
        <f>SUMIFS('07导出'!$H$2:$H$1860,'07导出'!$A$2:$A$1860,A108,'07导出'!$D$2:$D$1860,"21011")</f>
        <v>830122.8</v>
      </c>
      <c r="AE108" s="46">
        <f>SUMIFS('07导出'!$G$2:$G$1860,'07导出'!$A$2:$A$1860,A108,'07导出'!$C$2:$C$1860,"212")</f>
        <v>0</v>
      </c>
      <c r="AF108" s="46">
        <f>SUMIFS('07导出'!$H$2:$H$1860,'07导出'!$A$2:$A$1860,A108,'07导出'!$C$2:$C$1860,"212")</f>
        <v>0</v>
      </c>
      <c r="AG108" s="46">
        <f>SUMIFS('07导出'!$G$2:$G$1860,'07导出'!$A$2:$A$1860,A108,'07导出'!$D$2:$D$1860,"21203")</f>
        <v>0</v>
      </c>
      <c r="AH108" s="46">
        <f>SUMIFS('07导出'!$H$2:$H$1860,'07导出'!$A$2:$A$1860,A108,'07导出'!$D$2:$D$1860,"21203")</f>
        <v>0</v>
      </c>
      <c r="AI108" s="46">
        <f>SUMIFS('07导出'!$G$2:$G$1860,'07导出'!$A$2:$A$1860,A108,'07导出'!$C$2:$C$1860,"213")</f>
        <v>0</v>
      </c>
      <c r="AJ108" s="46">
        <f>SUMIFS('07导出'!$H$2:$H$1860,'07导出'!$A$2:$A$1860,A108,'07导出'!$C$2:$C$1860,"213")</f>
        <v>0</v>
      </c>
      <c r="AK108" s="46">
        <f>SUMIFS('07导出'!$G$2:$G$1860,'07导出'!$A$2:$A$1860,A108,'07导出'!$D$2:$D$1860,"21305")</f>
        <v>0</v>
      </c>
      <c r="AL108" s="46">
        <f>SUMIFS('07导出'!$H$2:$H$1860,'07导出'!$A$2:$A$1860,A108,'07导出'!$D$2:$D$1860,"21305")</f>
        <v>0</v>
      </c>
      <c r="AM108" s="46">
        <f>SUMIFS('07导出'!$G$2:$G$1860,'07导出'!$A$2:$A$1860,A108,'07导出'!$C$2:$C$1860,"221")</f>
        <v>2438164</v>
      </c>
      <c r="AN108" s="46">
        <f>SUMIFS('07导出'!$H$2:$H$1860,'07导出'!$A$2:$A$1860,A108,'07导出'!$C$2:$C$1860,"221")</f>
        <v>2400787.2000000002</v>
      </c>
      <c r="AO108" s="46">
        <f>SUMIFS('07导出'!$G$2:$G$1860,'07导出'!$A$2:$A$1860,A108,'07导出'!$D$2:$D$1860,"22102")</f>
        <v>2438164</v>
      </c>
      <c r="AP108" s="46">
        <f>SUMIFS('07导出'!$H$2:$H$1860,'07导出'!$A$2:$A$1860,A108,'07导出'!$D$2:$D$1860,"22102")</f>
        <v>2400787.2000000002</v>
      </c>
    </row>
    <row r="109" spans="1:42">
      <c r="A109" s="43">
        <v>255138</v>
      </c>
      <c r="B109" s="44" t="s">
        <v>108</v>
      </c>
      <c r="C109" s="45">
        <f>SUMIFS('07导出'!$G$2:$G$1860,'07导出'!$A$2:$A$1860,A109,'07导出'!$C$2:$C$1860,"205")</f>
        <v>23764821.260000002</v>
      </c>
      <c r="D109" s="45">
        <f>SUMIFS('07导出'!$H$2:$H$1860,'07导出'!$A$2:$A$1860,A109,'07导出'!$C$2:$C$1860,"205")</f>
        <v>17567710.300000001</v>
      </c>
      <c r="E109" s="46">
        <f>SUMIFS('07导出'!$G$2:$G$1860,'07导出'!$A$2:$A$1860,A109,'07导出'!$D$2:$D$1860,"20502")</f>
        <v>23389221.260000002</v>
      </c>
      <c r="F109" s="46">
        <f>SUMIFS('07导出'!$H$2:$H$1860,'07导出'!$A$2:$A$1860,A109,'07导出'!$D$2:$D$1860,"20502")</f>
        <v>17166510.300000001</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25600</v>
      </c>
      <c r="N109" s="46">
        <f>SUMIFS('07导出'!$H$2:$H$1860,'07导出'!$A$2:$A$1860,A109,'07导出'!$D$2:$D$1860,"20508")</f>
        <v>51200</v>
      </c>
      <c r="O109" s="46">
        <f>SUMIFS('07导出'!$G$2:$G$1860,'07导出'!$A$2:$A$1860,A109,'07导出'!$D$2:$D$1860,"20509")</f>
        <v>350000</v>
      </c>
      <c r="P109" s="46">
        <f>SUMIFS('07导出'!$H$2:$H$1860,'07导出'!$A$2:$A$1860,A109,'07导出'!$D$2:$D$1860,"20509")</f>
        <v>350000</v>
      </c>
      <c r="Q109" s="46">
        <f>SUMIFS('07导出'!$G$2:$G$1860,'07导出'!$A$2:$A$1860,A109,'07导出'!$C$2:$C$1860,"206")</f>
        <v>0</v>
      </c>
      <c r="R109" s="46">
        <f>SUMIFS('07导出'!$H$2:$H$1860,'07导出'!$A$2:$A$1860,A109,'07导出'!$C$2:$C$1860,"206")</f>
        <v>0</v>
      </c>
      <c r="S109" s="46">
        <f>SUMIFS('07导出'!$G$2:$G$1860,'07导出'!$A$2:$A$1860,A109,'07导出'!$D$2:$D$1860,"20607")</f>
        <v>0</v>
      </c>
      <c r="T109" s="46">
        <f>SUMIFS('07导出'!$H$2:$H$1860,'07导出'!$A$2:$A$1860,A109,'07导出'!$D$2:$D$1860,"20607")</f>
        <v>0</v>
      </c>
      <c r="U109" s="46">
        <f>SUMIFS('07导出'!$G$2:$G$1860,'07导出'!$A$2:$A$1860,A109,'07导出'!$C$2:$C$1860,"208")</f>
        <v>3034737.7199999997</v>
      </c>
      <c r="V109" s="46">
        <f>SUMIFS('07导出'!$H$2:$H$1860,'07导出'!$A$2:$A$1860,A109,'07导出'!$C$2:$C$1860,"208")</f>
        <v>2937166.36</v>
      </c>
      <c r="W109" s="46">
        <f>SUMIFS('07导出'!$G$2:$G$1860,'07导出'!$A$2:$A$1860,A109,'07导出'!$D$2:$D$1860,"20805")</f>
        <v>3034737.7199999997</v>
      </c>
      <c r="X109" s="46">
        <f>SUMIFS('07导出'!$H$2:$H$1860,'07导出'!$A$2:$A$1860,A109,'07导出'!$D$2:$D$1860,"20805")</f>
        <v>2937166.36</v>
      </c>
      <c r="Y109" s="46">
        <f>SUMIFS('07导出'!$G$2:$G$1860,'07导出'!$A$2:$A$1860,A109,'07导出'!$D$2:$D$1860,"20808")</f>
        <v>0</v>
      </c>
      <c r="Z109" s="46">
        <f>SUMIFS('07导出'!$H$2:$H$1860,'07导出'!$A$2:$A$1860,A109,'07导出'!$D$2:$D$1860,"20808")</f>
        <v>0</v>
      </c>
      <c r="AA109" s="46">
        <f>SUMIFS('07导出'!$G$2:$G$1860,'07导出'!$A$2:$A$1860,A109,'07导出'!$C$2:$C$1860,"210")</f>
        <v>1304054.28</v>
      </c>
      <c r="AB109" s="46">
        <f>SUMIFS('07导出'!$H$2:$H$1860,'07导出'!$A$2:$A$1860,A109,'07导出'!$C$2:$C$1860,"210")</f>
        <v>1179847.5</v>
      </c>
      <c r="AC109" s="46">
        <f>SUMIFS('07导出'!$G$2:$G$1860,'07导出'!$A$2:$A$1860,A109,'07导出'!$D$2:$D$1860,"21011")</f>
        <v>1304054.28</v>
      </c>
      <c r="AD109" s="46">
        <f>SUMIFS('07导出'!$H$2:$H$1860,'07导出'!$A$2:$A$1860,A109,'07导出'!$D$2:$D$1860,"21011")</f>
        <v>1179847.5</v>
      </c>
      <c r="AE109" s="46">
        <f>SUMIFS('07导出'!$G$2:$G$1860,'07导出'!$A$2:$A$1860,A109,'07导出'!$C$2:$C$1860,"212")</f>
        <v>0</v>
      </c>
      <c r="AF109" s="46">
        <f>SUMIFS('07导出'!$H$2:$H$1860,'07导出'!$A$2:$A$1860,A109,'07导出'!$C$2:$C$1860,"212")</f>
        <v>0</v>
      </c>
      <c r="AG109" s="46">
        <f>SUMIFS('07导出'!$G$2:$G$1860,'07导出'!$A$2:$A$1860,A109,'07导出'!$D$2:$D$1860,"21203")</f>
        <v>0</v>
      </c>
      <c r="AH109" s="46">
        <f>SUMIFS('07导出'!$H$2:$H$1860,'07导出'!$A$2:$A$1860,A109,'07导出'!$D$2:$D$1860,"21203")</f>
        <v>0</v>
      </c>
      <c r="AI109" s="46">
        <f>SUMIFS('07导出'!$G$2:$G$1860,'07导出'!$A$2:$A$1860,A109,'07导出'!$C$2:$C$1860,"213")</f>
        <v>0</v>
      </c>
      <c r="AJ109" s="46">
        <f>SUMIFS('07导出'!$H$2:$H$1860,'07导出'!$A$2:$A$1860,A109,'07导出'!$C$2:$C$1860,"213")</f>
        <v>0</v>
      </c>
      <c r="AK109" s="46">
        <f>SUMIFS('07导出'!$G$2:$G$1860,'07导出'!$A$2:$A$1860,A109,'07导出'!$D$2:$D$1860,"21305")</f>
        <v>0</v>
      </c>
      <c r="AL109" s="46">
        <f>SUMIFS('07导出'!$H$2:$H$1860,'07导出'!$A$2:$A$1860,A109,'07导出'!$D$2:$D$1860,"21305")</f>
        <v>0</v>
      </c>
      <c r="AM109" s="46">
        <f>SUMIFS('07导出'!$G$2:$G$1860,'07导出'!$A$2:$A$1860,A109,'07导出'!$C$2:$C$1860,"221")</f>
        <v>3345852</v>
      </c>
      <c r="AN109" s="46">
        <f>SUMIFS('07导出'!$H$2:$H$1860,'07导出'!$A$2:$A$1860,A109,'07导出'!$C$2:$C$1860,"221")</f>
        <v>3286578</v>
      </c>
      <c r="AO109" s="46">
        <f>SUMIFS('07导出'!$G$2:$G$1860,'07导出'!$A$2:$A$1860,A109,'07导出'!$D$2:$D$1860,"22102")</f>
        <v>3345852</v>
      </c>
      <c r="AP109" s="46">
        <f>SUMIFS('07导出'!$H$2:$H$1860,'07导出'!$A$2:$A$1860,A109,'07导出'!$D$2:$D$1860,"22102")</f>
        <v>3286578</v>
      </c>
    </row>
    <row r="110" spans="1:42">
      <c r="A110" s="43">
        <v>255139</v>
      </c>
      <c r="B110" s="44" t="s">
        <v>109</v>
      </c>
      <c r="C110" s="45">
        <f>SUMIFS('07导出'!$G$2:$G$1860,'07导出'!$A$2:$A$1860,A110,'07导出'!$C$2:$C$1860,"205")</f>
        <v>18196141.27</v>
      </c>
      <c r="D110" s="45">
        <f>SUMIFS('07导出'!$H$2:$H$1860,'07导出'!$A$2:$A$1860,A110,'07导出'!$C$2:$C$1860,"205")</f>
        <v>12978029.069999998</v>
      </c>
      <c r="E110" s="46">
        <f>SUMIFS('07导出'!$G$2:$G$1860,'07导出'!$A$2:$A$1860,A110,'07导出'!$D$2:$D$1860,"20502")</f>
        <v>17544059.07</v>
      </c>
      <c r="F110" s="46">
        <f>SUMIFS('07导出'!$H$2:$H$1860,'07导出'!$A$2:$A$1860,A110,'07导出'!$D$2:$D$1860,"20502")</f>
        <v>12075138.869999999</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18800</v>
      </c>
      <c r="N110" s="46">
        <f>SUMIFS('07导出'!$H$2:$H$1860,'07导出'!$A$2:$A$1860,A110,'07导出'!$D$2:$D$1860,"20508")</f>
        <v>37600</v>
      </c>
      <c r="O110" s="46">
        <f>SUMIFS('07导出'!$G$2:$G$1860,'07导出'!$A$2:$A$1860,A110,'07导出'!$D$2:$D$1860,"20509")</f>
        <v>633282.19999999995</v>
      </c>
      <c r="P110" s="46">
        <f>SUMIFS('07导出'!$H$2:$H$1860,'07导出'!$A$2:$A$1860,A110,'07导出'!$D$2:$D$1860,"20509")</f>
        <v>865290.2</v>
      </c>
      <c r="Q110" s="46">
        <f>SUMIFS('07导出'!$G$2:$G$1860,'07导出'!$A$2:$A$1860,A110,'07导出'!$C$2:$C$1860,"206")</f>
        <v>0</v>
      </c>
      <c r="R110" s="46">
        <f>SUMIFS('07导出'!$H$2:$H$1860,'07导出'!$A$2:$A$1860,A110,'07导出'!$C$2:$C$1860,"206")</f>
        <v>0</v>
      </c>
      <c r="S110" s="46">
        <f>SUMIFS('07导出'!$G$2:$G$1860,'07导出'!$A$2:$A$1860,A110,'07导出'!$D$2:$D$1860,"20607")</f>
        <v>0</v>
      </c>
      <c r="T110" s="46">
        <f>SUMIFS('07导出'!$H$2:$H$1860,'07导出'!$A$2:$A$1860,A110,'07导出'!$D$2:$D$1860,"20607")</f>
        <v>0</v>
      </c>
      <c r="U110" s="46">
        <f>SUMIFS('07导出'!$G$2:$G$1860,'07导出'!$A$2:$A$1860,A110,'07导出'!$C$2:$C$1860,"208")</f>
        <v>1993451.7600000002</v>
      </c>
      <c r="V110" s="46">
        <f>SUMIFS('07导出'!$H$2:$H$1860,'07导出'!$A$2:$A$1860,A110,'07导出'!$C$2:$C$1860,"208")</f>
        <v>1951208.4000000001</v>
      </c>
      <c r="W110" s="46">
        <f>SUMIFS('07导出'!$G$2:$G$1860,'07导出'!$A$2:$A$1860,A110,'07导出'!$D$2:$D$1860,"20805")</f>
        <v>1993451.7600000002</v>
      </c>
      <c r="X110" s="46">
        <f>SUMIFS('07导出'!$H$2:$H$1860,'07导出'!$A$2:$A$1860,A110,'07导出'!$D$2:$D$1860,"20805")</f>
        <v>1951208.4000000001</v>
      </c>
      <c r="Y110" s="46">
        <f>SUMIFS('07导出'!$G$2:$G$1860,'07导出'!$A$2:$A$1860,A110,'07导出'!$D$2:$D$1860,"20808")</f>
        <v>0</v>
      </c>
      <c r="Z110" s="46">
        <f>SUMIFS('07导出'!$H$2:$H$1860,'07导出'!$A$2:$A$1860,A110,'07导出'!$D$2:$D$1860,"20808")</f>
        <v>0</v>
      </c>
      <c r="AA110" s="46">
        <f>SUMIFS('07导出'!$G$2:$G$1860,'07导出'!$A$2:$A$1860,A110,'07导出'!$C$2:$C$1860,"210")</f>
        <v>1028629.3</v>
      </c>
      <c r="AB110" s="46">
        <f>SUMIFS('07导出'!$H$2:$H$1860,'07导出'!$A$2:$A$1860,A110,'07导出'!$C$2:$C$1860,"210")</f>
        <v>871878.8</v>
      </c>
      <c r="AC110" s="46">
        <f>SUMIFS('07导出'!$G$2:$G$1860,'07导出'!$A$2:$A$1860,A110,'07导出'!$D$2:$D$1860,"21011")</f>
        <v>1028629.3</v>
      </c>
      <c r="AD110" s="46">
        <f>SUMIFS('07导出'!$H$2:$H$1860,'07导出'!$A$2:$A$1860,A110,'07导出'!$D$2:$D$1860,"21011")</f>
        <v>871878.8</v>
      </c>
      <c r="AE110" s="46">
        <f>SUMIFS('07导出'!$G$2:$G$1860,'07导出'!$A$2:$A$1860,A110,'07导出'!$C$2:$C$1860,"212")</f>
        <v>0</v>
      </c>
      <c r="AF110" s="46">
        <f>SUMIFS('07导出'!$H$2:$H$1860,'07导出'!$A$2:$A$1860,A110,'07导出'!$C$2:$C$1860,"212")</f>
        <v>0</v>
      </c>
      <c r="AG110" s="46">
        <f>SUMIFS('07导出'!$G$2:$G$1860,'07导出'!$A$2:$A$1860,A110,'07导出'!$D$2:$D$1860,"21203")</f>
        <v>0</v>
      </c>
      <c r="AH110" s="46">
        <f>SUMIFS('07导出'!$H$2:$H$1860,'07导出'!$A$2:$A$1860,A110,'07导出'!$D$2:$D$1860,"21203")</f>
        <v>0</v>
      </c>
      <c r="AI110" s="46">
        <f>SUMIFS('07导出'!$G$2:$G$1860,'07导出'!$A$2:$A$1860,A110,'07导出'!$C$2:$C$1860,"213")</f>
        <v>0</v>
      </c>
      <c r="AJ110" s="46">
        <f>SUMIFS('07导出'!$H$2:$H$1860,'07导出'!$A$2:$A$1860,A110,'07导出'!$C$2:$C$1860,"213")</f>
        <v>0</v>
      </c>
      <c r="AK110" s="46">
        <f>SUMIFS('07导出'!$G$2:$G$1860,'07导出'!$A$2:$A$1860,A110,'07导出'!$D$2:$D$1860,"21305")</f>
        <v>0</v>
      </c>
      <c r="AL110" s="46">
        <f>SUMIFS('07导出'!$H$2:$H$1860,'07导出'!$A$2:$A$1860,A110,'07导出'!$D$2:$D$1860,"21305")</f>
        <v>0</v>
      </c>
      <c r="AM110" s="46">
        <f>SUMIFS('07导出'!$G$2:$G$1860,'07导出'!$A$2:$A$1860,A110,'07导出'!$C$2:$C$1860,"221")</f>
        <v>2425219.13</v>
      </c>
      <c r="AN110" s="46">
        <f>SUMIFS('07导出'!$H$2:$H$1860,'07导出'!$A$2:$A$1860,A110,'07导出'!$C$2:$C$1860,"221")</f>
        <v>2371988.88</v>
      </c>
      <c r="AO110" s="46">
        <f>SUMIFS('07导出'!$G$2:$G$1860,'07导出'!$A$2:$A$1860,A110,'07导出'!$D$2:$D$1860,"22102")</f>
        <v>2425219.13</v>
      </c>
      <c r="AP110" s="46">
        <f>SUMIFS('07导出'!$H$2:$H$1860,'07导出'!$A$2:$A$1860,A110,'07导出'!$D$2:$D$1860,"22102")</f>
        <v>2371988.88</v>
      </c>
    </row>
    <row r="111" spans="1:42">
      <c r="A111" s="43">
        <v>255140</v>
      </c>
      <c r="B111" s="44" t="s">
        <v>110</v>
      </c>
      <c r="C111" s="45">
        <f>SUMIFS('07导出'!$G$2:$G$1860,'07导出'!$A$2:$A$1860,A111,'07导出'!$C$2:$C$1860,"205")</f>
        <v>19223344.52</v>
      </c>
      <c r="D111" s="45">
        <f>SUMIFS('07导出'!$H$2:$H$1860,'07导出'!$A$2:$A$1860,A111,'07导出'!$C$2:$C$1860,"205")</f>
        <v>16165951.869999999</v>
      </c>
      <c r="E111" s="46">
        <f>SUMIFS('07导出'!$G$2:$G$1860,'07导出'!$A$2:$A$1860,A111,'07导出'!$D$2:$D$1860,"20502")</f>
        <v>19111744.52</v>
      </c>
      <c r="F111" s="46">
        <f>SUMIFS('07导出'!$H$2:$H$1860,'07导出'!$A$2:$A$1860,A111,'07导出'!$D$2:$D$1860,"20502")</f>
        <v>16029151.869999999</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25200</v>
      </c>
      <c r="N111" s="46">
        <f>SUMIFS('07导出'!$H$2:$H$1860,'07导出'!$A$2:$A$1860,A111,'07导出'!$D$2:$D$1860,"20508")</f>
        <v>50400</v>
      </c>
      <c r="O111" s="46">
        <f>SUMIFS('07导出'!$G$2:$G$1860,'07导出'!$A$2:$A$1860,A111,'07导出'!$D$2:$D$1860,"20509")</f>
        <v>86400</v>
      </c>
      <c r="P111" s="46">
        <f>SUMIFS('07导出'!$H$2:$H$1860,'07导出'!$A$2:$A$1860,A111,'07导出'!$D$2:$D$1860,"20509")</f>
        <v>86400</v>
      </c>
      <c r="Q111" s="46">
        <f>SUMIFS('07导出'!$G$2:$G$1860,'07导出'!$A$2:$A$1860,A111,'07导出'!$C$2:$C$1860,"206")</f>
        <v>0</v>
      </c>
      <c r="R111" s="46">
        <f>SUMIFS('07导出'!$H$2:$H$1860,'07导出'!$A$2:$A$1860,A111,'07导出'!$C$2:$C$1860,"206")</f>
        <v>0</v>
      </c>
      <c r="S111" s="46">
        <f>SUMIFS('07导出'!$G$2:$G$1860,'07导出'!$A$2:$A$1860,A111,'07导出'!$D$2:$D$1860,"20607")</f>
        <v>0</v>
      </c>
      <c r="T111" s="46">
        <f>SUMIFS('07导出'!$H$2:$H$1860,'07导出'!$A$2:$A$1860,A111,'07导出'!$D$2:$D$1860,"20607")</f>
        <v>0</v>
      </c>
      <c r="U111" s="46">
        <f>SUMIFS('07导出'!$G$2:$G$1860,'07导出'!$A$2:$A$1860,A111,'07导出'!$C$2:$C$1860,"208")</f>
        <v>5823322.04</v>
      </c>
      <c r="V111" s="46">
        <f>SUMIFS('07导出'!$H$2:$H$1860,'07导出'!$A$2:$A$1860,A111,'07导出'!$C$2:$C$1860,"208")</f>
        <v>4312978.5999999996</v>
      </c>
      <c r="W111" s="46">
        <f>SUMIFS('07导出'!$G$2:$G$1860,'07导出'!$A$2:$A$1860,A111,'07导出'!$D$2:$D$1860,"20805")</f>
        <v>5823322.04</v>
      </c>
      <c r="X111" s="46">
        <f>SUMIFS('07导出'!$H$2:$H$1860,'07导出'!$A$2:$A$1860,A111,'07导出'!$D$2:$D$1860,"20805")</f>
        <v>4312978.5999999996</v>
      </c>
      <c r="Y111" s="46">
        <f>SUMIFS('07导出'!$G$2:$G$1860,'07导出'!$A$2:$A$1860,A111,'07导出'!$D$2:$D$1860,"20808")</f>
        <v>0</v>
      </c>
      <c r="Z111" s="46">
        <f>SUMIFS('07导出'!$H$2:$H$1860,'07导出'!$A$2:$A$1860,A111,'07导出'!$D$2:$D$1860,"20808")</f>
        <v>0</v>
      </c>
      <c r="AA111" s="46">
        <f>SUMIFS('07导出'!$G$2:$G$1860,'07导出'!$A$2:$A$1860,A111,'07导出'!$C$2:$C$1860,"210")</f>
        <v>1346072.77</v>
      </c>
      <c r="AB111" s="46">
        <f>SUMIFS('07导出'!$H$2:$H$1860,'07导出'!$A$2:$A$1860,A111,'07导出'!$C$2:$C$1860,"210")</f>
        <v>1332538.7</v>
      </c>
      <c r="AC111" s="46">
        <f>SUMIFS('07导出'!$G$2:$G$1860,'07导出'!$A$2:$A$1860,A111,'07导出'!$D$2:$D$1860,"21011")</f>
        <v>1346072.77</v>
      </c>
      <c r="AD111" s="46">
        <f>SUMIFS('07导出'!$H$2:$H$1860,'07导出'!$A$2:$A$1860,A111,'07导出'!$D$2:$D$1860,"21011")</f>
        <v>1332538.7</v>
      </c>
      <c r="AE111" s="46">
        <f>SUMIFS('07导出'!$G$2:$G$1860,'07导出'!$A$2:$A$1860,A111,'07导出'!$C$2:$C$1860,"212")</f>
        <v>0</v>
      </c>
      <c r="AF111" s="46">
        <f>SUMIFS('07导出'!$H$2:$H$1860,'07导出'!$A$2:$A$1860,A111,'07导出'!$C$2:$C$1860,"212")</f>
        <v>0</v>
      </c>
      <c r="AG111" s="46">
        <f>SUMIFS('07导出'!$G$2:$G$1860,'07导出'!$A$2:$A$1860,A111,'07导出'!$D$2:$D$1860,"21203")</f>
        <v>0</v>
      </c>
      <c r="AH111" s="46">
        <f>SUMIFS('07导出'!$H$2:$H$1860,'07导出'!$A$2:$A$1860,A111,'07导出'!$D$2:$D$1860,"21203")</f>
        <v>0</v>
      </c>
      <c r="AI111" s="46">
        <f>SUMIFS('07导出'!$G$2:$G$1860,'07导出'!$A$2:$A$1860,A111,'07导出'!$C$2:$C$1860,"213")</f>
        <v>0</v>
      </c>
      <c r="AJ111" s="46">
        <f>SUMIFS('07导出'!$H$2:$H$1860,'07导出'!$A$2:$A$1860,A111,'07导出'!$C$2:$C$1860,"213")</f>
        <v>0</v>
      </c>
      <c r="AK111" s="46">
        <f>SUMIFS('07导出'!$G$2:$G$1860,'07导出'!$A$2:$A$1860,A111,'07导出'!$D$2:$D$1860,"21305")</f>
        <v>0</v>
      </c>
      <c r="AL111" s="46">
        <f>SUMIFS('07导出'!$H$2:$H$1860,'07导出'!$A$2:$A$1860,A111,'07导出'!$D$2:$D$1860,"21305")</f>
        <v>0</v>
      </c>
      <c r="AM111" s="46">
        <f>SUMIFS('07导出'!$G$2:$G$1860,'07导出'!$A$2:$A$1860,A111,'07导出'!$C$2:$C$1860,"221")</f>
        <v>3103140</v>
      </c>
      <c r="AN111" s="46">
        <f>SUMIFS('07导出'!$H$2:$H$1860,'07导出'!$A$2:$A$1860,A111,'07导出'!$C$2:$C$1860,"221")</f>
        <v>3108790.8</v>
      </c>
      <c r="AO111" s="46">
        <f>SUMIFS('07导出'!$G$2:$G$1860,'07导出'!$A$2:$A$1860,A111,'07导出'!$D$2:$D$1860,"22102")</f>
        <v>3103140</v>
      </c>
      <c r="AP111" s="46">
        <f>SUMIFS('07导出'!$H$2:$H$1860,'07导出'!$A$2:$A$1860,A111,'07导出'!$D$2:$D$1860,"22102")</f>
        <v>3108790.8</v>
      </c>
    </row>
    <row r="112" spans="1:42">
      <c r="A112" s="43">
        <v>255141</v>
      </c>
      <c r="B112" s="44" t="s">
        <v>111</v>
      </c>
      <c r="C112" s="45">
        <f>SUMIFS('07导出'!$G$2:$G$1860,'07导出'!$A$2:$A$1860,A112,'07导出'!$C$2:$C$1860,"205")</f>
        <v>78041555.519999996</v>
      </c>
      <c r="D112" s="45">
        <f>SUMIFS('07导出'!$H$2:$H$1860,'07导出'!$A$2:$A$1860,A112,'07导出'!$C$2:$C$1860,"205")</f>
        <v>63404170.600000001</v>
      </c>
      <c r="E112" s="46">
        <f>SUMIFS('07导出'!$G$2:$G$1860,'07导出'!$A$2:$A$1860,A112,'07导出'!$D$2:$D$1860,"20502")</f>
        <v>77017677.61999999</v>
      </c>
      <c r="F112" s="46">
        <f>SUMIFS('07导出'!$H$2:$H$1860,'07导出'!$A$2:$A$1860,A112,'07导出'!$D$2:$D$1860,"20502")</f>
        <v>60272710.600000001</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1590</v>
      </c>
      <c r="N112" s="46">
        <f>SUMIFS('07导出'!$H$2:$H$1860,'07导出'!$A$2:$A$1860,A112,'07导出'!$D$2:$D$1860,"20508")</f>
        <v>169600</v>
      </c>
      <c r="O112" s="46">
        <f>SUMIFS('07导出'!$G$2:$G$1860,'07导出'!$A$2:$A$1860,A112,'07导出'!$D$2:$D$1860,"20509")</f>
        <v>1022287.9</v>
      </c>
      <c r="P112" s="46">
        <f>SUMIFS('07导出'!$H$2:$H$1860,'07导出'!$A$2:$A$1860,A112,'07导出'!$D$2:$D$1860,"20509")</f>
        <v>2961860</v>
      </c>
      <c r="Q112" s="46">
        <f>SUMIFS('07导出'!$G$2:$G$1860,'07导出'!$A$2:$A$1860,A112,'07导出'!$C$2:$C$1860,"206")</f>
        <v>0</v>
      </c>
      <c r="R112" s="46">
        <f>SUMIFS('07导出'!$H$2:$H$1860,'07导出'!$A$2:$A$1860,A112,'07导出'!$C$2:$C$1860,"206")</f>
        <v>0</v>
      </c>
      <c r="S112" s="46">
        <f>SUMIFS('07导出'!$G$2:$G$1860,'07导出'!$A$2:$A$1860,A112,'07导出'!$D$2:$D$1860,"20607")</f>
        <v>0</v>
      </c>
      <c r="T112" s="46">
        <f>SUMIFS('07导出'!$H$2:$H$1860,'07导出'!$A$2:$A$1860,A112,'07导出'!$D$2:$D$1860,"20607")</f>
        <v>0</v>
      </c>
      <c r="U112" s="46">
        <f>SUMIFS('07导出'!$G$2:$G$1860,'07导出'!$A$2:$A$1860,A112,'07导出'!$C$2:$C$1860,"208")</f>
        <v>12405399.68</v>
      </c>
      <c r="V112" s="46">
        <f>SUMIFS('07导出'!$H$2:$H$1860,'07导出'!$A$2:$A$1860,A112,'07导出'!$C$2:$C$1860,"208")</f>
        <v>11525639.52</v>
      </c>
      <c r="W112" s="46">
        <f>SUMIFS('07导出'!$G$2:$G$1860,'07导出'!$A$2:$A$1860,A112,'07导出'!$D$2:$D$1860,"20805")</f>
        <v>12405399.68</v>
      </c>
      <c r="X112" s="46">
        <f>SUMIFS('07导出'!$H$2:$H$1860,'07导出'!$A$2:$A$1860,A112,'07导出'!$D$2:$D$1860,"20805")</f>
        <v>11525639.52</v>
      </c>
      <c r="Y112" s="46">
        <f>SUMIFS('07导出'!$G$2:$G$1860,'07导出'!$A$2:$A$1860,A112,'07导出'!$D$2:$D$1860,"20808")</f>
        <v>0</v>
      </c>
      <c r="Z112" s="46">
        <f>SUMIFS('07导出'!$H$2:$H$1860,'07导出'!$A$2:$A$1860,A112,'07导出'!$D$2:$D$1860,"20808")</f>
        <v>0</v>
      </c>
      <c r="AA112" s="46">
        <f>SUMIFS('07导出'!$G$2:$G$1860,'07导出'!$A$2:$A$1860,A112,'07导出'!$C$2:$C$1860,"210")</f>
        <v>5030094.37</v>
      </c>
      <c r="AB112" s="46">
        <f>SUMIFS('07导出'!$H$2:$H$1860,'07导出'!$A$2:$A$1860,A112,'07导出'!$C$2:$C$1860,"210")</f>
        <v>4557555.74</v>
      </c>
      <c r="AC112" s="46">
        <f>SUMIFS('07导出'!$G$2:$G$1860,'07导出'!$A$2:$A$1860,A112,'07导出'!$D$2:$D$1860,"21011")</f>
        <v>5030094.37</v>
      </c>
      <c r="AD112" s="46">
        <f>SUMIFS('07导出'!$H$2:$H$1860,'07导出'!$A$2:$A$1860,A112,'07导出'!$D$2:$D$1860,"21011")</f>
        <v>4557555.74</v>
      </c>
      <c r="AE112" s="46">
        <f>SUMIFS('07导出'!$G$2:$G$1860,'07导出'!$A$2:$A$1860,A112,'07导出'!$C$2:$C$1860,"212")</f>
        <v>0</v>
      </c>
      <c r="AF112" s="46">
        <f>SUMIFS('07导出'!$H$2:$H$1860,'07导出'!$A$2:$A$1860,A112,'07导出'!$C$2:$C$1860,"212")</f>
        <v>0</v>
      </c>
      <c r="AG112" s="46">
        <f>SUMIFS('07导出'!$G$2:$G$1860,'07导出'!$A$2:$A$1860,A112,'07导出'!$D$2:$D$1860,"21203")</f>
        <v>0</v>
      </c>
      <c r="AH112" s="46">
        <f>SUMIFS('07导出'!$H$2:$H$1860,'07导出'!$A$2:$A$1860,A112,'07导出'!$D$2:$D$1860,"21203")</f>
        <v>0</v>
      </c>
      <c r="AI112" s="46">
        <f>SUMIFS('07导出'!$G$2:$G$1860,'07导出'!$A$2:$A$1860,A112,'07导出'!$C$2:$C$1860,"213")</f>
        <v>0</v>
      </c>
      <c r="AJ112" s="46">
        <f>SUMIFS('07导出'!$H$2:$H$1860,'07导出'!$A$2:$A$1860,A112,'07导出'!$C$2:$C$1860,"213")</f>
        <v>0</v>
      </c>
      <c r="AK112" s="46">
        <f>SUMIFS('07导出'!$G$2:$G$1860,'07导出'!$A$2:$A$1860,A112,'07导出'!$D$2:$D$1860,"21305")</f>
        <v>0</v>
      </c>
      <c r="AL112" s="46">
        <f>SUMIFS('07导出'!$H$2:$H$1860,'07导出'!$A$2:$A$1860,A112,'07导出'!$D$2:$D$1860,"21305")</f>
        <v>0</v>
      </c>
      <c r="AM112" s="46">
        <f>SUMIFS('07导出'!$G$2:$G$1860,'07导出'!$A$2:$A$1860,A112,'07导出'!$C$2:$C$1860,"221")</f>
        <v>11287960.35</v>
      </c>
      <c r="AN112" s="46">
        <f>SUMIFS('07导出'!$H$2:$H$1860,'07导出'!$A$2:$A$1860,A112,'07导出'!$C$2:$C$1860,"221")</f>
        <v>11079011.76</v>
      </c>
      <c r="AO112" s="46">
        <f>SUMIFS('07导出'!$G$2:$G$1860,'07导出'!$A$2:$A$1860,A112,'07导出'!$D$2:$D$1860,"22102")</f>
        <v>11287960.35</v>
      </c>
      <c r="AP112" s="46">
        <f>SUMIFS('07导出'!$H$2:$H$1860,'07导出'!$A$2:$A$1860,A112,'07导出'!$D$2:$D$1860,"22102")</f>
        <v>11079011.76</v>
      </c>
    </row>
    <row r="113" spans="1:42">
      <c r="A113" s="43">
        <v>255144</v>
      </c>
      <c r="B113" s="44" t="s">
        <v>112</v>
      </c>
      <c r="C113" s="45">
        <f>SUMIFS('07导出'!$G$2:$G$1860,'07导出'!$A$2:$A$1860,A113,'07导出'!$C$2:$C$1860,"205")</f>
        <v>18055676</v>
      </c>
      <c r="D113" s="45">
        <f>SUMIFS('07导出'!$H$2:$H$1860,'07导出'!$A$2:$A$1860,A113,'07导出'!$C$2:$C$1860,"205")</f>
        <v>12196287.859999999</v>
      </c>
      <c r="E113" s="46">
        <f>SUMIFS('07导出'!$G$2:$G$1860,'07导出'!$A$2:$A$1860,A113,'07导出'!$D$2:$D$1860,"20502")</f>
        <v>18045526.280000001</v>
      </c>
      <c r="F113" s="46">
        <f>SUMIFS('07导出'!$H$2:$H$1860,'07导出'!$A$2:$A$1860,A113,'07导出'!$D$2:$D$1860,"20502")</f>
        <v>12101127.859999999</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36000</v>
      </c>
      <c r="O113" s="46">
        <f>SUMIFS('07导出'!$G$2:$G$1860,'07导出'!$A$2:$A$1860,A113,'07导出'!$D$2:$D$1860,"20509")</f>
        <v>10149.719999999999</v>
      </c>
      <c r="P113" s="46">
        <f>SUMIFS('07导出'!$H$2:$H$1860,'07导出'!$A$2:$A$1860,A113,'07导出'!$D$2:$D$1860,"20509")</f>
        <v>59160</v>
      </c>
      <c r="Q113" s="46">
        <f>SUMIFS('07导出'!$G$2:$G$1860,'07导出'!$A$2:$A$1860,A113,'07导出'!$C$2:$C$1860,"206")</f>
        <v>0</v>
      </c>
      <c r="R113" s="46">
        <f>SUMIFS('07导出'!$H$2:$H$1860,'07导出'!$A$2:$A$1860,A113,'07导出'!$C$2:$C$1860,"206")</f>
        <v>0</v>
      </c>
      <c r="S113" s="46">
        <f>SUMIFS('07导出'!$G$2:$G$1860,'07导出'!$A$2:$A$1860,A113,'07导出'!$D$2:$D$1860,"20607")</f>
        <v>0</v>
      </c>
      <c r="T113" s="46">
        <f>SUMIFS('07导出'!$H$2:$H$1860,'07导出'!$A$2:$A$1860,A113,'07导出'!$D$2:$D$1860,"20607")</f>
        <v>0</v>
      </c>
      <c r="U113" s="46">
        <f>SUMIFS('07导出'!$G$2:$G$1860,'07导出'!$A$2:$A$1860,A113,'07导出'!$C$2:$C$1860,"208")</f>
        <v>4835460.8999999994</v>
      </c>
      <c r="V113" s="46">
        <f>SUMIFS('07导出'!$H$2:$H$1860,'07导出'!$A$2:$A$1860,A113,'07导出'!$C$2:$C$1860,"208")</f>
        <v>3725948.4800000004</v>
      </c>
      <c r="W113" s="46">
        <f>SUMIFS('07导出'!$G$2:$G$1860,'07导出'!$A$2:$A$1860,A113,'07导出'!$D$2:$D$1860,"20805")</f>
        <v>4835460.8999999994</v>
      </c>
      <c r="X113" s="46">
        <f>SUMIFS('07导出'!$H$2:$H$1860,'07导出'!$A$2:$A$1860,A113,'07导出'!$D$2:$D$1860,"20805")</f>
        <v>3725948.4800000004</v>
      </c>
      <c r="Y113" s="46">
        <f>SUMIFS('07导出'!$G$2:$G$1860,'07导出'!$A$2:$A$1860,A113,'07导出'!$D$2:$D$1860,"20808")</f>
        <v>0</v>
      </c>
      <c r="Z113" s="46">
        <f>SUMIFS('07导出'!$H$2:$H$1860,'07导出'!$A$2:$A$1860,A113,'07导出'!$D$2:$D$1860,"20808")</f>
        <v>0</v>
      </c>
      <c r="AA113" s="46">
        <f>SUMIFS('07导出'!$G$2:$G$1860,'07导出'!$A$2:$A$1860,A113,'07导出'!$C$2:$C$1860,"210")</f>
        <v>1080335.56</v>
      </c>
      <c r="AB113" s="46">
        <f>SUMIFS('07导出'!$H$2:$H$1860,'07导出'!$A$2:$A$1860,A113,'07导出'!$C$2:$C$1860,"210")</f>
        <v>972667.76</v>
      </c>
      <c r="AC113" s="46">
        <f>SUMIFS('07导出'!$G$2:$G$1860,'07导出'!$A$2:$A$1860,A113,'07导出'!$D$2:$D$1860,"21011")</f>
        <v>1080335.56</v>
      </c>
      <c r="AD113" s="46">
        <f>SUMIFS('07导出'!$H$2:$H$1860,'07导出'!$A$2:$A$1860,A113,'07导出'!$D$2:$D$1860,"21011")</f>
        <v>972667.76</v>
      </c>
      <c r="AE113" s="46">
        <f>SUMIFS('07导出'!$G$2:$G$1860,'07导出'!$A$2:$A$1860,A113,'07导出'!$C$2:$C$1860,"212")</f>
        <v>0</v>
      </c>
      <c r="AF113" s="46">
        <f>SUMIFS('07导出'!$H$2:$H$1860,'07导出'!$A$2:$A$1860,A113,'07导出'!$C$2:$C$1860,"212")</f>
        <v>0</v>
      </c>
      <c r="AG113" s="46">
        <f>SUMIFS('07导出'!$G$2:$G$1860,'07导出'!$A$2:$A$1860,A113,'07导出'!$D$2:$D$1860,"21203")</f>
        <v>0</v>
      </c>
      <c r="AH113" s="46">
        <f>SUMIFS('07导出'!$H$2:$H$1860,'07导出'!$A$2:$A$1860,A113,'07导出'!$D$2:$D$1860,"21203")</f>
        <v>0</v>
      </c>
      <c r="AI113" s="46">
        <f>SUMIFS('07导出'!$G$2:$G$1860,'07导出'!$A$2:$A$1860,A113,'07导出'!$C$2:$C$1860,"213")</f>
        <v>0</v>
      </c>
      <c r="AJ113" s="46">
        <f>SUMIFS('07导出'!$H$2:$H$1860,'07导出'!$A$2:$A$1860,A113,'07导出'!$C$2:$C$1860,"213")</f>
        <v>0</v>
      </c>
      <c r="AK113" s="46">
        <f>SUMIFS('07导出'!$G$2:$G$1860,'07导出'!$A$2:$A$1860,A113,'07导出'!$D$2:$D$1860,"21305")</f>
        <v>0</v>
      </c>
      <c r="AL113" s="46">
        <f>SUMIFS('07导出'!$H$2:$H$1860,'07导出'!$A$2:$A$1860,A113,'07导出'!$D$2:$D$1860,"21305")</f>
        <v>0</v>
      </c>
      <c r="AM113" s="46">
        <f>SUMIFS('07导出'!$G$2:$G$1860,'07导出'!$A$2:$A$1860,A113,'07导出'!$C$2:$C$1860,"221")</f>
        <v>2451037.48</v>
      </c>
      <c r="AN113" s="46">
        <f>SUMIFS('07导出'!$H$2:$H$1860,'07导出'!$A$2:$A$1860,A113,'07导出'!$C$2:$C$1860,"221")</f>
        <v>2420376.2400000002</v>
      </c>
      <c r="AO113" s="46">
        <f>SUMIFS('07导出'!$G$2:$G$1860,'07导出'!$A$2:$A$1860,A113,'07导出'!$D$2:$D$1860,"22102")</f>
        <v>2451037.48</v>
      </c>
      <c r="AP113" s="46">
        <f>SUMIFS('07导出'!$H$2:$H$1860,'07导出'!$A$2:$A$1860,A113,'07导出'!$D$2:$D$1860,"22102")</f>
        <v>2420376.2400000002</v>
      </c>
    </row>
    <row r="114" spans="1:42">
      <c r="A114" s="43">
        <v>255145</v>
      </c>
      <c r="B114" s="44" t="s">
        <v>113</v>
      </c>
      <c r="C114" s="45">
        <f>SUMIFS('07导出'!$G$2:$G$1860,'07导出'!$A$2:$A$1860,A114,'07导出'!$C$2:$C$1860,"205")</f>
        <v>25697214.170000002</v>
      </c>
      <c r="D114" s="45">
        <f>SUMIFS('07导出'!$H$2:$H$1860,'07导出'!$A$2:$A$1860,A114,'07导出'!$C$2:$C$1860,"205")</f>
        <v>20432320.600000001</v>
      </c>
      <c r="E114" s="46">
        <f>SUMIFS('07导出'!$G$2:$G$1860,'07导出'!$A$2:$A$1860,A114,'07导出'!$D$2:$D$1860,"20502")</f>
        <v>25454255.170000002</v>
      </c>
      <c r="F114" s="46">
        <f>SUMIFS('07导出'!$H$2:$H$1860,'07导出'!$A$2:$A$1860,A114,'07导出'!$D$2:$D$1860,"20502")</f>
        <v>19738240.600000001</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28080</v>
      </c>
      <c r="N114" s="46">
        <f>SUMIFS('07导出'!$H$2:$H$1860,'07导出'!$A$2:$A$1860,A114,'07导出'!$D$2:$D$1860,"20508")</f>
        <v>59200</v>
      </c>
      <c r="O114" s="46">
        <f>SUMIFS('07导出'!$G$2:$G$1860,'07导出'!$A$2:$A$1860,A114,'07导出'!$D$2:$D$1860,"20509")</f>
        <v>214879</v>
      </c>
      <c r="P114" s="46">
        <f>SUMIFS('07导出'!$H$2:$H$1860,'07导出'!$A$2:$A$1860,A114,'07导出'!$D$2:$D$1860,"20509")</f>
        <v>634880</v>
      </c>
      <c r="Q114" s="46">
        <f>SUMIFS('07导出'!$G$2:$G$1860,'07导出'!$A$2:$A$1860,A114,'07导出'!$C$2:$C$1860,"206")</f>
        <v>0</v>
      </c>
      <c r="R114" s="46">
        <f>SUMIFS('07导出'!$H$2:$H$1860,'07导出'!$A$2:$A$1860,A114,'07导出'!$C$2:$C$1860,"206")</f>
        <v>0</v>
      </c>
      <c r="S114" s="46">
        <f>SUMIFS('07导出'!$G$2:$G$1860,'07导出'!$A$2:$A$1860,A114,'07导出'!$D$2:$D$1860,"20607")</f>
        <v>0</v>
      </c>
      <c r="T114" s="46">
        <f>SUMIFS('07导出'!$H$2:$H$1860,'07导出'!$A$2:$A$1860,A114,'07导出'!$D$2:$D$1860,"20607")</f>
        <v>0</v>
      </c>
      <c r="U114" s="46">
        <f>SUMIFS('07导出'!$G$2:$G$1860,'07导出'!$A$2:$A$1860,A114,'07导出'!$C$2:$C$1860,"208")</f>
        <v>3529265.6399999997</v>
      </c>
      <c r="V114" s="46">
        <f>SUMIFS('07导出'!$H$2:$H$1860,'07导出'!$A$2:$A$1860,A114,'07导出'!$C$2:$C$1860,"208")</f>
        <v>3112698.6500000004</v>
      </c>
      <c r="W114" s="46">
        <f>SUMIFS('07导出'!$G$2:$G$1860,'07导出'!$A$2:$A$1860,A114,'07导出'!$D$2:$D$1860,"20805")</f>
        <v>3323947.6399999997</v>
      </c>
      <c r="X114" s="46">
        <f>SUMIFS('07导出'!$H$2:$H$1860,'07导出'!$A$2:$A$1860,A114,'07导出'!$D$2:$D$1860,"20805")</f>
        <v>3112698.6500000004</v>
      </c>
      <c r="Y114" s="46">
        <f>SUMIFS('07导出'!$G$2:$G$1860,'07导出'!$A$2:$A$1860,A114,'07导出'!$D$2:$D$1860,"20808")</f>
        <v>205318</v>
      </c>
      <c r="Z114" s="46">
        <f>SUMIFS('07导出'!$H$2:$H$1860,'07导出'!$A$2:$A$1860,A114,'07导出'!$D$2:$D$1860,"20808")</f>
        <v>0</v>
      </c>
      <c r="AA114" s="46">
        <f>SUMIFS('07导出'!$G$2:$G$1860,'07导出'!$A$2:$A$1860,A114,'07导出'!$C$2:$C$1860,"210")</f>
        <v>1498774.55</v>
      </c>
      <c r="AB114" s="46">
        <f>SUMIFS('07导出'!$H$2:$H$1860,'07导出'!$A$2:$A$1860,A114,'07导出'!$C$2:$C$1860,"210")</f>
        <v>1445404.27</v>
      </c>
      <c r="AC114" s="46">
        <f>SUMIFS('07导出'!$G$2:$G$1860,'07导出'!$A$2:$A$1860,A114,'07导出'!$D$2:$D$1860,"21011")</f>
        <v>1498774.55</v>
      </c>
      <c r="AD114" s="46">
        <f>SUMIFS('07导出'!$H$2:$H$1860,'07导出'!$A$2:$A$1860,A114,'07导出'!$D$2:$D$1860,"21011")</f>
        <v>1445404.27</v>
      </c>
      <c r="AE114" s="46">
        <f>SUMIFS('07导出'!$G$2:$G$1860,'07导出'!$A$2:$A$1860,A114,'07导出'!$C$2:$C$1860,"212")</f>
        <v>0</v>
      </c>
      <c r="AF114" s="46">
        <f>SUMIFS('07导出'!$H$2:$H$1860,'07导出'!$A$2:$A$1860,A114,'07导出'!$C$2:$C$1860,"212")</f>
        <v>0</v>
      </c>
      <c r="AG114" s="46">
        <f>SUMIFS('07导出'!$G$2:$G$1860,'07导出'!$A$2:$A$1860,A114,'07导出'!$D$2:$D$1860,"21203")</f>
        <v>0</v>
      </c>
      <c r="AH114" s="46">
        <f>SUMIFS('07导出'!$H$2:$H$1860,'07导出'!$A$2:$A$1860,A114,'07导出'!$D$2:$D$1860,"21203")</f>
        <v>0</v>
      </c>
      <c r="AI114" s="46">
        <f>SUMIFS('07导出'!$G$2:$G$1860,'07导出'!$A$2:$A$1860,A114,'07导出'!$C$2:$C$1860,"213")</f>
        <v>0</v>
      </c>
      <c r="AJ114" s="46">
        <f>SUMIFS('07导出'!$H$2:$H$1860,'07导出'!$A$2:$A$1860,A114,'07导出'!$C$2:$C$1860,"213")</f>
        <v>0</v>
      </c>
      <c r="AK114" s="46">
        <f>SUMIFS('07导出'!$G$2:$G$1860,'07导出'!$A$2:$A$1860,A114,'07导出'!$D$2:$D$1860,"21305")</f>
        <v>0</v>
      </c>
      <c r="AL114" s="46">
        <f>SUMIFS('07导出'!$H$2:$H$1860,'07导出'!$A$2:$A$1860,A114,'07导出'!$D$2:$D$1860,"21305")</f>
        <v>0</v>
      </c>
      <c r="AM114" s="46">
        <f>SUMIFS('07导出'!$G$2:$G$1860,'07导出'!$A$2:$A$1860,A114,'07导出'!$C$2:$C$1860,"221")</f>
        <v>3483733</v>
      </c>
      <c r="AN114" s="46">
        <f>SUMIFS('07导出'!$H$2:$H$1860,'07导出'!$A$2:$A$1860,A114,'07导出'!$C$2:$C$1860,"221")</f>
        <v>3436367.33</v>
      </c>
      <c r="AO114" s="46">
        <f>SUMIFS('07导出'!$G$2:$G$1860,'07导出'!$A$2:$A$1860,A114,'07导出'!$D$2:$D$1860,"22102")</f>
        <v>3483733</v>
      </c>
      <c r="AP114" s="46">
        <f>SUMIFS('07导出'!$H$2:$H$1860,'07导出'!$A$2:$A$1860,A114,'07导出'!$D$2:$D$1860,"22102")</f>
        <v>3436367.33</v>
      </c>
    </row>
    <row r="115" spans="1:42">
      <c r="A115" s="43">
        <v>255147</v>
      </c>
      <c r="B115" s="44" t="s">
        <v>114</v>
      </c>
      <c r="C115" s="45">
        <f>SUMIFS('07导出'!$G$2:$G$1860,'07导出'!$A$2:$A$1860,A115,'07导出'!$C$2:$C$1860,"205")</f>
        <v>54791886.810000002</v>
      </c>
      <c r="D115" s="45">
        <f>SUMIFS('07导出'!$H$2:$H$1860,'07导出'!$A$2:$A$1860,A115,'07导出'!$C$2:$C$1860,"205")</f>
        <v>41139741.829999998</v>
      </c>
      <c r="E115" s="46">
        <f>SUMIFS('07导出'!$G$2:$G$1860,'07导出'!$A$2:$A$1860,A115,'07导出'!$D$2:$D$1860,"20502")</f>
        <v>52182480.310000002</v>
      </c>
      <c r="F115" s="46">
        <f>SUMIFS('07导出'!$H$2:$H$1860,'07导出'!$A$2:$A$1860,A115,'07导出'!$D$2:$D$1860,"20502")</f>
        <v>38244691.829999998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56800</v>
      </c>
      <c r="N115" s="46">
        <f>SUMIFS('07导出'!$H$2:$H$1860,'07导出'!$A$2:$A$1860,A115,'07导出'!$D$2:$D$1860,"20508")</f>
        <v>113600</v>
      </c>
      <c r="O115" s="46">
        <f>SUMIFS('07导出'!$G$2:$G$1860,'07导出'!$A$2:$A$1860,A115,'07导出'!$D$2:$D$1860,"20509")</f>
        <v>2552606.5</v>
      </c>
      <c r="P115" s="46">
        <f>SUMIFS('07导出'!$H$2:$H$1860,'07导出'!$A$2:$A$1860,A115,'07导出'!$D$2:$D$1860,"20509")</f>
        <v>2781450</v>
      </c>
      <c r="Q115" s="46">
        <f>SUMIFS('07导出'!$G$2:$G$1860,'07导出'!$A$2:$A$1860,A115,'07导出'!$C$2:$C$1860,"206")</f>
        <v>0</v>
      </c>
      <c r="R115" s="46">
        <f>SUMIFS('07导出'!$H$2:$H$1860,'07导出'!$A$2:$A$1860,A115,'07导出'!$C$2:$C$1860,"206")</f>
        <v>0</v>
      </c>
      <c r="S115" s="46">
        <f>SUMIFS('07导出'!$G$2:$G$1860,'07导出'!$A$2:$A$1860,A115,'07导出'!$D$2:$D$1860,"20607")</f>
        <v>0</v>
      </c>
      <c r="T115" s="46">
        <f>SUMIFS('07导出'!$H$2:$H$1860,'07导出'!$A$2:$A$1860,A115,'07导出'!$D$2:$D$1860,"20607")</f>
        <v>0</v>
      </c>
      <c r="U115" s="46">
        <f>SUMIFS('07导出'!$G$2:$G$1860,'07导出'!$A$2:$A$1860,A115,'07导出'!$C$2:$C$1860,"208")</f>
        <v>8509132.5700000003</v>
      </c>
      <c r="V115" s="46">
        <f>SUMIFS('07导出'!$H$2:$H$1860,'07导出'!$A$2:$A$1860,A115,'07导出'!$C$2:$C$1860,"208")</f>
        <v>7857055.5700000003</v>
      </c>
      <c r="W115" s="46">
        <f>SUMIFS('07导出'!$G$2:$G$1860,'07导出'!$A$2:$A$1860,A115,'07导出'!$D$2:$D$1860,"20805")</f>
        <v>8509132.5700000003</v>
      </c>
      <c r="X115" s="46">
        <f>SUMIFS('07导出'!$H$2:$H$1860,'07导出'!$A$2:$A$1860,A115,'07导出'!$D$2:$D$1860,"20805")</f>
        <v>7857055.5700000003</v>
      </c>
      <c r="Y115" s="46">
        <f>SUMIFS('07导出'!$G$2:$G$1860,'07导出'!$A$2:$A$1860,A115,'07导出'!$D$2:$D$1860,"20808")</f>
        <v>0</v>
      </c>
      <c r="Z115" s="46">
        <f>SUMIFS('07导出'!$H$2:$H$1860,'07导出'!$A$2:$A$1860,A115,'07导出'!$D$2:$D$1860,"20808")</f>
        <v>0</v>
      </c>
      <c r="AA115" s="46">
        <f>SUMIFS('07导出'!$G$2:$G$1860,'07导出'!$A$2:$A$1860,A115,'07导出'!$C$2:$C$1860,"210")</f>
        <v>3414147.35</v>
      </c>
      <c r="AB115" s="46">
        <f>SUMIFS('07导出'!$H$2:$H$1860,'07导出'!$A$2:$A$1860,A115,'07导出'!$C$2:$C$1860,"210")</f>
        <v>3414147.35</v>
      </c>
      <c r="AC115" s="46">
        <f>SUMIFS('07导出'!$G$2:$G$1860,'07导出'!$A$2:$A$1860,A115,'07导出'!$D$2:$D$1860,"21011")</f>
        <v>3414147.35</v>
      </c>
      <c r="AD115" s="46">
        <f>SUMIFS('07导出'!$H$2:$H$1860,'07导出'!$A$2:$A$1860,A115,'07导出'!$D$2:$D$1860,"21011")</f>
        <v>3414147.35</v>
      </c>
      <c r="AE115" s="46">
        <f>SUMIFS('07导出'!$G$2:$G$1860,'07导出'!$A$2:$A$1860,A115,'07导出'!$C$2:$C$1860,"212")</f>
        <v>0</v>
      </c>
      <c r="AF115" s="46">
        <f>SUMIFS('07导出'!$H$2:$H$1860,'07导出'!$A$2:$A$1860,A115,'07导出'!$C$2:$C$1860,"212")</f>
        <v>0</v>
      </c>
      <c r="AG115" s="46">
        <f>SUMIFS('07导出'!$G$2:$G$1860,'07导出'!$A$2:$A$1860,A115,'07导出'!$D$2:$D$1860,"21203")</f>
        <v>0</v>
      </c>
      <c r="AH115" s="46">
        <f>SUMIFS('07导出'!$H$2:$H$1860,'07导出'!$A$2:$A$1860,A115,'07导出'!$D$2:$D$1860,"21203")</f>
        <v>0</v>
      </c>
      <c r="AI115" s="46">
        <f>SUMIFS('07导出'!$G$2:$G$1860,'07导出'!$A$2:$A$1860,A115,'07导出'!$C$2:$C$1860,"213")</f>
        <v>0</v>
      </c>
      <c r="AJ115" s="46">
        <f>SUMIFS('07导出'!$H$2:$H$1860,'07导出'!$A$2:$A$1860,A115,'07导出'!$C$2:$C$1860,"213")</f>
        <v>0</v>
      </c>
      <c r="AK115" s="46">
        <f>SUMIFS('07导出'!$G$2:$G$1860,'07导出'!$A$2:$A$1860,A115,'07导出'!$D$2:$D$1860,"21305")</f>
        <v>0</v>
      </c>
      <c r="AL115" s="46">
        <f>SUMIFS('07导出'!$H$2:$H$1860,'07导出'!$A$2:$A$1860,A115,'07导出'!$D$2:$D$1860,"21305")</f>
        <v>0</v>
      </c>
      <c r="AM115" s="46">
        <f>SUMIFS('07导出'!$G$2:$G$1860,'07导出'!$A$2:$A$1860,A115,'07导出'!$C$2:$C$1860,"221")</f>
        <v>7294478</v>
      </c>
      <c r="AN115" s="46">
        <f>SUMIFS('07导出'!$H$2:$H$1860,'07导出'!$A$2:$A$1860,A115,'07导出'!$C$2:$C$1860,"221")</f>
        <v>7106766.79</v>
      </c>
      <c r="AO115" s="46">
        <f>SUMIFS('07导出'!$G$2:$G$1860,'07导出'!$A$2:$A$1860,A115,'07导出'!$D$2:$D$1860,"22102")</f>
        <v>7294478</v>
      </c>
      <c r="AP115" s="46">
        <f>SUMIFS('07导出'!$H$2:$H$1860,'07导出'!$A$2:$A$1860,A115,'07导出'!$D$2:$D$1860,"22102")</f>
        <v>7106766.79</v>
      </c>
    </row>
    <row r="116" spans="1:42">
      <c r="A116" s="43">
        <v>255148</v>
      </c>
      <c r="B116" s="44" t="s">
        <v>115</v>
      </c>
      <c r="C116" s="45">
        <f>SUMIFS('07导出'!$G$2:$G$1860,'07导出'!$A$2:$A$1860,A116,'07导出'!$C$2:$C$1860,"205")</f>
        <v>20723284.239999998</v>
      </c>
      <c r="D116" s="45">
        <f>SUMIFS('07导出'!$H$2:$H$1860,'07导出'!$A$2:$A$1860,A116,'07导出'!$C$2:$C$1860,"205")</f>
        <v>17370931.75</v>
      </c>
      <c r="E116" s="46">
        <f>SUMIFS('07导出'!$G$2:$G$1860,'07导出'!$A$2:$A$1860,A116,'07导出'!$D$2:$D$1860,"20502")</f>
        <v>19920484.859999999</v>
      </c>
      <c r="F116" s="46">
        <f>SUMIFS('07导出'!$H$2:$H$1860,'07导出'!$A$2:$A$1860,A116,'07导出'!$D$2:$D$1860,"20502")</f>
        <v>16276931.75</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0</v>
      </c>
      <c r="N116" s="46">
        <f>SUMIFS('07导出'!$H$2:$H$1860,'07导出'!$A$2:$A$1860,A116,'07导出'!$D$2:$D$1860,"20508")</f>
        <v>51200</v>
      </c>
      <c r="O116" s="46">
        <f>SUMIFS('07导出'!$G$2:$G$1860,'07导出'!$A$2:$A$1860,A116,'07导出'!$D$2:$D$1860,"20509")</f>
        <v>802799.38</v>
      </c>
      <c r="P116" s="46">
        <f>SUMIFS('07导出'!$H$2:$H$1860,'07导出'!$A$2:$A$1860,A116,'07导出'!$D$2:$D$1860,"20509")</f>
        <v>1042800</v>
      </c>
      <c r="Q116" s="46">
        <f>SUMIFS('07导出'!$G$2:$G$1860,'07导出'!$A$2:$A$1860,A116,'07导出'!$C$2:$C$1860,"206")</f>
        <v>0</v>
      </c>
      <c r="R116" s="46">
        <f>SUMIFS('07导出'!$H$2:$H$1860,'07导出'!$A$2:$A$1860,A116,'07导出'!$C$2:$C$1860,"206")</f>
        <v>0</v>
      </c>
      <c r="S116" s="46">
        <f>SUMIFS('07导出'!$G$2:$G$1860,'07导出'!$A$2:$A$1860,A116,'07导出'!$D$2:$D$1860,"20607")</f>
        <v>0</v>
      </c>
      <c r="T116" s="46">
        <f>SUMIFS('07导出'!$H$2:$H$1860,'07导出'!$A$2:$A$1860,A116,'07导出'!$D$2:$D$1860,"20607")</f>
        <v>0</v>
      </c>
      <c r="U116" s="46">
        <f>SUMIFS('07导出'!$G$2:$G$1860,'07导出'!$A$2:$A$1860,A116,'07导出'!$C$2:$C$1860,"208")</f>
        <v>3526810.6399999997</v>
      </c>
      <c r="V116" s="46">
        <f>SUMIFS('07导出'!$H$2:$H$1860,'07导出'!$A$2:$A$1860,A116,'07导出'!$C$2:$C$1860,"208")</f>
        <v>3515532.7199999997</v>
      </c>
      <c r="W116" s="46">
        <f>SUMIFS('07导出'!$G$2:$G$1860,'07导出'!$A$2:$A$1860,A116,'07导出'!$D$2:$D$1860,"20805")</f>
        <v>3526810.6399999997</v>
      </c>
      <c r="X116" s="46">
        <f>SUMIFS('07导出'!$H$2:$H$1860,'07导出'!$A$2:$A$1860,A116,'07导出'!$D$2:$D$1860,"20805")</f>
        <v>3515532.7199999997</v>
      </c>
      <c r="Y116" s="46">
        <f>SUMIFS('07导出'!$G$2:$G$1860,'07导出'!$A$2:$A$1860,A116,'07导出'!$D$2:$D$1860,"20808")</f>
        <v>0</v>
      </c>
      <c r="Z116" s="46">
        <f>SUMIFS('07导出'!$H$2:$H$1860,'07导出'!$A$2:$A$1860,A116,'07导出'!$D$2:$D$1860,"20808")</f>
        <v>0</v>
      </c>
      <c r="AA116" s="46">
        <f>SUMIFS('07导出'!$G$2:$G$1860,'07导出'!$A$2:$A$1860,A116,'07导出'!$C$2:$C$1860,"210")</f>
        <v>1194637.83</v>
      </c>
      <c r="AB116" s="46">
        <f>SUMIFS('07导出'!$H$2:$H$1860,'07导出'!$A$2:$A$1860,A116,'07导出'!$C$2:$C$1860,"210")</f>
        <v>1231253.1399999999</v>
      </c>
      <c r="AC116" s="46">
        <f>SUMIFS('07导出'!$G$2:$G$1860,'07导出'!$A$2:$A$1860,A116,'07导出'!$D$2:$D$1860,"21011")</f>
        <v>1194637.83</v>
      </c>
      <c r="AD116" s="46">
        <f>SUMIFS('07导出'!$H$2:$H$1860,'07导出'!$A$2:$A$1860,A116,'07导出'!$D$2:$D$1860,"21011")</f>
        <v>1231253.1399999999</v>
      </c>
      <c r="AE116" s="46">
        <f>SUMIFS('07导出'!$G$2:$G$1860,'07导出'!$A$2:$A$1860,A116,'07导出'!$C$2:$C$1860,"212")</f>
        <v>0</v>
      </c>
      <c r="AF116" s="46">
        <f>SUMIFS('07导出'!$H$2:$H$1860,'07导出'!$A$2:$A$1860,A116,'07导出'!$C$2:$C$1860,"212")</f>
        <v>0</v>
      </c>
      <c r="AG116" s="46">
        <f>SUMIFS('07导出'!$G$2:$G$1860,'07导出'!$A$2:$A$1860,A116,'07导出'!$D$2:$D$1860,"21203")</f>
        <v>0</v>
      </c>
      <c r="AH116" s="46">
        <f>SUMIFS('07导出'!$H$2:$H$1860,'07导出'!$A$2:$A$1860,A116,'07导出'!$D$2:$D$1860,"21203")</f>
        <v>0</v>
      </c>
      <c r="AI116" s="46">
        <f>SUMIFS('07导出'!$G$2:$G$1860,'07导出'!$A$2:$A$1860,A116,'07导出'!$C$2:$C$1860,"213")</f>
        <v>0</v>
      </c>
      <c r="AJ116" s="46">
        <f>SUMIFS('07导出'!$H$2:$H$1860,'07导出'!$A$2:$A$1860,A116,'07导出'!$C$2:$C$1860,"213")</f>
        <v>0</v>
      </c>
      <c r="AK116" s="46">
        <f>SUMIFS('07导出'!$G$2:$G$1860,'07导出'!$A$2:$A$1860,A116,'07导出'!$D$2:$D$1860,"21305")</f>
        <v>0</v>
      </c>
      <c r="AL116" s="46">
        <f>SUMIFS('07导出'!$H$2:$H$1860,'07导出'!$A$2:$A$1860,A116,'07导出'!$D$2:$D$1860,"21305")</f>
        <v>0</v>
      </c>
      <c r="AM116" s="46">
        <f>SUMIFS('07导出'!$G$2:$G$1860,'07导出'!$A$2:$A$1860,A116,'07导出'!$C$2:$C$1860,"221")</f>
        <v>3314481</v>
      </c>
      <c r="AN116" s="46">
        <f>SUMIFS('07导出'!$H$2:$H$1860,'07导出'!$A$2:$A$1860,A116,'07导出'!$C$2:$C$1860,"221")</f>
        <v>3440781.3600000003</v>
      </c>
      <c r="AO116" s="46">
        <f>SUMIFS('07导出'!$G$2:$G$1860,'07导出'!$A$2:$A$1860,A116,'07导出'!$D$2:$D$1860,"22102")</f>
        <v>3314481</v>
      </c>
      <c r="AP116" s="46">
        <f>SUMIFS('07导出'!$H$2:$H$1860,'07导出'!$A$2:$A$1860,A116,'07导出'!$D$2:$D$1860,"22102")</f>
        <v>3440781.3600000003</v>
      </c>
    </row>
    <row r="117" spans="1:42">
      <c r="A117" s="43">
        <v>255149</v>
      </c>
      <c r="B117" s="44" t="s">
        <v>116</v>
      </c>
      <c r="C117" s="45">
        <f>SUMIFS('07导出'!$G$2:$G$1860,'07导出'!$A$2:$A$1860,A117,'07导出'!$C$2:$C$1860,"205")</f>
        <v>36051030.609999999</v>
      </c>
      <c r="D117" s="45">
        <f>SUMIFS('07导出'!$H$2:$H$1860,'07导出'!$A$2:$A$1860,A117,'07导出'!$C$2:$C$1860,"205")</f>
        <v>26483435.989999998</v>
      </c>
      <c r="E117" s="46">
        <f>SUMIFS('07导出'!$G$2:$G$1860,'07导出'!$A$2:$A$1860,A117,'07导出'!$D$2:$D$1860,"20502")</f>
        <v>34514537.200000003</v>
      </c>
      <c r="F117" s="46">
        <f>SUMIFS('07导出'!$H$2:$H$1860,'07导出'!$A$2:$A$1860,A117,'07导出'!$D$2:$D$1860,"20502")</f>
        <v>24657900.989999998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0</v>
      </c>
      <c r="N117" s="46">
        <f>SUMIFS('07导出'!$H$2:$H$1860,'07导出'!$A$2:$A$1860,A117,'07导出'!$D$2:$D$1860,"20508")</f>
        <v>77600</v>
      </c>
      <c r="O117" s="46">
        <f>SUMIFS('07导出'!$G$2:$G$1860,'07导出'!$A$2:$A$1860,A117,'07导出'!$D$2:$D$1860,"20509")</f>
        <v>1536493.41</v>
      </c>
      <c r="P117" s="46">
        <f>SUMIFS('07导出'!$H$2:$H$1860,'07导出'!$A$2:$A$1860,A117,'07导出'!$D$2:$D$1860,"20509")</f>
        <v>1747935</v>
      </c>
      <c r="Q117" s="46">
        <f>SUMIFS('07导出'!$G$2:$G$1860,'07导出'!$A$2:$A$1860,A117,'07导出'!$C$2:$C$1860,"206")</f>
        <v>0</v>
      </c>
      <c r="R117" s="46">
        <f>SUMIFS('07导出'!$H$2:$H$1860,'07导出'!$A$2:$A$1860,A117,'07导出'!$C$2:$C$1860,"206")</f>
        <v>0</v>
      </c>
      <c r="S117" s="46">
        <f>SUMIFS('07导出'!$G$2:$G$1860,'07导出'!$A$2:$A$1860,A117,'07导出'!$D$2:$D$1860,"20607")</f>
        <v>0</v>
      </c>
      <c r="T117" s="46">
        <f>SUMIFS('07导出'!$H$2:$H$1860,'07导出'!$A$2:$A$1860,A117,'07导出'!$D$2:$D$1860,"20607")</f>
        <v>0</v>
      </c>
      <c r="U117" s="46">
        <f>SUMIFS('07导出'!$G$2:$G$1860,'07导出'!$A$2:$A$1860,A117,'07导出'!$C$2:$C$1860,"208")</f>
        <v>4963673.92</v>
      </c>
      <c r="V117" s="46">
        <f>SUMIFS('07导出'!$H$2:$H$1860,'07导出'!$A$2:$A$1860,A117,'07导出'!$C$2:$C$1860,"208")</f>
        <v>3996305.73</v>
      </c>
      <c r="W117" s="46">
        <f>SUMIFS('07导出'!$G$2:$G$1860,'07导出'!$A$2:$A$1860,A117,'07导出'!$D$2:$D$1860,"20805")</f>
        <v>4963673.92</v>
      </c>
      <c r="X117" s="46">
        <f>SUMIFS('07导出'!$H$2:$H$1860,'07导出'!$A$2:$A$1860,A117,'07导出'!$D$2:$D$1860,"20805")</f>
        <v>3996305.73</v>
      </c>
      <c r="Y117" s="46">
        <f>SUMIFS('07导出'!$G$2:$G$1860,'07导出'!$A$2:$A$1860,A117,'07导出'!$D$2:$D$1860,"20808")</f>
        <v>0</v>
      </c>
      <c r="Z117" s="46">
        <f>SUMIFS('07导出'!$H$2:$H$1860,'07导出'!$A$2:$A$1860,A117,'07导出'!$D$2:$D$1860,"20808")</f>
        <v>0</v>
      </c>
      <c r="AA117" s="46">
        <f>SUMIFS('07导出'!$G$2:$G$1860,'07导出'!$A$2:$A$1860,A117,'07导出'!$C$2:$C$1860,"210")</f>
        <v>1787526.58</v>
      </c>
      <c r="AB117" s="46">
        <f>SUMIFS('07导出'!$H$2:$H$1860,'07导出'!$A$2:$A$1860,A117,'07导出'!$C$2:$C$1860,"210")</f>
        <v>1710717.44</v>
      </c>
      <c r="AC117" s="46">
        <f>SUMIFS('07导出'!$G$2:$G$1860,'07导出'!$A$2:$A$1860,A117,'07导出'!$D$2:$D$1860,"21011")</f>
        <v>1787526.58</v>
      </c>
      <c r="AD117" s="46">
        <f>SUMIFS('07导出'!$H$2:$H$1860,'07导出'!$A$2:$A$1860,A117,'07导出'!$D$2:$D$1860,"21011")</f>
        <v>1710717.44</v>
      </c>
      <c r="AE117" s="46">
        <f>SUMIFS('07导出'!$G$2:$G$1860,'07导出'!$A$2:$A$1860,A117,'07导出'!$C$2:$C$1860,"212")</f>
        <v>0</v>
      </c>
      <c r="AF117" s="46">
        <f>SUMIFS('07导出'!$H$2:$H$1860,'07导出'!$A$2:$A$1860,A117,'07导出'!$C$2:$C$1860,"212")</f>
        <v>0</v>
      </c>
      <c r="AG117" s="46">
        <f>SUMIFS('07导出'!$G$2:$G$1860,'07导出'!$A$2:$A$1860,A117,'07导出'!$D$2:$D$1860,"21203")</f>
        <v>0</v>
      </c>
      <c r="AH117" s="46">
        <f>SUMIFS('07导出'!$H$2:$H$1860,'07导出'!$A$2:$A$1860,A117,'07导出'!$D$2:$D$1860,"21203")</f>
        <v>0</v>
      </c>
      <c r="AI117" s="46">
        <f>SUMIFS('07导出'!$G$2:$G$1860,'07导出'!$A$2:$A$1860,A117,'07导出'!$C$2:$C$1860,"213")</f>
        <v>0</v>
      </c>
      <c r="AJ117" s="46">
        <f>SUMIFS('07导出'!$H$2:$H$1860,'07导出'!$A$2:$A$1860,A117,'07导出'!$C$2:$C$1860,"213")</f>
        <v>0</v>
      </c>
      <c r="AK117" s="46">
        <f>SUMIFS('07导出'!$G$2:$G$1860,'07导出'!$A$2:$A$1860,A117,'07导出'!$D$2:$D$1860,"21305")</f>
        <v>0</v>
      </c>
      <c r="AL117" s="46">
        <f>SUMIFS('07导出'!$H$2:$H$1860,'07导出'!$A$2:$A$1860,A117,'07导出'!$D$2:$D$1860,"21305")</f>
        <v>0</v>
      </c>
      <c r="AM117" s="46">
        <f>SUMIFS('07导出'!$G$2:$G$1860,'07导出'!$A$2:$A$1860,A117,'07导出'!$C$2:$C$1860,"221")</f>
        <v>4580155</v>
      </c>
      <c r="AN117" s="46">
        <f>SUMIFS('07导出'!$H$2:$H$1860,'07导出'!$A$2:$A$1860,A117,'07导出'!$C$2:$C$1860,"221")</f>
        <v>4344762.8600000003</v>
      </c>
      <c r="AO117" s="46">
        <f>SUMIFS('07导出'!$G$2:$G$1860,'07导出'!$A$2:$A$1860,A117,'07导出'!$D$2:$D$1860,"22102")</f>
        <v>4580155</v>
      </c>
      <c r="AP117" s="46">
        <f>SUMIFS('07导出'!$H$2:$H$1860,'07导出'!$A$2:$A$1860,A117,'07导出'!$D$2:$D$1860,"22102")</f>
        <v>4344762.8600000003</v>
      </c>
    </row>
    <row r="118" spans="1:42">
      <c r="A118" s="43">
        <v>255150</v>
      </c>
      <c r="B118" s="44" t="s">
        <v>117</v>
      </c>
      <c r="C118" s="45">
        <f>SUMIFS('07导出'!$G$2:$G$1860,'07导出'!$A$2:$A$1860,A118,'07导出'!$C$2:$C$1860,"205")</f>
        <v>22088342.73</v>
      </c>
      <c r="D118" s="45">
        <f>SUMIFS('07导出'!$H$2:$H$1860,'07导出'!$A$2:$A$1860,A118,'07导出'!$C$2:$C$1860,"205")</f>
        <v>15243778.390000001</v>
      </c>
      <c r="E118" s="46">
        <f>SUMIFS('07导出'!$G$2:$G$1860,'07导出'!$A$2:$A$1860,A118,'07导出'!$D$2:$D$1860,"20502")</f>
        <v>21219564.210000001</v>
      </c>
      <c r="F118" s="46">
        <f>SUMIFS('07导出'!$H$2:$H$1860,'07导出'!$A$2:$A$1860,A118,'07导出'!$D$2:$D$1860,"20502")</f>
        <v>14328378.390000001</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3400</v>
      </c>
      <c r="N118" s="46">
        <f>SUMIFS('07导出'!$H$2:$H$1860,'07导出'!$A$2:$A$1860,A118,'07导出'!$D$2:$D$1860,"20508")</f>
        <v>46400</v>
      </c>
      <c r="O118" s="46">
        <f>SUMIFS('07导出'!$G$2:$G$1860,'07导出'!$A$2:$A$1860,A118,'07导出'!$D$2:$D$1860,"20509")</f>
        <v>865378.52</v>
      </c>
      <c r="P118" s="46">
        <f>SUMIFS('07导出'!$H$2:$H$1860,'07导出'!$A$2:$A$1860,A118,'07导出'!$D$2:$D$1860,"20509")</f>
        <v>869000</v>
      </c>
      <c r="Q118" s="46">
        <f>SUMIFS('07导出'!$G$2:$G$1860,'07导出'!$A$2:$A$1860,A118,'07导出'!$C$2:$C$1860,"206")</f>
        <v>0</v>
      </c>
      <c r="R118" s="46">
        <f>SUMIFS('07导出'!$H$2:$H$1860,'07导出'!$A$2:$A$1860,A118,'07导出'!$C$2:$C$1860,"206")</f>
        <v>0</v>
      </c>
      <c r="S118" s="46">
        <f>SUMIFS('07导出'!$G$2:$G$1860,'07导出'!$A$2:$A$1860,A118,'07导出'!$D$2:$D$1860,"20607")</f>
        <v>0</v>
      </c>
      <c r="T118" s="46">
        <f>SUMIFS('07导出'!$H$2:$H$1860,'07导出'!$A$2:$A$1860,A118,'07导出'!$D$2:$D$1860,"20607")</f>
        <v>0</v>
      </c>
      <c r="U118" s="46">
        <f>SUMIFS('07导出'!$G$2:$G$1860,'07导出'!$A$2:$A$1860,A118,'07导出'!$C$2:$C$1860,"208")</f>
        <v>2734703.83</v>
      </c>
      <c r="V118" s="46">
        <f>SUMIFS('07导出'!$H$2:$H$1860,'07导出'!$A$2:$A$1860,A118,'07导出'!$C$2:$C$1860,"208")</f>
        <v>1959171.44</v>
      </c>
      <c r="W118" s="46">
        <f>SUMIFS('07导出'!$G$2:$G$1860,'07导出'!$A$2:$A$1860,A118,'07导出'!$D$2:$D$1860,"20805")</f>
        <v>2734703.83</v>
      </c>
      <c r="X118" s="46">
        <f>SUMIFS('07导出'!$H$2:$H$1860,'07导出'!$A$2:$A$1860,A118,'07导出'!$D$2:$D$1860,"20805")</f>
        <v>1959171.44</v>
      </c>
      <c r="Y118" s="46">
        <f>SUMIFS('07导出'!$G$2:$G$1860,'07导出'!$A$2:$A$1860,A118,'07导出'!$D$2:$D$1860,"20808")</f>
        <v>0</v>
      </c>
      <c r="Z118" s="46">
        <f>SUMIFS('07导出'!$H$2:$H$1860,'07导出'!$A$2:$A$1860,A118,'07导出'!$D$2:$D$1860,"20808")</f>
        <v>0</v>
      </c>
      <c r="AA118" s="46">
        <f>SUMIFS('07导出'!$G$2:$G$1860,'07导出'!$A$2:$A$1860,A118,'07导出'!$C$2:$C$1860,"210")</f>
        <v>1634471.53</v>
      </c>
      <c r="AB118" s="46">
        <f>SUMIFS('07导出'!$H$2:$H$1860,'07导出'!$A$2:$A$1860,A118,'07导出'!$C$2:$C$1860,"210")</f>
        <v>860428.53</v>
      </c>
      <c r="AC118" s="46">
        <f>SUMIFS('07导出'!$G$2:$G$1860,'07导出'!$A$2:$A$1860,A118,'07导出'!$D$2:$D$1860,"21011")</f>
        <v>1634471.53</v>
      </c>
      <c r="AD118" s="46">
        <f>SUMIFS('07导出'!$H$2:$H$1860,'07导出'!$A$2:$A$1860,A118,'07导出'!$D$2:$D$1860,"21011")</f>
        <v>860428.53</v>
      </c>
      <c r="AE118" s="46">
        <f>SUMIFS('07导出'!$G$2:$G$1860,'07导出'!$A$2:$A$1860,A118,'07导出'!$C$2:$C$1860,"212")</f>
        <v>0</v>
      </c>
      <c r="AF118" s="46">
        <f>SUMIFS('07导出'!$H$2:$H$1860,'07导出'!$A$2:$A$1860,A118,'07导出'!$C$2:$C$1860,"212")</f>
        <v>0</v>
      </c>
      <c r="AG118" s="46">
        <f>SUMIFS('07导出'!$G$2:$G$1860,'07导出'!$A$2:$A$1860,A118,'07导出'!$D$2:$D$1860,"21203")</f>
        <v>0</v>
      </c>
      <c r="AH118" s="46">
        <f>SUMIFS('07导出'!$H$2:$H$1860,'07导出'!$A$2:$A$1860,A118,'07导出'!$D$2:$D$1860,"21203")</f>
        <v>0</v>
      </c>
      <c r="AI118" s="46">
        <f>SUMIFS('07导出'!$G$2:$G$1860,'07导出'!$A$2:$A$1860,A118,'07导出'!$C$2:$C$1860,"213")</f>
        <v>0</v>
      </c>
      <c r="AJ118" s="46">
        <f>SUMIFS('07导出'!$H$2:$H$1860,'07导出'!$A$2:$A$1860,A118,'07导出'!$C$2:$C$1860,"213")</f>
        <v>0</v>
      </c>
      <c r="AK118" s="46">
        <f>SUMIFS('07导出'!$G$2:$G$1860,'07导出'!$A$2:$A$1860,A118,'07导出'!$D$2:$D$1860,"21305")</f>
        <v>0</v>
      </c>
      <c r="AL118" s="46">
        <f>SUMIFS('07导出'!$H$2:$H$1860,'07导出'!$A$2:$A$1860,A118,'07导出'!$D$2:$D$1860,"21305")</f>
        <v>0</v>
      </c>
      <c r="AM118" s="46">
        <f>SUMIFS('07导出'!$G$2:$G$1860,'07导出'!$A$2:$A$1860,A118,'07导出'!$C$2:$C$1860,"221")</f>
        <v>2709055</v>
      </c>
      <c r="AN118" s="46">
        <f>SUMIFS('07导出'!$H$2:$H$1860,'07导出'!$A$2:$A$1860,A118,'07导出'!$C$2:$C$1860,"221")</f>
        <v>2645829.7199999997</v>
      </c>
      <c r="AO118" s="46">
        <f>SUMIFS('07导出'!$G$2:$G$1860,'07导出'!$A$2:$A$1860,A118,'07导出'!$D$2:$D$1860,"22102")</f>
        <v>2709055</v>
      </c>
      <c r="AP118" s="46">
        <f>SUMIFS('07导出'!$H$2:$H$1860,'07导出'!$A$2:$A$1860,A118,'07导出'!$D$2:$D$1860,"22102")</f>
        <v>2645829.7199999997</v>
      </c>
    </row>
    <row r="119" spans="1:42">
      <c r="A119" s="43">
        <v>255151</v>
      </c>
      <c r="B119" s="44" t="s">
        <v>118</v>
      </c>
      <c r="C119" s="45">
        <f>SUMIFS('07导出'!$G$2:$G$1860,'07导出'!$A$2:$A$1860,A119,'07导出'!$C$2:$C$1860,"205")</f>
        <v>45332919.860000007</v>
      </c>
      <c r="D119" s="45">
        <f>SUMIFS('07导出'!$H$2:$H$1860,'07导出'!$A$2:$A$1860,A119,'07导出'!$C$2:$C$1860,"205")</f>
        <v>33955039.850000001</v>
      </c>
      <c r="E119" s="46">
        <f>SUMIFS('07导出'!$G$2:$G$1860,'07导出'!$A$2:$A$1860,A119,'07导出'!$D$2:$D$1860,"20502")</f>
        <v>44380388.020000003</v>
      </c>
      <c r="F119" s="46">
        <f>SUMIFS('07导出'!$H$2:$H$1860,'07导出'!$A$2:$A$1860,A119,'07导出'!$D$2:$D$1860,"20502")</f>
        <v>32766939.850000001</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105600</v>
      </c>
      <c r="O119" s="46">
        <f>SUMIFS('07导出'!$G$2:$G$1860,'07导出'!$A$2:$A$1860,A119,'07导出'!$D$2:$D$1860,"20509")</f>
        <v>952531.84000000008</v>
      </c>
      <c r="P119" s="46">
        <f>SUMIFS('07导出'!$H$2:$H$1860,'07导出'!$A$2:$A$1860,A119,'07导出'!$D$2:$D$1860,"20509")</f>
        <v>1082500</v>
      </c>
      <c r="Q119" s="46">
        <f>SUMIFS('07导出'!$G$2:$G$1860,'07导出'!$A$2:$A$1860,A119,'07导出'!$C$2:$C$1860,"206")</f>
        <v>0</v>
      </c>
      <c r="R119" s="46">
        <f>SUMIFS('07导出'!$H$2:$H$1860,'07导出'!$A$2:$A$1860,A119,'07导出'!$C$2:$C$1860,"206")</f>
        <v>0</v>
      </c>
      <c r="S119" s="46">
        <f>SUMIFS('07导出'!$G$2:$G$1860,'07导出'!$A$2:$A$1860,A119,'07导出'!$D$2:$D$1860,"20607")</f>
        <v>0</v>
      </c>
      <c r="T119" s="46">
        <f>SUMIFS('07导出'!$H$2:$H$1860,'07导出'!$A$2:$A$1860,A119,'07导出'!$D$2:$D$1860,"20607")</f>
        <v>0</v>
      </c>
      <c r="U119" s="46">
        <f>SUMIFS('07导出'!$G$2:$G$1860,'07导出'!$A$2:$A$1860,A119,'07导出'!$C$2:$C$1860,"208")</f>
        <v>5097943</v>
      </c>
      <c r="V119" s="46">
        <f>SUMIFS('07导出'!$H$2:$H$1860,'07导出'!$A$2:$A$1860,A119,'07导出'!$C$2:$C$1860,"208")</f>
        <v>4821846.04</v>
      </c>
      <c r="W119" s="46">
        <f>SUMIFS('07导出'!$G$2:$G$1860,'07导出'!$A$2:$A$1860,A119,'07导出'!$D$2:$D$1860,"20805")</f>
        <v>5097943</v>
      </c>
      <c r="X119" s="46">
        <f>SUMIFS('07导出'!$H$2:$H$1860,'07导出'!$A$2:$A$1860,A119,'07导出'!$D$2:$D$1860,"20805")</f>
        <v>4821846.04</v>
      </c>
      <c r="Y119" s="46">
        <f>SUMIFS('07导出'!$G$2:$G$1860,'07导出'!$A$2:$A$1860,A119,'07导出'!$D$2:$D$1860,"20808")</f>
        <v>0</v>
      </c>
      <c r="Z119" s="46">
        <f>SUMIFS('07导出'!$H$2:$H$1860,'07导出'!$A$2:$A$1860,A119,'07导出'!$D$2:$D$1860,"20808")</f>
        <v>0</v>
      </c>
      <c r="AA119" s="46">
        <f>SUMIFS('07导出'!$G$2:$G$1860,'07导出'!$A$2:$A$1860,A119,'07导出'!$C$2:$C$1860,"210")</f>
        <v>2392000</v>
      </c>
      <c r="AB119" s="46">
        <f>SUMIFS('07导出'!$H$2:$H$1860,'07导出'!$A$2:$A$1860,A119,'07导出'!$C$2:$C$1860,"210")</f>
        <v>2201915.48</v>
      </c>
      <c r="AC119" s="46">
        <f>SUMIFS('07导出'!$G$2:$G$1860,'07导出'!$A$2:$A$1860,A119,'07导出'!$D$2:$D$1860,"21011")</f>
        <v>2392000</v>
      </c>
      <c r="AD119" s="46">
        <f>SUMIFS('07导出'!$H$2:$H$1860,'07导出'!$A$2:$A$1860,A119,'07导出'!$D$2:$D$1860,"21011")</f>
        <v>2201915.48</v>
      </c>
      <c r="AE119" s="46">
        <f>SUMIFS('07导出'!$G$2:$G$1860,'07导出'!$A$2:$A$1860,A119,'07导出'!$C$2:$C$1860,"212")</f>
        <v>0</v>
      </c>
      <c r="AF119" s="46">
        <f>SUMIFS('07导出'!$H$2:$H$1860,'07导出'!$A$2:$A$1860,A119,'07导出'!$C$2:$C$1860,"212")</f>
        <v>0</v>
      </c>
      <c r="AG119" s="46">
        <f>SUMIFS('07导出'!$G$2:$G$1860,'07导出'!$A$2:$A$1860,A119,'07导出'!$D$2:$D$1860,"21203")</f>
        <v>0</v>
      </c>
      <c r="AH119" s="46">
        <f>SUMIFS('07导出'!$H$2:$H$1860,'07导出'!$A$2:$A$1860,A119,'07导出'!$D$2:$D$1860,"21203")</f>
        <v>0</v>
      </c>
      <c r="AI119" s="46">
        <f>SUMIFS('07导出'!$G$2:$G$1860,'07导出'!$A$2:$A$1860,A119,'07导出'!$C$2:$C$1860,"213")</f>
        <v>0</v>
      </c>
      <c r="AJ119" s="46">
        <f>SUMIFS('07导出'!$H$2:$H$1860,'07导出'!$A$2:$A$1860,A119,'07导出'!$C$2:$C$1860,"213")</f>
        <v>0</v>
      </c>
      <c r="AK119" s="46">
        <f>SUMIFS('07导出'!$G$2:$G$1860,'07导出'!$A$2:$A$1860,A119,'07导出'!$D$2:$D$1860,"21305")</f>
        <v>0</v>
      </c>
      <c r="AL119" s="46">
        <f>SUMIFS('07导出'!$H$2:$H$1860,'07导出'!$A$2:$A$1860,A119,'07导出'!$D$2:$D$1860,"21305")</f>
        <v>0</v>
      </c>
      <c r="AM119" s="46">
        <f>SUMIFS('07导出'!$G$2:$G$1860,'07导出'!$A$2:$A$1860,A119,'07导出'!$C$2:$C$1860,"221")</f>
        <v>6290302</v>
      </c>
      <c r="AN119" s="46">
        <f>SUMIFS('07导出'!$H$2:$H$1860,'07导出'!$A$2:$A$1860,A119,'07导出'!$C$2:$C$1860,"221")</f>
        <v>5796167.5199999996</v>
      </c>
      <c r="AO119" s="46">
        <f>SUMIFS('07导出'!$G$2:$G$1860,'07导出'!$A$2:$A$1860,A119,'07导出'!$D$2:$D$1860,"22102")</f>
        <v>6290302</v>
      </c>
      <c r="AP119" s="46">
        <f>SUMIFS('07导出'!$H$2:$H$1860,'07导出'!$A$2:$A$1860,A119,'07导出'!$D$2:$D$1860,"22102")</f>
        <v>5796167.5199999996</v>
      </c>
    </row>
    <row r="120" spans="1:42">
      <c r="A120" s="43">
        <v>255152</v>
      </c>
      <c r="B120" s="44" t="s">
        <v>119</v>
      </c>
      <c r="C120" s="45">
        <f>SUMIFS('07导出'!$G$2:$G$1860,'07导出'!$A$2:$A$1860,A120,'07导出'!$C$2:$C$1860,"205")</f>
        <v>37288063.419999994</v>
      </c>
      <c r="D120" s="45">
        <f>SUMIFS('07导出'!$H$2:$H$1860,'07导出'!$A$2:$A$1860,A120,'07导出'!$C$2:$C$1860,"205")</f>
        <v>27963189.66</v>
      </c>
      <c r="E120" s="46">
        <f>SUMIFS('07导出'!$G$2:$G$1860,'07导出'!$A$2:$A$1860,A120,'07导出'!$D$2:$D$1860,"20502")</f>
        <v>37094872.519999996</v>
      </c>
      <c r="F120" s="46">
        <f>SUMIFS('07导出'!$H$2:$H$1860,'07导出'!$A$2:$A$1860,A120,'07导出'!$D$2:$D$1860,"20502")</f>
        <v>26701991.66</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15650</v>
      </c>
      <c r="N120" s="46">
        <f>SUMIFS('07导出'!$H$2:$H$1860,'07导出'!$A$2:$A$1860,A120,'07导出'!$D$2:$D$1860,"20508")</f>
        <v>81600</v>
      </c>
      <c r="O120" s="46">
        <f>SUMIFS('07导出'!$G$2:$G$1860,'07导出'!$A$2:$A$1860,A120,'07导出'!$D$2:$D$1860,"20509")</f>
        <v>177540.9</v>
      </c>
      <c r="P120" s="46">
        <f>SUMIFS('07导出'!$H$2:$H$1860,'07导出'!$A$2:$A$1860,A120,'07导出'!$D$2:$D$1860,"20509")</f>
        <v>1179598</v>
      </c>
      <c r="Q120" s="46">
        <f>SUMIFS('07导出'!$G$2:$G$1860,'07导出'!$A$2:$A$1860,A120,'07导出'!$C$2:$C$1860,"206")</f>
        <v>0</v>
      </c>
      <c r="R120" s="46">
        <f>SUMIFS('07导出'!$H$2:$H$1860,'07导出'!$A$2:$A$1860,A120,'07导出'!$C$2:$C$1860,"206")</f>
        <v>0</v>
      </c>
      <c r="S120" s="46">
        <f>SUMIFS('07导出'!$G$2:$G$1860,'07导出'!$A$2:$A$1860,A120,'07导出'!$D$2:$D$1860,"20607")</f>
        <v>0</v>
      </c>
      <c r="T120" s="46">
        <f>SUMIFS('07导出'!$H$2:$H$1860,'07导出'!$A$2:$A$1860,A120,'07导出'!$D$2:$D$1860,"20607")</f>
        <v>0</v>
      </c>
      <c r="U120" s="46">
        <f>SUMIFS('07导出'!$G$2:$G$1860,'07导出'!$A$2:$A$1860,A120,'07导出'!$C$2:$C$1860,"208")</f>
        <v>4239392.68</v>
      </c>
      <c r="V120" s="46">
        <f>SUMIFS('07导出'!$H$2:$H$1860,'07导出'!$A$2:$A$1860,A120,'07导出'!$C$2:$C$1860,"208")</f>
        <v>3906717.3600000003</v>
      </c>
      <c r="W120" s="46">
        <f>SUMIFS('07导出'!$G$2:$G$1860,'07导出'!$A$2:$A$1860,A120,'07导出'!$D$2:$D$1860,"20805")</f>
        <v>4239392.68</v>
      </c>
      <c r="X120" s="46">
        <f>SUMIFS('07导出'!$H$2:$H$1860,'07导出'!$A$2:$A$1860,A120,'07导出'!$D$2:$D$1860,"20805")</f>
        <v>3906717.3600000003</v>
      </c>
      <c r="Y120" s="46">
        <f>SUMIFS('07导出'!$G$2:$G$1860,'07导出'!$A$2:$A$1860,A120,'07导出'!$D$2:$D$1860,"20808")</f>
        <v>0</v>
      </c>
      <c r="Z120" s="46">
        <f>SUMIFS('07导出'!$H$2:$H$1860,'07导出'!$A$2:$A$1860,A120,'07导出'!$D$2:$D$1860,"20808")</f>
        <v>0</v>
      </c>
      <c r="AA120" s="46">
        <f>SUMIFS('07导出'!$G$2:$G$1860,'07导出'!$A$2:$A$1860,A120,'07导出'!$C$2:$C$1860,"210")</f>
        <v>2173540.33</v>
      </c>
      <c r="AB120" s="46">
        <f>SUMIFS('07导出'!$H$2:$H$1860,'07导出'!$A$2:$A$1860,A120,'07导出'!$C$2:$C$1860,"210")</f>
        <v>1731309.32</v>
      </c>
      <c r="AC120" s="46">
        <f>SUMIFS('07导出'!$G$2:$G$1860,'07导出'!$A$2:$A$1860,A120,'07导出'!$D$2:$D$1860,"21011")</f>
        <v>2173540.33</v>
      </c>
      <c r="AD120" s="46">
        <f>SUMIFS('07导出'!$H$2:$H$1860,'07导出'!$A$2:$A$1860,A120,'07导出'!$D$2:$D$1860,"21011")</f>
        <v>1731309.32</v>
      </c>
      <c r="AE120" s="46">
        <f>SUMIFS('07导出'!$G$2:$G$1860,'07导出'!$A$2:$A$1860,A120,'07导出'!$C$2:$C$1860,"212")</f>
        <v>0</v>
      </c>
      <c r="AF120" s="46">
        <f>SUMIFS('07导出'!$H$2:$H$1860,'07导出'!$A$2:$A$1860,A120,'07导出'!$C$2:$C$1860,"212")</f>
        <v>0</v>
      </c>
      <c r="AG120" s="46">
        <f>SUMIFS('07导出'!$G$2:$G$1860,'07导出'!$A$2:$A$1860,A120,'07导出'!$D$2:$D$1860,"21203")</f>
        <v>0</v>
      </c>
      <c r="AH120" s="46">
        <f>SUMIFS('07导出'!$H$2:$H$1860,'07导出'!$A$2:$A$1860,A120,'07导出'!$D$2:$D$1860,"21203")</f>
        <v>0</v>
      </c>
      <c r="AI120" s="46">
        <f>SUMIFS('07导出'!$G$2:$G$1860,'07导出'!$A$2:$A$1860,A120,'07导出'!$C$2:$C$1860,"213")</f>
        <v>0</v>
      </c>
      <c r="AJ120" s="46">
        <f>SUMIFS('07导出'!$H$2:$H$1860,'07导出'!$A$2:$A$1860,A120,'07导出'!$C$2:$C$1860,"213")</f>
        <v>0</v>
      </c>
      <c r="AK120" s="46">
        <f>SUMIFS('07导出'!$G$2:$G$1860,'07导出'!$A$2:$A$1860,A120,'07导出'!$D$2:$D$1860,"21305")</f>
        <v>0</v>
      </c>
      <c r="AL120" s="46">
        <f>SUMIFS('07导出'!$H$2:$H$1860,'07导出'!$A$2:$A$1860,A120,'07导出'!$D$2:$D$1860,"21305")</f>
        <v>0</v>
      </c>
      <c r="AM120" s="46">
        <f>SUMIFS('07导出'!$G$2:$G$1860,'07导出'!$A$2:$A$1860,A120,'07导出'!$C$2:$C$1860,"221")</f>
        <v>4866715.3599999994</v>
      </c>
      <c r="AN120" s="46">
        <f>SUMIFS('07导出'!$H$2:$H$1860,'07导出'!$A$2:$A$1860,A120,'07导出'!$C$2:$C$1860,"221")</f>
        <v>4575535.68</v>
      </c>
      <c r="AO120" s="46">
        <f>SUMIFS('07导出'!$G$2:$G$1860,'07导出'!$A$2:$A$1860,A120,'07导出'!$D$2:$D$1860,"22102")</f>
        <v>4866715.3599999994</v>
      </c>
      <c r="AP120" s="46">
        <f>SUMIFS('07导出'!$H$2:$H$1860,'07导出'!$A$2:$A$1860,A120,'07导出'!$D$2:$D$1860,"22102")</f>
        <v>4575535.68</v>
      </c>
    </row>
    <row r="121" spans="1:42">
      <c r="A121" s="43">
        <v>255153</v>
      </c>
      <c r="B121" s="44" t="s">
        <v>120</v>
      </c>
      <c r="C121" s="45">
        <f>SUMIFS('07导出'!$G$2:$G$1860,'07导出'!$A$2:$A$1860,A121,'07导出'!$C$2:$C$1860,"205")</f>
        <v>16625419.950000001</v>
      </c>
      <c r="D121" s="45">
        <f>SUMIFS('07导出'!$H$2:$H$1860,'07导出'!$A$2:$A$1860,A121,'07导出'!$C$2:$C$1860,"205")</f>
        <v>13612543.390000001</v>
      </c>
      <c r="E121" s="46">
        <f>SUMIFS('07导出'!$G$2:$G$1860,'07导出'!$A$2:$A$1860,A121,'07导出'!$D$2:$D$1860,"20502")</f>
        <v>15800114.300000001</v>
      </c>
      <c r="F121" s="46">
        <f>SUMIFS('07导出'!$H$2:$H$1860,'07导出'!$A$2:$A$1860,A121,'07导出'!$D$2:$D$1860,"20502")</f>
        <v>12538143.390000001</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38400</v>
      </c>
      <c r="O121" s="46">
        <f>SUMIFS('07导出'!$G$2:$G$1860,'07导出'!$A$2:$A$1860,A121,'07导出'!$D$2:$D$1860,"20509")</f>
        <v>825305.65</v>
      </c>
      <c r="P121" s="46">
        <f>SUMIFS('07导出'!$H$2:$H$1860,'07导出'!$A$2:$A$1860,A121,'07导出'!$D$2:$D$1860,"20509")</f>
        <v>1036000</v>
      </c>
      <c r="Q121" s="46">
        <f>SUMIFS('07导出'!$G$2:$G$1860,'07导出'!$A$2:$A$1860,A121,'07导出'!$C$2:$C$1860,"206")</f>
        <v>0</v>
      </c>
      <c r="R121" s="46">
        <f>SUMIFS('07导出'!$H$2:$H$1860,'07导出'!$A$2:$A$1860,A121,'07导出'!$C$2:$C$1860,"206")</f>
        <v>0</v>
      </c>
      <c r="S121" s="46">
        <f>SUMIFS('07导出'!$G$2:$G$1860,'07导出'!$A$2:$A$1860,A121,'07导出'!$D$2:$D$1860,"20607")</f>
        <v>0</v>
      </c>
      <c r="T121" s="46">
        <f>SUMIFS('07导出'!$H$2:$H$1860,'07导出'!$A$2:$A$1860,A121,'07导出'!$D$2:$D$1860,"20607")</f>
        <v>0</v>
      </c>
      <c r="U121" s="46">
        <f>SUMIFS('07导出'!$G$2:$G$1860,'07导出'!$A$2:$A$1860,A121,'07导出'!$C$2:$C$1860,"208")</f>
        <v>2137568.2399999998</v>
      </c>
      <c r="V121" s="46">
        <f>SUMIFS('07导出'!$H$2:$H$1860,'07导出'!$A$2:$A$1860,A121,'07导出'!$C$2:$C$1860,"208")</f>
        <v>2461273.2800000003</v>
      </c>
      <c r="W121" s="46">
        <f>SUMIFS('07导出'!$G$2:$G$1860,'07导出'!$A$2:$A$1860,A121,'07导出'!$D$2:$D$1860,"20805")</f>
        <v>2137568.2399999998</v>
      </c>
      <c r="X121" s="46">
        <f>SUMIFS('07导出'!$H$2:$H$1860,'07导出'!$A$2:$A$1860,A121,'07导出'!$D$2:$D$1860,"20805")</f>
        <v>2461273.2800000003</v>
      </c>
      <c r="Y121" s="46">
        <f>SUMIFS('07导出'!$G$2:$G$1860,'07导出'!$A$2:$A$1860,A121,'07导出'!$D$2:$D$1860,"20808")</f>
        <v>0</v>
      </c>
      <c r="Z121" s="46">
        <f>SUMIFS('07导出'!$H$2:$H$1860,'07导出'!$A$2:$A$1860,A121,'07导出'!$D$2:$D$1860,"20808")</f>
        <v>0</v>
      </c>
      <c r="AA121" s="46">
        <f>SUMIFS('07导出'!$G$2:$G$1860,'07导出'!$A$2:$A$1860,A121,'07导出'!$C$2:$C$1860,"210")</f>
        <v>1062076.95</v>
      </c>
      <c r="AB121" s="46">
        <f>SUMIFS('07导出'!$H$2:$H$1860,'07导出'!$A$2:$A$1860,A121,'07导出'!$C$2:$C$1860,"210")</f>
        <v>1155527.3600000001</v>
      </c>
      <c r="AC121" s="46">
        <f>SUMIFS('07导出'!$G$2:$G$1860,'07导出'!$A$2:$A$1860,A121,'07导出'!$D$2:$D$1860,"21011")</f>
        <v>1062076.95</v>
      </c>
      <c r="AD121" s="46">
        <f>SUMIFS('07导出'!$H$2:$H$1860,'07导出'!$A$2:$A$1860,A121,'07导出'!$D$2:$D$1860,"21011")</f>
        <v>1155527.3600000001</v>
      </c>
      <c r="AE121" s="46">
        <f>SUMIFS('07导出'!$G$2:$G$1860,'07导出'!$A$2:$A$1860,A121,'07导出'!$C$2:$C$1860,"212")</f>
        <v>0</v>
      </c>
      <c r="AF121" s="46">
        <f>SUMIFS('07导出'!$H$2:$H$1860,'07导出'!$A$2:$A$1860,A121,'07导出'!$C$2:$C$1860,"212")</f>
        <v>0</v>
      </c>
      <c r="AG121" s="46">
        <f>SUMIFS('07导出'!$G$2:$G$1860,'07导出'!$A$2:$A$1860,A121,'07导出'!$D$2:$D$1860,"21203")</f>
        <v>0</v>
      </c>
      <c r="AH121" s="46">
        <f>SUMIFS('07导出'!$H$2:$H$1860,'07导出'!$A$2:$A$1860,A121,'07导出'!$D$2:$D$1860,"21203")</f>
        <v>0</v>
      </c>
      <c r="AI121" s="46">
        <f>SUMIFS('07导出'!$G$2:$G$1860,'07导出'!$A$2:$A$1860,A121,'07导出'!$C$2:$C$1860,"213")</f>
        <v>0</v>
      </c>
      <c r="AJ121" s="46">
        <f>SUMIFS('07导出'!$H$2:$H$1860,'07导出'!$A$2:$A$1860,A121,'07导出'!$C$2:$C$1860,"213")</f>
        <v>0</v>
      </c>
      <c r="AK121" s="46">
        <f>SUMIFS('07导出'!$G$2:$G$1860,'07导出'!$A$2:$A$1860,A121,'07导出'!$D$2:$D$1860,"21305")</f>
        <v>0</v>
      </c>
      <c r="AL121" s="46">
        <f>SUMIFS('07导出'!$H$2:$H$1860,'07导出'!$A$2:$A$1860,A121,'07导出'!$D$2:$D$1860,"21305")</f>
        <v>0</v>
      </c>
      <c r="AM121" s="46">
        <f>SUMIFS('07导出'!$G$2:$G$1860,'07导出'!$A$2:$A$1860,A121,'07导出'!$C$2:$C$1860,"221")</f>
        <v>2584678</v>
      </c>
      <c r="AN121" s="46">
        <f>SUMIFS('07导出'!$H$2:$H$1860,'07导出'!$A$2:$A$1860,A121,'07导出'!$C$2:$C$1860,"221")</f>
        <v>2570720.6399999997</v>
      </c>
      <c r="AO121" s="46">
        <f>SUMIFS('07导出'!$G$2:$G$1860,'07导出'!$A$2:$A$1860,A121,'07导出'!$D$2:$D$1860,"22102")</f>
        <v>2584678</v>
      </c>
      <c r="AP121" s="46">
        <f>SUMIFS('07导出'!$H$2:$H$1860,'07导出'!$A$2:$A$1860,A121,'07导出'!$D$2:$D$1860,"22102")</f>
        <v>2570720.6399999997</v>
      </c>
    </row>
    <row r="122" spans="1:42">
      <c r="A122" s="43">
        <v>255154</v>
      </c>
      <c r="B122" s="44" t="s">
        <v>121</v>
      </c>
      <c r="C122" s="45">
        <f>SUMIFS('07导出'!$G$2:$G$1860,'07导出'!$A$2:$A$1860,A122,'07导出'!$C$2:$C$1860,"205")</f>
        <v>21102921.690000001</v>
      </c>
      <c r="D122" s="45">
        <f>SUMIFS('07导出'!$H$2:$H$1860,'07导出'!$A$2:$A$1860,A122,'07导出'!$C$2:$C$1860,"205")</f>
        <v>16814727.27</v>
      </c>
      <c r="E122" s="46">
        <f>SUMIFS('07导出'!$G$2:$G$1860,'07导出'!$A$2:$A$1860,A122,'07导出'!$D$2:$D$1860,"20502")</f>
        <v>20479047.600000001</v>
      </c>
      <c r="F122" s="46">
        <f>SUMIFS('07导出'!$H$2:$H$1860,'07导出'!$A$2:$A$1860,A122,'07导出'!$D$2:$D$1860,"20502")</f>
        <v>16164691.27</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20238.09</v>
      </c>
      <c r="N122" s="46">
        <f>SUMIFS('07导出'!$H$2:$H$1860,'07导出'!$A$2:$A$1860,A122,'07导出'!$D$2:$D$1860,"20508")</f>
        <v>46400</v>
      </c>
      <c r="O122" s="46">
        <f>SUMIFS('07导出'!$G$2:$G$1860,'07导出'!$A$2:$A$1860,A122,'07导出'!$D$2:$D$1860,"20509")</f>
        <v>603636</v>
      </c>
      <c r="P122" s="46">
        <f>SUMIFS('07导出'!$H$2:$H$1860,'07导出'!$A$2:$A$1860,A122,'07导出'!$D$2:$D$1860,"20509")</f>
        <v>603636</v>
      </c>
      <c r="Q122" s="46">
        <f>SUMIFS('07导出'!$G$2:$G$1860,'07导出'!$A$2:$A$1860,A122,'07导出'!$C$2:$C$1860,"206")</f>
        <v>0</v>
      </c>
      <c r="R122" s="46">
        <f>SUMIFS('07导出'!$H$2:$H$1860,'07导出'!$A$2:$A$1860,A122,'07导出'!$C$2:$C$1860,"206")</f>
        <v>0</v>
      </c>
      <c r="S122" s="46">
        <f>SUMIFS('07导出'!$G$2:$G$1860,'07导出'!$A$2:$A$1860,A122,'07导出'!$D$2:$D$1860,"20607")</f>
        <v>0</v>
      </c>
      <c r="T122" s="46">
        <f>SUMIFS('07导出'!$H$2:$H$1860,'07导出'!$A$2:$A$1860,A122,'07导出'!$D$2:$D$1860,"20607")</f>
        <v>0</v>
      </c>
      <c r="U122" s="46">
        <f>SUMIFS('07导出'!$G$2:$G$1860,'07导出'!$A$2:$A$1860,A122,'07导出'!$C$2:$C$1860,"208")</f>
        <v>2531213.67</v>
      </c>
      <c r="V122" s="46">
        <f>SUMIFS('07导出'!$H$2:$H$1860,'07导出'!$A$2:$A$1860,A122,'07导出'!$C$2:$C$1860,"208")</f>
        <v>2472232.1500000004</v>
      </c>
      <c r="W122" s="46">
        <f>SUMIFS('07导出'!$G$2:$G$1860,'07导出'!$A$2:$A$1860,A122,'07导出'!$D$2:$D$1860,"20805")</f>
        <v>2531213.67</v>
      </c>
      <c r="X122" s="46">
        <f>SUMIFS('07导出'!$H$2:$H$1860,'07导出'!$A$2:$A$1860,A122,'07导出'!$D$2:$D$1860,"20805")</f>
        <v>2472232.1500000004</v>
      </c>
      <c r="Y122" s="46">
        <f>SUMIFS('07导出'!$G$2:$G$1860,'07导出'!$A$2:$A$1860,A122,'07导出'!$D$2:$D$1860,"20808")</f>
        <v>0</v>
      </c>
      <c r="Z122" s="46">
        <f>SUMIFS('07导出'!$H$2:$H$1860,'07导出'!$A$2:$A$1860,A122,'07导出'!$D$2:$D$1860,"20808")</f>
        <v>0</v>
      </c>
      <c r="AA122" s="46">
        <f>SUMIFS('07导出'!$G$2:$G$1860,'07导出'!$A$2:$A$1860,A122,'07导出'!$C$2:$C$1860,"210")</f>
        <v>1093062.8400000001</v>
      </c>
      <c r="AB122" s="46">
        <f>SUMIFS('07导出'!$H$2:$H$1860,'07导出'!$A$2:$A$1860,A122,'07导出'!$C$2:$C$1860,"210")</f>
        <v>1111844.58</v>
      </c>
      <c r="AC122" s="46">
        <f>SUMIFS('07导出'!$G$2:$G$1860,'07导出'!$A$2:$A$1860,A122,'07导出'!$D$2:$D$1860,"21011")</f>
        <v>1093062.8400000001</v>
      </c>
      <c r="AD122" s="46">
        <f>SUMIFS('07导出'!$H$2:$H$1860,'07导出'!$A$2:$A$1860,A122,'07导出'!$D$2:$D$1860,"21011")</f>
        <v>1111844.58</v>
      </c>
      <c r="AE122" s="46">
        <f>SUMIFS('07导出'!$G$2:$G$1860,'07导出'!$A$2:$A$1860,A122,'07导出'!$C$2:$C$1860,"212")</f>
        <v>0</v>
      </c>
      <c r="AF122" s="46">
        <f>SUMIFS('07导出'!$H$2:$H$1860,'07导出'!$A$2:$A$1860,A122,'07导出'!$C$2:$C$1860,"212")</f>
        <v>0</v>
      </c>
      <c r="AG122" s="46">
        <f>SUMIFS('07导出'!$G$2:$G$1860,'07导出'!$A$2:$A$1860,A122,'07导出'!$D$2:$D$1860,"21203")</f>
        <v>0</v>
      </c>
      <c r="AH122" s="46">
        <f>SUMIFS('07导出'!$H$2:$H$1860,'07导出'!$A$2:$A$1860,A122,'07导出'!$D$2:$D$1860,"21203")</f>
        <v>0</v>
      </c>
      <c r="AI122" s="46">
        <f>SUMIFS('07导出'!$G$2:$G$1860,'07导出'!$A$2:$A$1860,A122,'07导出'!$C$2:$C$1860,"213")</f>
        <v>0</v>
      </c>
      <c r="AJ122" s="46">
        <f>SUMIFS('07导出'!$H$2:$H$1860,'07导出'!$A$2:$A$1860,A122,'07导出'!$C$2:$C$1860,"213")</f>
        <v>0</v>
      </c>
      <c r="AK122" s="46">
        <f>SUMIFS('07导出'!$G$2:$G$1860,'07导出'!$A$2:$A$1860,A122,'07导出'!$D$2:$D$1860,"21305")</f>
        <v>0</v>
      </c>
      <c r="AL122" s="46">
        <f>SUMIFS('07导出'!$H$2:$H$1860,'07导出'!$A$2:$A$1860,A122,'07导出'!$D$2:$D$1860,"21305")</f>
        <v>0</v>
      </c>
      <c r="AM122" s="46">
        <f>SUMIFS('07导出'!$G$2:$G$1860,'07导出'!$A$2:$A$1860,A122,'07导出'!$C$2:$C$1860,"221")</f>
        <v>2929949</v>
      </c>
      <c r="AN122" s="46">
        <f>SUMIFS('07导出'!$H$2:$H$1860,'07导出'!$A$2:$A$1860,A122,'07导出'!$C$2:$C$1860,"221")</f>
        <v>2859090.08</v>
      </c>
      <c r="AO122" s="46">
        <f>SUMIFS('07导出'!$G$2:$G$1860,'07导出'!$A$2:$A$1860,A122,'07导出'!$D$2:$D$1860,"22102")</f>
        <v>2929949</v>
      </c>
      <c r="AP122" s="46">
        <f>SUMIFS('07导出'!$H$2:$H$1860,'07导出'!$A$2:$A$1860,A122,'07导出'!$D$2:$D$1860,"22102")</f>
        <v>2859090.08</v>
      </c>
    </row>
    <row r="123" spans="1:42">
      <c r="A123" s="43">
        <v>255155</v>
      </c>
      <c r="B123" s="44" t="s">
        <v>122</v>
      </c>
      <c r="C123" s="45">
        <f>SUMIFS('07导出'!$G$2:$G$1860,'07导出'!$A$2:$A$1860,A123,'07导出'!$C$2:$C$1860,"205")</f>
        <v>24212723.009999998</v>
      </c>
      <c r="D123" s="45">
        <f>SUMIFS('07导出'!$H$2:$H$1860,'07导出'!$A$2:$A$1860,A123,'07导出'!$C$2:$C$1860,"205")</f>
        <v>19748135.149999999</v>
      </c>
      <c r="E123" s="46">
        <f>SUMIFS('07导出'!$G$2:$G$1860,'07导出'!$A$2:$A$1860,A123,'07导出'!$D$2:$D$1860,"20502")</f>
        <v>23698158.27</v>
      </c>
      <c r="F123" s="46">
        <f>SUMIFS('07导出'!$H$2:$H$1860,'07导出'!$A$2:$A$1860,A123,'07导出'!$D$2:$D$1860,"20502")</f>
        <v>19097335.149999999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60800</v>
      </c>
      <c r="O123" s="46">
        <f>SUMIFS('07导出'!$G$2:$G$1860,'07导出'!$A$2:$A$1860,A123,'07导出'!$D$2:$D$1860,"20509")</f>
        <v>514564.74</v>
      </c>
      <c r="P123" s="46">
        <f>SUMIFS('07导出'!$H$2:$H$1860,'07导出'!$A$2:$A$1860,A123,'07导出'!$D$2:$D$1860,"20509")</f>
        <v>590000</v>
      </c>
      <c r="Q123" s="46">
        <f>SUMIFS('07导出'!$G$2:$G$1860,'07导出'!$A$2:$A$1860,A123,'07导出'!$C$2:$C$1860,"206")</f>
        <v>0</v>
      </c>
      <c r="R123" s="46">
        <f>SUMIFS('07导出'!$H$2:$H$1860,'07导出'!$A$2:$A$1860,A123,'07导出'!$C$2:$C$1860,"206")</f>
        <v>0</v>
      </c>
      <c r="S123" s="46">
        <f>SUMIFS('07导出'!$G$2:$G$1860,'07导出'!$A$2:$A$1860,A123,'07导出'!$D$2:$D$1860,"20607")</f>
        <v>0</v>
      </c>
      <c r="T123" s="46">
        <f>SUMIFS('07导出'!$H$2:$H$1860,'07导出'!$A$2:$A$1860,A123,'07导出'!$D$2:$D$1860,"20607")</f>
        <v>0</v>
      </c>
      <c r="U123" s="46">
        <f>SUMIFS('07导出'!$G$2:$G$1860,'07导出'!$A$2:$A$1860,A123,'07导出'!$C$2:$C$1860,"208")</f>
        <v>4283091.96</v>
      </c>
      <c r="V123" s="46">
        <f>SUMIFS('07导出'!$H$2:$H$1860,'07导出'!$A$2:$A$1860,A123,'07导出'!$C$2:$C$1860,"208")</f>
        <v>3653416.4000000004</v>
      </c>
      <c r="W123" s="46">
        <f>SUMIFS('07导出'!$G$2:$G$1860,'07导出'!$A$2:$A$1860,A123,'07导出'!$D$2:$D$1860,"20805")</f>
        <v>4283091.96</v>
      </c>
      <c r="X123" s="46">
        <f>SUMIFS('07导出'!$H$2:$H$1860,'07导出'!$A$2:$A$1860,A123,'07导出'!$D$2:$D$1860,"20805")</f>
        <v>3653416.4000000004</v>
      </c>
      <c r="Y123" s="46">
        <f>SUMIFS('07导出'!$G$2:$G$1860,'07导出'!$A$2:$A$1860,A123,'07导出'!$D$2:$D$1860,"20808")</f>
        <v>0</v>
      </c>
      <c r="Z123" s="46">
        <f>SUMIFS('07导出'!$H$2:$H$1860,'07导出'!$A$2:$A$1860,A123,'07导出'!$D$2:$D$1860,"20808")</f>
        <v>0</v>
      </c>
      <c r="AA123" s="46">
        <f>SUMIFS('07导出'!$G$2:$G$1860,'07导出'!$A$2:$A$1860,A123,'07导出'!$C$2:$C$1860,"210")</f>
        <v>1791154.01</v>
      </c>
      <c r="AB123" s="46">
        <f>SUMIFS('07导出'!$H$2:$H$1860,'07导出'!$A$2:$A$1860,A123,'07导出'!$C$2:$C$1860,"210")</f>
        <v>1352527.8</v>
      </c>
      <c r="AC123" s="46">
        <f>SUMIFS('07导出'!$G$2:$G$1860,'07导出'!$A$2:$A$1860,A123,'07导出'!$D$2:$D$1860,"21011")</f>
        <v>1791154.01</v>
      </c>
      <c r="AD123" s="46">
        <f>SUMIFS('07导出'!$H$2:$H$1860,'07导出'!$A$2:$A$1860,A123,'07导出'!$D$2:$D$1860,"21011")</f>
        <v>1352527.8</v>
      </c>
      <c r="AE123" s="46">
        <f>SUMIFS('07导出'!$G$2:$G$1860,'07导出'!$A$2:$A$1860,A123,'07导出'!$C$2:$C$1860,"212")</f>
        <v>0</v>
      </c>
      <c r="AF123" s="46">
        <f>SUMIFS('07导出'!$H$2:$H$1860,'07导出'!$A$2:$A$1860,A123,'07导出'!$C$2:$C$1860,"212")</f>
        <v>0</v>
      </c>
      <c r="AG123" s="46">
        <f>SUMIFS('07导出'!$G$2:$G$1860,'07导出'!$A$2:$A$1860,A123,'07导出'!$D$2:$D$1860,"21203")</f>
        <v>0</v>
      </c>
      <c r="AH123" s="46">
        <f>SUMIFS('07导出'!$H$2:$H$1860,'07导出'!$A$2:$A$1860,A123,'07导出'!$D$2:$D$1860,"21203")</f>
        <v>0</v>
      </c>
      <c r="AI123" s="46">
        <f>SUMIFS('07导出'!$G$2:$G$1860,'07导出'!$A$2:$A$1860,A123,'07导出'!$C$2:$C$1860,"213")</f>
        <v>0</v>
      </c>
      <c r="AJ123" s="46">
        <f>SUMIFS('07导出'!$H$2:$H$1860,'07导出'!$A$2:$A$1860,A123,'07导出'!$C$2:$C$1860,"213")</f>
        <v>0</v>
      </c>
      <c r="AK123" s="46">
        <f>SUMIFS('07导出'!$G$2:$G$1860,'07导出'!$A$2:$A$1860,A123,'07导出'!$D$2:$D$1860,"21305")</f>
        <v>0</v>
      </c>
      <c r="AL123" s="46">
        <f>SUMIFS('07导出'!$H$2:$H$1860,'07导出'!$A$2:$A$1860,A123,'07导出'!$D$2:$D$1860,"21305")</f>
        <v>0</v>
      </c>
      <c r="AM123" s="46">
        <f>SUMIFS('07导出'!$G$2:$G$1860,'07导出'!$A$2:$A$1860,A123,'07导出'!$C$2:$C$1860,"221")</f>
        <v>4069515</v>
      </c>
      <c r="AN123" s="46">
        <f>SUMIFS('07导出'!$H$2:$H$1860,'07导出'!$A$2:$A$1860,A123,'07导出'!$C$2:$C$1860,"221")</f>
        <v>4066099.2000000002</v>
      </c>
      <c r="AO123" s="46">
        <f>SUMIFS('07导出'!$G$2:$G$1860,'07导出'!$A$2:$A$1860,A123,'07导出'!$D$2:$D$1860,"22102")</f>
        <v>4069515</v>
      </c>
      <c r="AP123" s="46">
        <f>SUMIFS('07导出'!$H$2:$H$1860,'07导出'!$A$2:$A$1860,A123,'07导出'!$D$2:$D$1860,"22102")</f>
        <v>4066099.2000000002</v>
      </c>
    </row>
    <row r="124" spans="1:42">
      <c r="A124" s="43">
        <v>255156</v>
      </c>
      <c r="B124" s="44" t="s">
        <v>123</v>
      </c>
      <c r="C124" s="45">
        <f>SUMIFS('07导出'!$G$2:$G$1860,'07导出'!$A$2:$A$1860,A124,'07导出'!$C$2:$C$1860,"205")</f>
        <v>18028445.510000002</v>
      </c>
      <c r="D124" s="45">
        <f>SUMIFS('07导出'!$H$2:$H$1860,'07导出'!$A$2:$A$1860,A124,'07导出'!$C$2:$C$1860,"205")</f>
        <v>14651917.889999999</v>
      </c>
      <c r="E124" s="46">
        <f>SUMIFS('07导出'!$G$2:$G$1860,'07导出'!$A$2:$A$1860,A124,'07导出'!$D$2:$D$1860,"20502")</f>
        <v>17796595.510000002</v>
      </c>
      <c r="F124" s="46">
        <f>SUMIFS('07导出'!$H$2:$H$1860,'07导出'!$A$2:$A$1860,A124,'07导出'!$D$2:$D$1860,"20502")</f>
        <v>13926439.02</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0</v>
      </c>
      <c r="N124" s="46">
        <f>SUMIFS('07导出'!$H$2:$H$1860,'07导出'!$A$2:$A$1860,A124,'07导出'!$D$2:$D$1860,"20508")</f>
        <v>44000</v>
      </c>
      <c r="O124" s="46">
        <f>SUMIFS('07导出'!$G$2:$G$1860,'07导出'!$A$2:$A$1860,A124,'07导出'!$D$2:$D$1860,"20509")</f>
        <v>231850</v>
      </c>
      <c r="P124" s="46">
        <f>SUMIFS('07导出'!$H$2:$H$1860,'07导出'!$A$2:$A$1860,A124,'07导出'!$D$2:$D$1860,"20509")</f>
        <v>681478.87</v>
      </c>
      <c r="Q124" s="46">
        <f>SUMIFS('07导出'!$G$2:$G$1860,'07导出'!$A$2:$A$1860,A124,'07导出'!$C$2:$C$1860,"206")</f>
        <v>0</v>
      </c>
      <c r="R124" s="46">
        <f>SUMIFS('07导出'!$H$2:$H$1860,'07导出'!$A$2:$A$1860,A124,'07导出'!$C$2:$C$1860,"206")</f>
        <v>0</v>
      </c>
      <c r="S124" s="46">
        <f>SUMIFS('07导出'!$G$2:$G$1860,'07导出'!$A$2:$A$1860,A124,'07导出'!$D$2:$D$1860,"20607")</f>
        <v>0</v>
      </c>
      <c r="T124" s="46">
        <f>SUMIFS('07导出'!$H$2:$H$1860,'07导出'!$A$2:$A$1860,A124,'07导出'!$D$2:$D$1860,"20607")</f>
        <v>0</v>
      </c>
      <c r="U124" s="46">
        <f>SUMIFS('07导出'!$G$2:$G$1860,'07导出'!$A$2:$A$1860,A124,'07导出'!$C$2:$C$1860,"208")</f>
        <v>3177023.56</v>
      </c>
      <c r="V124" s="46">
        <f>SUMIFS('07导出'!$H$2:$H$1860,'07导出'!$A$2:$A$1860,A124,'07导出'!$C$2:$C$1860,"208")</f>
        <v>2904762.56</v>
      </c>
      <c r="W124" s="46">
        <f>SUMIFS('07导出'!$G$2:$G$1860,'07导出'!$A$2:$A$1860,A124,'07导出'!$D$2:$D$1860,"20805")</f>
        <v>3177023.56</v>
      </c>
      <c r="X124" s="46">
        <f>SUMIFS('07导出'!$H$2:$H$1860,'07导出'!$A$2:$A$1860,A124,'07导出'!$D$2:$D$1860,"20805")</f>
        <v>2904762.56</v>
      </c>
      <c r="Y124" s="46">
        <f>SUMIFS('07导出'!$G$2:$G$1860,'07导出'!$A$2:$A$1860,A124,'07导出'!$D$2:$D$1860,"20808")</f>
        <v>0</v>
      </c>
      <c r="Z124" s="46">
        <f>SUMIFS('07导出'!$H$2:$H$1860,'07导出'!$A$2:$A$1860,A124,'07导出'!$D$2:$D$1860,"20808")</f>
        <v>0</v>
      </c>
      <c r="AA124" s="46">
        <f>SUMIFS('07导出'!$G$2:$G$1860,'07导出'!$A$2:$A$1860,A124,'07导出'!$C$2:$C$1860,"210")</f>
        <v>1177064.97</v>
      </c>
      <c r="AB124" s="46">
        <f>SUMIFS('07导出'!$H$2:$H$1860,'07导出'!$A$2:$A$1860,A124,'07导出'!$C$2:$C$1860,"210")</f>
        <v>1042014.22</v>
      </c>
      <c r="AC124" s="46">
        <f>SUMIFS('07导出'!$G$2:$G$1860,'07导出'!$A$2:$A$1860,A124,'07导出'!$D$2:$D$1860,"21011")</f>
        <v>1177064.97</v>
      </c>
      <c r="AD124" s="46">
        <f>SUMIFS('07导出'!$H$2:$H$1860,'07导出'!$A$2:$A$1860,A124,'07导出'!$D$2:$D$1860,"21011")</f>
        <v>1042014.22</v>
      </c>
      <c r="AE124" s="46">
        <f>SUMIFS('07导出'!$G$2:$G$1860,'07导出'!$A$2:$A$1860,A124,'07导出'!$C$2:$C$1860,"212")</f>
        <v>0</v>
      </c>
      <c r="AF124" s="46">
        <f>SUMIFS('07导出'!$H$2:$H$1860,'07导出'!$A$2:$A$1860,A124,'07导出'!$C$2:$C$1860,"212")</f>
        <v>0</v>
      </c>
      <c r="AG124" s="46">
        <f>SUMIFS('07导出'!$G$2:$G$1860,'07导出'!$A$2:$A$1860,A124,'07导出'!$D$2:$D$1860,"21203")</f>
        <v>0</v>
      </c>
      <c r="AH124" s="46">
        <f>SUMIFS('07导出'!$H$2:$H$1860,'07导出'!$A$2:$A$1860,A124,'07导出'!$D$2:$D$1860,"21203")</f>
        <v>0</v>
      </c>
      <c r="AI124" s="46">
        <f>SUMIFS('07导出'!$G$2:$G$1860,'07导出'!$A$2:$A$1860,A124,'07导出'!$C$2:$C$1860,"213")</f>
        <v>0</v>
      </c>
      <c r="AJ124" s="46">
        <f>SUMIFS('07导出'!$H$2:$H$1860,'07导出'!$A$2:$A$1860,A124,'07导出'!$C$2:$C$1860,"213")</f>
        <v>0</v>
      </c>
      <c r="AK124" s="46">
        <f>SUMIFS('07导出'!$G$2:$G$1860,'07导出'!$A$2:$A$1860,A124,'07导出'!$D$2:$D$1860,"21305")</f>
        <v>0</v>
      </c>
      <c r="AL124" s="46">
        <f>SUMIFS('07导出'!$H$2:$H$1860,'07导出'!$A$2:$A$1860,A124,'07导出'!$D$2:$D$1860,"21305")</f>
        <v>0</v>
      </c>
      <c r="AM124" s="46">
        <f>SUMIFS('07导出'!$G$2:$G$1860,'07导出'!$A$2:$A$1860,A124,'07导出'!$C$2:$C$1860,"221")</f>
        <v>2686385</v>
      </c>
      <c r="AN124" s="46">
        <f>SUMIFS('07导出'!$H$2:$H$1860,'07导出'!$A$2:$A$1860,A124,'07导出'!$C$2:$C$1860,"221")</f>
        <v>2635211.2800000003</v>
      </c>
      <c r="AO124" s="46">
        <f>SUMIFS('07导出'!$G$2:$G$1860,'07导出'!$A$2:$A$1860,A124,'07导出'!$D$2:$D$1860,"22102")</f>
        <v>2686385</v>
      </c>
      <c r="AP124" s="46">
        <f>SUMIFS('07导出'!$H$2:$H$1860,'07导出'!$A$2:$A$1860,A124,'07导出'!$D$2:$D$1860,"22102")</f>
        <v>2635211.2800000003</v>
      </c>
    </row>
    <row r="125" spans="1:42">
      <c r="A125" s="43">
        <v>255158</v>
      </c>
      <c r="B125" s="44" t="s">
        <v>124</v>
      </c>
      <c r="C125" s="45">
        <f>SUMIFS('07导出'!$G$2:$G$1860,'07导出'!$A$2:$A$1860,A125,'07导出'!$C$2:$C$1860,"205")</f>
        <v>27286587.039999999</v>
      </c>
      <c r="D125" s="45">
        <f>SUMIFS('07导出'!$H$2:$H$1860,'07导出'!$A$2:$A$1860,A125,'07导出'!$C$2:$C$1860,"205")</f>
        <v>23564984.760000002</v>
      </c>
      <c r="E125" s="46">
        <f>SUMIFS('07导出'!$G$2:$G$1860,'07导出'!$A$2:$A$1860,A125,'07导出'!$D$2:$D$1860,"20502")</f>
        <v>21890203.91</v>
      </c>
      <c r="F125" s="46">
        <f>SUMIFS('07导出'!$H$2:$H$1860,'07导出'!$A$2:$A$1860,A125,'07导出'!$D$2:$D$1860,"20502")</f>
        <v>18077928.760000002</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11057</v>
      </c>
      <c r="N125" s="46">
        <f>SUMIFS('07导出'!$H$2:$H$1860,'07导出'!$A$2:$A$1860,A125,'07导出'!$D$2:$D$1860,"20508")</f>
        <v>56800</v>
      </c>
      <c r="O125" s="46">
        <f>SUMIFS('07导出'!$G$2:$G$1860,'07导出'!$A$2:$A$1860,A125,'07导出'!$D$2:$D$1860,"20509")</f>
        <v>5385326.1299999999</v>
      </c>
      <c r="P125" s="46">
        <f>SUMIFS('07导出'!$H$2:$H$1860,'07导出'!$A$2:$A$1860,A125,'07导出'!$D$2:$D$1860,"20509")</f>
        <v>5430256</v>
      </c>
      <c r="Q125" s="46">
        <f>SUMIFS('07导出'!$G$2:$G$1860,'07导出'!$A$2:$A$1860,A125,'07导出'!$C$2:$C$1860,"206")</f>
        <v>0</v>
      </c>
      <c r="R125" s="46">
        <f>SUMIFS('07导出'!$H$2:$H$1860,'07导出'!$A$2:$A$1860,A125,'07导出'!$C$2:$C$1860,"206")</f>
        <v>0</v>
      </c>
      <c r="S125" s="46">
        <f>SUMIFS('07导出'!$G$2:$G$1860,'07导出'!$A$2:$A$1860,A125,'07导出'!$D$2:$D$1860,"20607")</f>
        <v>0</v>
      </c>
      <c r="T125" s="46">
        <f>SUMIFS('07导出'!$H$2:$H$1860,'07导出'!$A$2:$A$1860,A125,'07导出'!$D$2:$D$1860,"20607")</f>
        <v>0</v>
      </c>
      <c r="U125" s="46">
        <f>SUMIFS('07导出'!$G$2:$G$1860,'07导出'!$A$2:$A$1860,A125,'07导出'!$C$2:$C$1860,"208")</f>
        <v>2289587.2000000002</v>
      </c>
      <c r="V125" s="46">
        <f>SUMIFS('07导出'!$H$2:$H$1860,'07导出'!$A$2:$A$1860,A125,'07导出'!$C$2:$C$1860,"208")</f>
        <v>2632120</v>
      </c>
      <c r="W125" s="46">
        <f>SUMIFS('07导出'!$G$2:$G$1860,'07导出'!$A$2:$A$1860,A125,'07导出'!$D$2:$D$1860,"20805")</f>
        <v>2289587.2000000002</v>
      </c>
      <c r="X125" s="46">
        <f>SUMIFS('07导出'!$H$2:$H$1860,'07导出'!$A$2:$A$1860,A125,'07导出'!$D$2:$D$1860,"20805")</f>
        <v>2632120</v>
      </c>
      <c r="Y125" s="46">
        <f>SUMIFS('07导出'!$G$2:$G$1860,'07导出'!$A$2:$A$1860,A125,'07导出'!$D$2:$D$1860,"20808")</f>
        <v>0</v>
      </c>
      <c r="Z125" s="46">
        <f>SUMIFS('07导出'!$H$2:$H$1860,'07导出'!$A$2:$A$1860,A125,'07导出'!$D$2:$D$1860,"20808")</f>
        <v>0</v>
      </c>
      <c r="AA125" s="46">
        <f>SUMIFS('07导出'!$G$2:$G$1860,'07导出'!$A$2:$A$1860,A125,'07导出'!$C$2:$C$1860,"210")</f>
        <v>1372021.81</v>
      </c>
      <c r="AB125" s="46">
        <f>SUMIFS('07导出'!$H$2:$H$1860,'07导出'!$A$2:$A$1860,A125,'07导出'!$C$2:$C$1860,"210")</f>
        <v>1217593</v>
      </c>
      <c r="AC125" s="46">
        <f>SUMIFS('07导出'!$G$2:$G$1860,'07导出'!$A$2:$A$1860,A125,'07导出'!$D$2:$D$1860,"21011")</f>
        <v>1372021.81</v>
      </c>
      <c r="AD125" s="46">
        <f>SUMIFS('07导出'!$H$2:$H$1860,'07导出'!$A$2:$A$1860,A125,'07导出'!$D$2:$D$1860,"21011")</f>
        <v>1217593</v>
      </c>
      <c r="AE125" s="46">
        <f>SUMIFS('07导出'!$G$2:$G$1860,'07导出'!$A$2:$A$1860,A125,'07导出'!$C$2:$C$1860,"212")</f>
        <v>0</v>
      </c>
      <c r="AF125" s="46">
        <f>SUMIFS('07导出'!$H$2:$H$1860,'07导出'!$A$2:$A$1860,A125,'07导出'!$C$2:$C$1860,"212")</f>
        <v>0</v>
      </c>
      <c r="AG125" s="46">
        <f>SUMIFS('07导出'!$G$2:$G$1860,'07导出'!$A$2:$A$1860,A125,'07导出'!$D$2:$D$1860,"21203")</f>
        <v>0</v>
      </c>
      <c r="AH125" s="46">
        <f>SUMIFS('07导出'!$H$2:$H$1860,'07导出'!$A$2:$A$1860,A125,'07导出'!$D$2:$D$1860,"21203")</f>
        <v>0</v>
      </c>
      <c r="AI125" s="46">
        <f>SUMIFS('07导出'!$G$2:$G$1860,'07导出'!$A$2:$A$1860,A125,'07导出'!$C$2:$C$1860,"213")</f>
        <v>0</v>
      </c>
      <c r="AJ125" s="46">
        <f>SUMIFS('07导出'!$H$2:$H$1860,'07导出'!$A$2:$A$1860,A125,'07导出'!$C$2:$C$1860,"213")</f>
        <v>0</v>
      </c>
      <c r="AK125" s="46">
        <f>SUMIFS('07导出'!$G$2:$G$1860,'07导出'!$A$2:$A$1860,A125,'07导出'!$D$2:$D$1860,"21305")</f>
        <v>0</v>
      </c>
      <c r="AL125" s="46">
        <f>SUMIFS('07导出'!$H$2:$H$1860,'07导出'!$A$2:$A$1860,A125,'07导出'!$D$2:$D$1860,"21305")</f>
        <v>0</v>
      </c>
      <c r="AM125" s="46">
        <f>SUMIFS('07导出'!$G$2:$G$1860,'07导出'!$A$2:$A$1860,A125,'07导出'!$C$2:$C$1860,"221")</f>
        <v>3249340</v>
      </c>
      <c r="AN125" s="46">
        <f>SUMIFS('07导出'!$H$2:$H$1860,'07导出'!$A$2:$A$1860,A125,'07导出'!$C$2:$C$1860,"221")</f>
        <v>3260100</v>
      </c>
      <c r="AO125" s="46">
        <f>SUMIFS('07导出'!$G$2:$G$1860,'07导出'!$A$2:$A$1860,A125,'07导出'!$D$2:$D$1860,"22102")</f>
        <v>3249340</v>
      </c>
      <c r="AP125" s="46">
        <f>SUMIFS('07导出'!$H$2:$H$1860,'07导出'!$A$2:$A$1860,A125,'07导出'!$D$2:$D$1860,"22102")</f>
        <v>3260100</v>
      </c>
    </row>
    <row r="126" spans="1:42">
      <c r="A126" s="43">
        <v>255159</v>
      </c>
      <c r="B126" s="44" t="s">
        <v>125</v>
      </c>
      <c r="C126" s="45">
        <f>SUMIFS('07导出'!$G$2:$G$1860,'07导出'!$A$2:$A$1860,A126,'07导出'!$C$2:$C$1860,"205")</f>
        <v>25314613.719999999</v>
      </c>
      <c r="D126" s="45">
        <f>SUMIFS('07导出'!$H$2:$H$1860,'07导出'!$A$2:$A$1860,A126,'07导出'!$C$2:$C$1860,"205")</f>
        <v>22202653.469999999</v>
      </c>
      <c r="E126" s="46">
        <f>SUMIFS('07导出'!$G$2:$G$1860,'07导出'!$A$2:$A$1860,A126,'07导出'!$D$2:$D$1860,"20502")</f>
        <v>24333045.82</v>
      </c>
      <c r="F126" s="46">
        <f>SUMIFS('07导出'!$H$2:$H$1860,'07导出'!$A$2:$A$1860,A126,'07导出'!$D$2:$D$1860,"20502")</f>
        <v>20894653.469999999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26799</v>
      </c>
      <c r="N126" s="46">
        <f>SUMIFS('07导出'!$H$2:$H$1860,'07导出'!$A$2:$A$1860,A126,'07导出'!$D$2:$D$1860,"20508")</f>
        <v>68000</v>
      </c>
      <c r="O126" s="46">
        <f>SUMIFS('07导出'!$G$2:$G$1860,'07导出'!$A$2:$A$1860,A126,'07导出'!$D$2:$D$1860,"20509")</f>
        <v>954768.9</v>
      </c>
      <c r="P126" s="46">
        <f>SUMIFS('07导出'!$H$2:$H$1860,'07导出'!$A$2:$A$1860,A126,'07导出'!$D$2:$D$1860,"20509")</f>
        <v>1240000</v>
      </c>
      <c r="Q126" s="46">
        <f>SUMIFS('07导出'!$G$2:$G$1860,'07导出'!$A$2:$A$1860,A126,'07导出'!$C$2:$C$1860,"206")</f>
        <v>0</v>
      </c>
      <c r="R126" s="46">
        <f>SUMIFS('07导出'!$H$2:$H$1860,'07导出'!$A$2:$A$1860,A126,'07导出'!$C$2:$C$1860,"206")</f>
        <v>0</v>
      </c>
      <c r="S126" s="46">
        <f>SUMIFS('07导出'!$G$2:$G$1860,'07导出'!$A$2:$A$1860,A126,'07导出'!$D$2:$D$1860,"20607")</f>
        <v>0</v>
      </c>
      <c r="T126" s="46">
        <f>SUMIFS('07导出'!$H$2:$H$1860,'07导出'!$A$2:$A$1860,A126,'07导出'!$D$2:$D$1860,"20607")</f>
        <v>0</v>
      </c>
      <c r="U126" s="46">
        <f>SUMIFS('07导出'!$G$2:$G$1860,'07导出'!$A$2:$A$1860,A126,'07导出'!$C$2:$C$1860,"208")</f>
        <v>3282894.6399999997</v>
      </c>
      <c r="V126" s="46">
        <f>SUMIFS('07导出'!$H$2:$H$1860,'07导出'!$A$2:$A$1860,A126,'07导出'!$C$2:$C$1860,"208")</f>
        <v>3307823.7300000004</v>
      </c>
      <c r="W126" s="46">
        <f>SUMIFS('07导出'!$G$2:$G$1860,'07导出'!$A$2:$A$1860,A126,'07导出'!$D$2:$D$1860,"20805")</f>
        <v>3282894.6399999997</v>
      </c>
      <c r="X126" s="46">
        <f>SUMIFS('07导出'!$H$2:$H$1860,'07导出'!$A$2:$A$1860,A126,'07导出'!$D$2:$D$1860,"20805")</f>
        <v>3307823.7300000004</v>
      </c>
      <c r="Y126" s="46">
        <f>SUMIFS('07导出'!$G$2:$G$1860,'07导出'!$A$2:$A$1860,A126,'07导出'!$D$2:$D$1860,"20808")</f>
        <v>0</v>
      </c>
      <c r="Z126" s="46">
        <f>SUMIFS('07导出'!$H$2:$H$1860,'07导出'!$A$2:$A$1860,A126,'07导出'!$D$2:$D$1860,"20808")</f>
        <v>0</v>
      </c>
      <c r="AA126" s="46">
        <f>SUMIFS('07导出'!$G$2:$G$1860,'07导出'!$A$2:$A$1860,A126,'07导出'!$C$2:$C$1860,"210")</f>
        <v>1784058.52</v>
      </c>
      <c r="AB126" s="46">
        <f>SUMIFS('07导出'!$H$2:$H$1860,'07导出'!$A$2:$A$1860,A126,'07导出'!$C$2:$C$1860,"210")</f>
        <v>1498208.6</v>
      </c>
      <c r="AC126" s="46">
        <f>SUMIFS('07导出'!$G$2:$G$1860,'07导出'!$A$2:$A$1860,A126,'07导出'!$D$2:$D$1860,"21011")</f>
        <v>1784058.52</v>
      </c>
      <c r="AD126" s="46">
        <f>SUMIFS('07导出'!$H$2:$H$1860,'07导出'!$A$2:$A$1860,A126,'07导出'!$D$2:$D$1860,"21011")</f>
        <v>1498208.6</v>
      </c>
      <c r="AE126" s="46">
        <f>SUMIFS('07导出'!$G$2:$G$1860,'07导出'!$A$2:$A$1860,A126,'07导出'!$C$2:$C$1860,"212")</f>
        <v>0</v>
      </c>
      <c r="AF126" s="46">
        <f>SUMIFS('07导出'!$H$2:$H$1860,'07导出'!$A$2:$A$1860,A126,'07导出'!$C$2:$C$1860,"212")</f>
        <v>0</v>
      </c>
      <c r="AG126" s="46">
        <f>SUMIFS('07导出'!$G$2:$G$1860,'07导出'!$A$2:$A$1860,A126,'07导出'!$D$2:$D$1860,"21203")</f>
        <v>0</v>
      </c>
      <c r="AH126" s="46">
        <f>SUMIFS('07导出'!$H$2:$H$1860,'07导出'!$A$2:$A$1860,A126,'07导出'!$D$2:$D$1860,"21203")</f>
        <v>0</v>
      </c>
      <c r="AI126" s="46">
        <f>SUMIFS('07导出'!$G$2:$G$1860,'07导出'!$A$2:$A$1860,A126,'07导出'!$C$2:$C$1860,"213")</f>
        <v>0</v>
      </c>
      <c r="AJ126" s="46">
        <f>SUMIFS('07导出'!$H$2:$H$1860,'07导出'!$A$2:$A$1860,A126,'07导出'!$C$2:$C$1860,"213")</f>
        <v>0</v>
      </c>
      <c r="AK126" s="46">
        <f>SUMIFS('07导出'!$G$2:$G$1860,'07导出'!$A$2:$A$1860,A126,'07导出'!$D$2:$D$1860,"21305")</f>
        <v>0</v>
      </c>
      <c r="AL126" s="46">
        <f>SUMIFS('07导出'!$H$2:$H$1860,'07导出'!$A$2:$A$1860,A126,'07导出'!$D$2:$D$1860,"21305")</f>
        <v>0</v>
      </c>
      <c r="AM126" s="46">
        <f>SUMIFS('07导出'!$G$2:$G$1860,'07导出'!$A$2:$A$1860,A126,'07导出'!$C$2:$C$1860,"221")</f>
        <v>4109072</v>
      </c>
      <c r="AN126" s="46">
        <f>SUMIFS('07导出'!$H$2:$H$1860,'07导出'!$A$2:$A$1860,A126,'07导出'!$C$2:$C$1860,"221")</f>
        <v>3762656.87</v>
      </c>
      <c r="AO126" s="46">
        <f>SUMIFS('07导出'!$G$2:$G$1860,'07导出'!$A$2:$A$1860,A126,'07导出'!$D$2:$D$1860,"22102")</f>
        <v>4109072</v>
      </c>
      <c r="AP126" s="46">
        <f>SUMIFS('07导出'!$H$2:$H$1860,'07导出'!$A$2:$A$1860,A126,'07导出'!$D$2:$D$1860,"22102")</f>
        <v>3762656.87</v>
      </c>
    </row>
    <row r="127" spans="1:42">
      <c r="A127" s="43">
        <v>255160</v>
      </c>
      <c r="B127" s="44" t="s">
        <v>126</v>
      </c>
      <c r="C127" s="45">
        <f>SUMIFS('07导出'!$G$2:$G$1860,'07导出'!$A$2:$A$1860,A127,'07导出'!$C$2:$C$1860,"205")</f>
        <v>20089981.93</v>
      </c>
      <c r="D127" s="45">
        <f>SUMIFS('07导出'!$H$2:$H$1860,'07导出'!$A$2:$A$1860,A127,'07导出'!$C$2:$C$1860,"205")</f>
        <v>17455820.399999999</v>
      </c>
      <c r="E127" s="46">
        <f>SUMIFS('07导出'!$G$2:$G$1860,'07导出'!$A$2:$A$1860,A127,'07导出'!$D$2:$D$1860,"20502")</f>
        <v>20053655.93</v>
      </c>
      <c r="F127" s="46">
        <f>SUMIFS('07导出'!$H$2:$H$1860,'07导出'!$A$2:$A$1860,A127,'07导出'!$D$2:$D$1860,"20502")</f>
        <v>17388694.399999999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27600</v>
      </c>
      <c r="N127" s="46">
        <f>SUMIFS('07导出'!$H$2:$H$1860,'07导出'!$A$2:$A$1860,A127,'07导出'!$D$2:$D$1860,"20508")</f>
        <v>58400</v>
      </c>
      <c r="O127" s="46">
        <f>SUMIFS('07导出'!$G$2:$G$1860,'07导出'!$A$2:$A$1860,A127,'07导出'!$D$2:$D$1860,"20509")</f>
        <v>8726</v>
      </c>
      <c r="P127" s="46">
        <f>SUMIFS('07导出'!$H$2:$H$1860,'07导出'!$A$2:$A$1860,A127,'07导出'!$D$2:$D$1860,"20509")</f>
        <v>8726</v>
      </c>
      <c r="Q127" s="46">
        <f>SUMIFS('07导出'!$G$2:$G$1860,'07导出'!$A$2:$A$1860,A127,'07导出'!$C$2:$C$1860,"206")</f>
        <v>0</v>
      </c>
      <c r="R127" s="46">
        <f>SUMIFS('07导出'!$H$2:$H$1860,'07导出'!$A$2:$A$1860,A127,'07导出'!$C$2:$C$1860,"206")</f>
        <v>0</v>
      </c>
      <c r="S127" s="46">
        <f>SUMIFS('07导出'!$G$2:$G$1860,'07导出'!$A$2:$A$1860,A127,'07导出'!$D$2:$D$1860,"20607")</f>
        <v>0</v>
      </c>
      <c r="T127" s="46">
        <f>SUMIFS('07导出'!$H$2:$H$1860,'07导出'!$A$2:$A$1860,A127,'07导出'!$D$2:$D$1860,"20607")</f>
        <v>0</v>
      </c>
      <c r="U127" s="46">
        <f>SUMIFS('07导出'!$G$2:$G$1860,'07导出'!$A$2:$A$1860,A127,'07导出'!$C$2:$C$1860,"208")</f>
        <v>3055118</v>
      </c>
      <c r="V127" s="46">
        <f>SUMIFS('07导出'!$H$2:$H$1860,'07导出'!$A$2:$A$1860,A127,'07导出'!$C$2:$C$1860,"208")</f>
        <v>2900524.88</v>
      </c>
      <c r="W127" s="46">
        <f>SUMIFS('07导出'!$G$2:$G$1860,'07导出'!$A$2:$A$1860,A127,'07导出'!$D$2:$D$1860,"20805")</f>
        <v>3055118</v>
      </c>
      <c r="X127" s="46">
        <f>SUMIFS('07导出'!$H$2:$H$1860,'07导出'!$A$2:$A$1860,A127,'07导出'!$D$2:$D$1860,"20805")</f>
        <v>2900524.88</v>
      </c>
      <c r="Y127" s="46">
        <f>SUMIFS('07导出'!$G$2:$G$1860,'07导出'!$A$2:$A$1860,A127,'07导出'!$D$2:$D$1860,"20808")</f>
        <v>0</v>
      </c>
      <c r="Z127" s="46">
        <f>SUMIFS('07导出'!$H$2:$H$1860,'07导出'!$A$2:$A$1860,A127,'07导出'!$D$2:$D$1860,"20808")</f>
        <v>0</v>
      </c>
      <c r="AA127" s="46">
        <f>SUMIFS('07导出'!$G$2:$G$1860,'07导出'!$A$2:$A$1860,A127,'07导出'!$C$2:$C$1860,"210")</f>
        <v>1533572.41</v>
      </c>
      <c r="AB127" s="46">
        <f>SUMIFS('07导出'!$H$2:$H$1860,'07导出'!$A$2:$A$1860,A127,'07导出'!$C$2:$C$1860,"210")</f>
        <v>1318170.06</v>
      </c>
      <c r="AC127" s="46">
        <f>SUMIFS('07导出'!$G$2:$G$1860,'07导出'!$A$2:$A$1860,A127,'07导出'!$D$2:$D$1860,"21011")</f>
        <v>1533572.41</v>
      </c>
      <c r="AD127" s="46">
        <f>SUMIFS('07导出'!$H$2:$H$1860,'07导出'!$A$2:$A$1860,A127,'07导出'!$D$2:$D$1860,"21011")</f>
        <v>1318170.06</v>
      </c>
      <c r="AE127" s="46">
        <f>SUMIFS('07导出'!$G$2:$G$1860,'07导出'!$A$2:$A$1860,A127,'07导出'!$C$2:$C$1860,"212")</f>
        <v>0</v>
      </c>
      <c r="AF127" s="46">
        <f>SUMIFS('07导出'!$H$2:$H$1860,'07导出'!$A$2:$A$1860,A127,'07导出'!$C$2:$C$1860,"212")</f>
        <v>0</v>
      </c>
      <c r="AG127" s="46">
        <f>SUMIFS('07导出'!$G$2:$G$1860,'07导出'!$A$2:$A$1860,A127,'07导出'!$D$2:$D$1860,"21203")</f>
        <v>0</v>
      </c>
      <c r="AH127" s="46">
        <f>SUMIFS('07导出'!$H$2:$H$1860,'07导出'!$A$2:$A$1860,A127,'07导出'!$D$2:$D$1860,"21203")</f>
        <v>0</v>
      </c>
      <c r="AI127" s="46">
        <f>SUMIFS('07导出'!$G$2:$G$1860,'07导出'!$A$2:$A$1860,A127,'07导出'!$C$2:$C$1860,"213")</f>
        <v>0</v>
      </c>
      <c r="AJ127" s="46">
        <f>SUMIFS('07导出'!$H$2:$H$1860,'07导出'!$A$2:$A$1860,A127,'07导出'!$C$2:$C$1860,"213")</f>
        <v>0</v>
      </c>
      <c r="AK127" s="46">
        <f>SUMIFS('07导出'!$G$2:$G$1860,'07导出'!$A$2:$A$1860,A127,'07导出'!$D$2:$D$1860,"21305")</f>
        <v>0</v>
      </c>
      <c r="AL127" s="46">
        <f>SUMIFS('07导出'!$H$2:$H$1860,'07导出'!$A$2:$A$1860,A127,'07导出'!$D$2:$D$1860,"21305")</f>
        <v>0</v>
      </c>
      <c r="AM127" s="46">
        <f>SUMIFS('07导出'!$G$2:$G$1860,'07导出'!$A$2:$A$1860,A127,'07导出'!$C$2:$C$1860,"221")</f>
        <v>3303276</v>
      </c>
      <c r="AN127" s="46">
        <f>SUMIFS('07导出'!$H$2:$H$1860,'07导出'!$A$2:$A$1860,A127,'07导出'!$C$2:$C$1860,"221")</f>
        <v>3251143.44</v>
      </c>
      <c r="AO127" s="46">
        <f>SUMIFS('07导出'!$G$2:$G$1860,'07导出'!$A$2:$A$1860,A127,'07导出'!$D$2:$D$1860,"22102")</f>
        <v>3303276</v>
      </c>
      <c r="AP127" s="46">
        <f>SUMIFS('07导出'!$H$2:$H$1860,'07导出'!$A$2:$A$1860,A127,'07导出'!$D$2:$D$1860,"22102")</f>
        <v>3251143.44</v>
      </c>
    </row>
    <row r="128" spans="1:42">
      <c r="A128" s="43">
        <v>255161</v>
      </c>
      <c r="B128" s="44" t="s">
        <v>127</v>
      </c>
      <c r="C128" s="45">
        <f>SUMIFS('07导出'!$G$2:$G$1860,'07导出'!$A$2:$A$1860,A128,'07导出'!$C$2:$C$1860,"205")</f>
        <v>17400293.960000001</v>
      </c>
      <c r="D128" s="45">
        <f>SUMIFS('07导出'!$H$2:$H$1860,'07导出'!$A$2:$A$1860,A128,'07导出'!$C$2:$C$1860,"205")</f>
        <v>14102998.119999999</v>
      </c>
      <c r="E128" s="46">
        <f>SUMIFS('07导出'!$G$2:$G$1860,'07导出'!$A$2:$A$1860,A128,'07导出'!$D$2:$D$1860,"20502")</f>
        <v>17377893.960000001</v>
      </c>
      <c r="F128" s="46">
        <f>SUMIFS('07导出'!$H$2:$H$1860,'07导出'!$A$2:$A$1860,A128,'07导出'!$D$2:$D$1860,"20502")</f>
        <v>14058198.119999999</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22400</v>
      </c>
      <c r="N128" s="46">
        <f>SUMIFS('07导出'!$H$2:$H$1860,'07导出'!$A$2:$A$1860,A128,'07导出'!$D$2:$D$1860,"20508")</f>
        <v>44800</v>
      </c>
      <c r="O128" s="46">
        <f>SUMIFS('07导出'!$G$2:$G$1860,'07导出'!$A$2:$A$1860,A128,'07导出'!$D$2:$D$1860,"20509")</f>
        <v>0</v>
      </c>
      <c r="P128" s="46">
        <f>SUMIFS('07导出'!$H$2:$H$1860,'07导出'!$A$2:$A$1860,A128,'07导出'!$D$2:$D$1860,"20509")</f>
        <v>0</v>
      </c>
      <c r="Q128" s="46">
        <f>SUMIFS('07导出'!$G$2:$G$1860,'07导出'!$A$2:$A$1860,A128,'07导出'!$C$2:$C$1860,"206")</f>
        <v>0</v>
      </c>
      <c r="R128" s="46">
        <f>SUMIFS('07导出'!$H$2:$H$1860,'07导出'!$A$2:$A$1860,A128,'07导出'!$C$2:$C$1860,"206")</f>
        <v>0</v>
      </c>
      <c r="S128" s="46">
        <f>SUMIFS('07导出'!$G$2:$G$1860,'07导出'!$A$2:$A$1860,A128,'07导出'!$D$2:$D$1860,"20607")</f>
        <v>0</v>
      </c>
      <c r="T128" s="46">
        <f>SUMIFS('07导出'!$H$2:$H$1860,'07导出'!$A$2:$A$1860,A128,'07导出'!$D$2:$D$1860,"20607")</f>
        <v>0</v>
      </c>
      <c r="U128" s="46">
        <f>SUMIFS('07导出'!$G$2:$G$1860,'07导出'!$A$2:$A$1860,A128,'07导出'!$C$2:$C$1860,"208")</f>
        <v>1841099.38</v>
      </c>
      <c r="V128" s="46">
        <f>SUMIFS('07导出'!$H$2:$H$1860,'07导出'!$A$2:$A$1860,A128,'07导出'!$C$2:$C$1860,"208")</f>
        <v>1866778.08</v>
      </c>
      <c r="W128" s="46">
        <f>SUMIFS('07导出'!$G$2:$G$1860,'07导出'!$A$2:$A$1860,A128,'07导出'!$D$2:$D$1860,"20805")</f>
        <v>1841099.38</v>
      </c>
      <c r="X128" s="46">
        <f>SUMIFS('07导出'!$H$2:$H$1860,'07导出'!$A$2:$A$1860,A128,'07导出'!$D$2:$D$1860,"20805")</f>
        <v>1866778.08</v>
      </c>
      <c r="Y128" s="46">
        <f>SUMIFS('07导出'!$G$2:$G$1860,'07导出'!$A$2:$A$1860,A128,'07导出'!$D$2:$D$1860,"20808")</f>
        <v>0</v>
      </c>
      <c r="Z128" s="46">
        <f>SUMIFS('07导出'!$H$2:$H$1860,'07导出'!$A$2:$A$1860,A128,'07导出'!$D$2:$D$1860,"20808")</f>
        <v>0</v>
      </c>
      <c r="AA128" s="46">
        <f>SUMIFS('07导出'!$G$2:$G$1860,'07导出'!$A$2:$A$1860,A128,'07导出'!$C$2:$C$1860,"210")</f>
        <v>1090840.48</v>
      </c>
      <c r="AB128" s="46">
        <f>SUMIFS('07导出'!$H$2:$H$1860,'07导出'!$A$2:$A$1860,A128,'07导出'!$C$2:$C$1860,"210")</f>
        <v>896446.46</v>
      </c>
      <c r="AC128" s="46">
        <f>SUMIFS('07导出'!$G$2:$G$1860,'07导出'!$A$2:$A$1860,A128,'07导出'!$D$2:$D$1860,"21011")</f>
        <v>1090840.48</v>
      </c>
      <c r="AD128" s="46">
        <f>SUMIFS('07导出'!$H$2:$H$1860,'07导出'!$A$2:$A$1860,A128,'07导出'!$D$2:$D$1860,"21011")</f>
        <v>896446.46</v>
      </c>
      <c r="AE128" s="46">
        <f>SUMIFS('07导出'!$G$2:$G$1860,'07导出'!$A$2:$A$1860,A128,'07导出'!$C$2:$C$1860,"212")</f>
        <v>0</v>
      </c>
      <c r="AF128" s="46">
        <f>SUMIFS('07导出'!$H$2:$H$1860,'07导出'!$A$2:$A$1860,A128,'07导出'!$C$2:$C$1860,"212")</f>
        <v>0</v>
      </c>
      <c r="AG128" s="46">
        <f>SUMIFS('07导出'!$G$2:$G$1860,'07导出'!$A$2:$A$1860,A128,'07导出'!$D$2:$D$1860,"21203")</f>
        <v>0</v>
      </c>
      <c r="AH128" s="46">
        <f>SUMIFS('07导出'!$H$2:$H$1860,'07导出'!$A$2:$A$1860,A128,'07导出'!$D$2:$D$1860,"21203")</f>
        <v>0</v>
      </c>
      <c r="AI128" s="46">
        <f>SUMIFS('07导出'!$G$2:$G$1860,'07导出'!$A$2:$A$1860,A128,'07导出'!$C$2:$C$1860,"213")</f>
        <v>0</v>
      </c>
      <c r="AJ128" s="46">
        <f>SUMIFS('07导出'!$H$2:$H$1860,'07导出'!$A$2:$A$1860,A128,'07导出'!$C$2:$C$1860,"213")</f>
        <v>0</v>
      </c>
      <c r="AK128" s="46">
        <f>SUMIFS('07导出'!$G$2:$G$1860,'07导出'!$A$2:$A$1860,A128,'07导出'!$D$2:$D$1860,"21305")</f>
        <v>0</v>
      </c>
      <c r="AL128" s="46">
        <f>SUMIFS('07导出'!$H$2:$H$1860,'07导出'!$A$2:$A$1860,A128,'07导出'!$D$2:$D$1860,"21305")</f>
        <v>0</v>
      </c>
      <c r="AM128" s="46">
        <f>SUMIFS('07导出'!$G$2:$G$1860,'07导出'!$A$2:$A$1860,A128,'07导出'!$C$2:$C$1860,"221")</f>
        <v>2592914</v>
      </c>
      <c r="AN128" s="46">
        <f>SUMIFS('07导出'!$H$2:$H$1860,'07导出'!$A$2:$A$1860,A128,'07导出'!$C$2:$C$1860,"221")</f>
        <v>2441405.04</v>
      </c>
      <c r="AO128" s="46">
        <f>SUMIFS('07导出'!$G$2:$G$1860,'07导出'!$A$2:$A$1860,A128,'07导出'!$D$2:$D$1860,"22102")</f>
        <v>2592914</v>
      </c>
      <c r="AP128" s="46">
        <f>SUMIFS('07导出'!$H$2:$H$1860,'07导出'!$A$2:$A$1860,A128,'07导出'!$D$2:$D$1860,"22102")</f>
        <v>2441405.04</v>
      </c>
    </row>
    <row r="129" spans="1:42">
      <c r="A129" s="43">
        <v>255162</v>
      </c>
      <c r="B129" s="44" t="s">
        <v>128</v>
      </c>
      <c r="C129" s="45">
        <f>SUMIFS('07导出'!$G$2:$G$1860,'07导出'!$A$2:$A$1860,A129,'07导出'!$C$2:$C$1860,"205")</f>
        <v>18936137.41</v>
      </c>
      <c r="D129" s="45">
        <f>SUMIFS('07导出'!$H$2:$H$1860,'07导出'!$A$2:$A$1860,A129,'07导出'!$C$2:$C$1860,"205")</f>
        <v>17483517.02</v>
      </c>
      <c r="E129" s="46">
        <f>SUMIFS('07导出'!$G$2:$G$1860,'07导出'!$A$2:$A$1860,A129,'07导出'!$D$2:$D$1860,"20502")</f>
        <v>17646532.02</v>
      </c>
      <c r="F129" s="46">
        <f>SUMIFS('07导出'!$H$2:$H$1860,'07导出'!$A$2:$A$1860,A129,'07导出'!$D$2:$D$1860,"20502")</f>
        <v>15768217.02</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25600</v>
      </c>
      <c r="N129" s="46">
        <f>SUMIFS('07导出'!$H$2:$H$1860,'07导出'!$A$2:$A$1860,A129,'07导出'!$D$2:$D$1860,"20508")</f>
        <v>51200</v>
      </c>
      <c r="O129" s="46">
        <f>SUMIFS('07导出'!$G$2:$G$1860,'07导出'!$A$2:$A$1860,A129,'07导出'!$D$2:$D$1860,"20509")</f>
        <v>1264005.3899999999</v>
      </c>
      <c r="P129" s="46">
        <f>SUMIFS('07导出'!$H$2:$H$1860,'07导出'!$A$2:$A$1860,A129,'07导出'!$D$2:$D$1860,"20509")</f>
        <v>1664100</v>
      </c>
      <c r="Q129" s="46">
        <f>SUMIFS('07导出'!$G$2:$G$1860,'07导出'!$A$2:$A$1860,A129,'07导出'!$C$2:$C$1860,"206")</f>
        <v>0</v>
      </c>
      <c r="R129" s="46">
        <f>SUMIFS('07导出'!$H$2:$H$1860,'07导出'!$A$2:$A$1860,A129,'07导出'!$C$2:$C$1860,"206")</f>
        <v>0</v>
      </c>
      <c r="S129" s="46">
        <f>SUMIFS('07导出'!$G$2:$G$1860,'07导出'!$A$2:$A$1860,A129,'07导出'!$D$2:$D$1860,"20607")</f>
        <v>0</v>
      </c>
      <c r="T129" s="46">
        <f>SUMIFS('07导出'!$H$2:$H$1860,'07导出'!$A$2:$A$1860,A129,'07导出'!$D$2:$D$1860,"20607")</f>
        <v>0</v>
      </c>
      <c r="U129" s="46">
        <f>SUMIFS('07导出'!$G$2:$G$1860,'07导出'!$A$2:$A$1860,A129,'07导出'!$C$2:$C$1860,"208")</f>
        <v>2950895.3600000003</v>
      </c>
      <c r="V129" s="46">
        <f>SUMIFS('07导出'!$H$2:$H$1860,'07导出'!$A$2:$A$1860,A129,'07导出'!$C$2:$C$1860,"208")</f>
        <v>2491093.36</v>
      </c>
      <c r="W129" s="46">
        <f>SUMIFS('07导出'!$G$2:$G$1860,'07导出'!$A$2:$A$1860,A129,'07导出'!$D$2:$D$1860,"20805")</f>
        <v>2950895.3600000003</v>
      </c>
      <c r="X129" s="46">
        <f>SUMIFS('07导出'!$H$2:$H$1860,'07导出'!$A$2:$A$1860,A129,'07导出'!$D$2:$D$1860,"20805")</f>
        <v>2491093.36</v>
      </c>
      <c r="Y129" s="46">
        <f>SUMIFS('07导出'!$G$2:$G$1860,'07导出'!$A$2:$A$1860,A129,'07导出'!$D$2:$D$1860,"20808")</f>
        <v>0</v>
      </c>
      <c r="Z129" s="46">
        <f>SUMIFS('07导出'!$H$2:$H$1860,'07导出'!$A$2:$A$1860,A129,'07导出'!$D$2:$D$1860,"20808")</f>
        <v>0</v>
      </c>
      <c r="AA129" s="46">
        <f>SUMIFS('07导出'!$G$2:$G$1860,'07导出'!$A$2:$A$1860,A129,'07导出'!$C$2:$C$1860,"210")</f>
        <v>1127959.82</v>
      </c>
      <c r="AB129" s="46">
        <f>SUMIFS('07导出'!$H$2:$H$1860,'07导出'!$A$2:$A$1860,A129,'07导出'!$C$2:$C$1860,"210")</f>
        <v>1127959.82</v>
      </c>
      <c r="AC129" s="46">
        <f>SUMIFS('07导出'!$G$2:$G$1860,'07导出'!$A$2:$A$1860,A129,'07导出'!$D$2:$D$1860,"21011")</f>
        <v>1127959.82</v>
      </c>
      <c r="AD129" s="46">
        <f>SUMIFS('07导出'!$H$2:$H$1860,'07导出'!$A$2:$A$1860,A129,'07导出'!$D$2:$D$1860,"21011")</f>
        <v>1127959.82</v>
      </c>
      <c r="AE129" s="46">
        <f>SUMIFS('07导出'!$G$2:$G$1860,'07导出'!$A$2:$A$1860,A129,'07导出'!$C$2:$C$1860,"212")</f>
        <v>0</v>
      </c>
      <c r="AF129" s="46">
        <f>SUMIFS('07导出'!$H$2:$H$1860,'07导出'!$A$2:$A$1860,A129,'07导出'!$C$2:$C$1860,"212")</f>
        <v>0</v>
      </c>
      <c r="AG129" s="46">
        <f>SUMIFS('07导出'!$G$2:$G$1860,'07导出'!$A$2:$A$1860,A129,'07导出'!$D$2:$D$1860,"21203")</f>
        <v>0</v>
      </c>
      <c r="AH129" s="46">
        <f>SUMIFS('07导出'!$H$2:$H$1860,'07导出'!$A$2:$A$1860,A129,'07导出'!$D$2:$D$1860,"21203")</f>
        <v>0</v>
      </c>
      <c r="AI129" s="46">
        <f>SUMIFS('07导出'!$G$2:$G$1860,'07导出'!$A$2:$A$1860,A129,'07导出'!$C$2:$C$1860,"213")</f>
        <v>0</v>
      </c>
      <c r="AJ129" s="46">
        <f>SUMIFS('07导出'!$H$2:$H$1860,'07导出'!$A$2:$A$1860,A129,'07导出'!$C$2:$C$1860,"213")</f>
        <v>0</v>
      </c>
      <c r="AK129" s="46">
        <f>SUMIFS('07导出'!$G$2:$G$1860,'07导出'!$A$2:$A$1860,A129,'07导出'!$D$2:$D$1860,"21305")</f>
        <v>0</v>
      </c>
      <c r="AL129" s="46">
        <f>SUMIFS('07导出'!$H$2:$H$1860,'07导出'!$A$2:$A$1860,A129,'07导出'!$D$2:$D$1860,"21305")</f>
        <v>0</v>
      </c>
      <c r="AM129" s="46">
        <f>SUMIFS('07导出'!$G$2:$G$1860,'07导出'!$A$2:$A$1860,A129,'07导出'!$C$2:$C$1860,"221")</f>
        <v>2860575.17</v>
      </c>
      <c r="AN129" s="46">
        <f>SUMIFS('07导出'!$H$2:$H$1860,'07导出'!$A$2:$A$1860,A129,'07导出'!$C$2:$C$1860,"221")</f>
        <v>2875993.6799999997</v>
      </c>
      <c r="AO129" s="46">
        <f>SUMIFS('07导出'!$G$2:$G$1860,'07导出'!$A$2:$A$1860,A129,'07导出'!$D$2:$D$1860,"22102")</f>
        <v>2860575.17</v>
      </c>
      <c r="AP129" s="46">
        <f>SUMIFS('07导出'!$H$2:$H$1860,'07导出'!$A$2:$A$1860,A129,'07导出'!$D$2:$D$1860,"22102")</f>
        <v>2875993.6799999997</v>
      </c>
    </row>
    <row r="130" spans="1:42">
      <c r="A130" s="43">
        <v>255163</v>
      </c>
      <c r="B130" s="44" t="s">
        <v>129</v>
      </c>
      <c r="C130" s="45">
        <f>SUMIFS('07导出'!$G$2:$G$1860,'07导出'!$A$2:$A$1860,A130,'07导出'!$C$2:$C$1860,"205")</f>
        <v>16744404.9</v>
      </c>
      <c r="D130" s="45">
        <f>SUMIFS('07导出'!$H$2:$H$1860,'07导出'!$A$2:$A$1860,A130,'07导出'!$C$2:$C$1860,"205")</f>
        <v>15171084.99</v>
      </c>
      <c r="E130" s="46">
        <f>SUMIFS('07导出'!$G$2:$G$1860,'07导出'!$A$2:$A$1860,A130,'07导出'!$D$2:$D$1860,"20502")</f>
        <v>16317942.9</v>
      </c>
      <c r="F130" s="46">
        <f>SUMIFS('07导出'!$H$2:$H$1860,'07导出'!$A$2:$A$1860,A130,'07导出'!$D$2:$D$1860,"20502")</f>
        <v>14271022.99</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23600</v>
      </c>
      <c r="N130" s="46">
        <f>SUMIFS('07导出'!$H$2:$H$1860,'07导出'!$A$2:$A$1860,A130,'07导出'!$D$2:$D$1860,"20508")</f>
        <v>47200</v>
      </c>
      <c r="O130" s="46">
        <f>SUMIFS('07导出'!$G$2:$G$1860,'07导出'!$A$2:$A$1860,A130,'07导出'!$D$2:$D$1860,"20509")</f>
        <v>402862</v>
      </c>
      <c r="P130" s="46">
        <f>SUMIFS('07导出'!$H$2:$H$1860,'07导出'!$A$2:$A$1860,A130,'07导出'!$D$2:$D$1860,"20509")</f>
        <v>852862</v>
      </c>
      <c r="Q130" s="46">
        <f>SUMIFS('07导出'!$G$2:$G$1860,'07导出'!$A$2:$A$1860,A130,'07导出'!$C$2:$C$1860,"206")</f>
        <v>0</v>
      </c>
      <c r="R130" s="46">
        <f>SUMIFS('07导出'!$H$2:$H$1860,'07导出'!$A$2:$A$1860,A130,'07导出'!$C$2:$C$1860,"206")</f>
        <v>0</v>
      </c>
      <c r="S130" s="46">
        <f>SUMIFS('07导出'!$G$2:$G$1860,'07导出'!$A$2:$A$1860,A130,'07导出'!$D$2:$D$1860,"20607")</f>
        <v>0</v>
      </c>
      <c r="T130" s="46">
        <f>SUMIFS('07导出'!$H$2:$H$1860,'07导出'!$A$2:$A$1860,A130,'07导出'!$D$2:$D$1860,"20607")</f>
        <v>0</v>
      </c>
      <c r="U130" s="46">
        <f>SUMIFS('07导出'!$G$2:$G$1860,'07导出'!$A$2:$A$1860,A130,'07导出'!$C$2:$C$1860,"208")</f>
        <v>2247936.3199999998</v>
      </c>
      <c r="V130" s="46">
        <f>SUMIFS('07导出'!$H$2:$H$1860,'07导出'!$A$2:$A$1860,A130,'07导出'!$C$2:$C$1860,"208")</f>
        <v>2298202.3199999998</v>
      </c>
      <c r="W130" s="46">
        <f>SUMIFS('07导出'!$G$2:$G$1860,'07导出'!$A$2:$A$1860,A130,'07导出'!$D$2:$D$1860,"20805")</f>
        <v>2247936.3199999998</v>
      </c>
      <c r="X130" s="46">
        <f>SUMIFS('07导出'!$H$2:$H$1860,'07导出'!$A$2:$A$1860,A130,'07导出'!$D$2:$D$1860,"20805")</f>
        <v>2298202.3199999998</v>
      </c>
      <c r="Y130" s="46">
        <f>SUMIFS('07导出'!$G$2:$G$1860,'07导出'!$A$2:$A$1860,A130,'07导出'!$D$2:$D$1860,"20808")</f>
        <v>0</v>
      </c>
      <c r="Z130" s="46">
        <f>SUMIFS('07导出'!$H$2:$H$1860,'07导出'!$A$2:$A$1860,A130,'07导出'!$D$2:$D$1860,"20808")</f>
        <v>0</v>
      </c>
      <c r="AA130" s="46">
        <f>SUMIFS('07导出'!$G$2:$G$1860,'07导出'!$A$2:$A$1860,A130,'07导出'!$C$2:$C$1860,"210")</f>
        <v>1079382.5900000001</v>
      </c>
      <c r="AB130" s="46">
        <f>SUMIFS('07导出'!$H$2:$H$1860,'07导出'!$A$2:$A$1860,A130,'07导出'!$C$2:$C$1860,"210")</f>
        <v>1079382.5900000001</v>
      </c>
      <c r="AC130" s="46">
        <f>SUMIFS('07导出'!$G$2:$G$1860,'07导出'!$A$2:$A$1860,A130,'07导出'!$D$2:$D$1860,"21011")</f>
        <v>1079382.5900000001</v>
      </c>
      <c r="AD130" s="46">
        <f>SUMIFS('07导出'!$H$2:$H$1860,'07导出'!$A$2:$A$1860,A130,'07导出'!$D$2:$D$1860,"21011")</f>
        <v>1079382.5900000001</v>
      </c>
      <c r="AE130" s="46">
        <f>SUMIFS('07导出'!$G$2:$G$1860,'07导出'!$A$2:$A$1860,A130,'07导出'!$C$2:$C$1860,"212")</f>
        <v>0</v>
      </c>
      <c r="AF130" s="46">
        <f>SUMIFS('07导出'!$H$2:$H$1860,'07导出'!$A$2:$A$1860,A130,'07导出'!$C$2:$C$1860,"212")</f>
        <v>0</v>
      </c>
      <c r="AG130" s="46">
        <f>SUMIFS('07导出'!$G$2:$G$1860,'07导出'!$A$2:$A$1860,A130,'07导出'!$D$2:$D$1860,"21203")</f>
        <v>0</v>
      </c>
      <c r="AH130" s="46">
        <f>SUMIFS('07导出'!$H$2:$H$1860,'07导出'!$A$2:$A$1860,A130,'07导出'!$D$2:$D$1860,"21203")</f>
        <v>0</v>
      </c>
      <c r="AI130" s="46">
        <f>SUMIFS('07导出'!$G$2:$G$1860,'07导出'!$A$2:$A$1860,A130,'07导出'!$C$2:$C$1860,"213")</f>
        <v>0</v>
      </c>
      <c r="AJ130" s="46">
        <f>SUMIFS('07导出'!$H$2:$H$1860,'07导出'!$A$2:$A$1860,A130,'07导出'!$C$2:$C$1860,"213")</f>
        <v>0</v>
      </c>
      <c r="AK130" s="46">
        <f>SUMIFS('07导出'!$G$2:$G$1860,'07导出'!$A$2:$A$1860,A130,'07导出'!$D$2:$D$1860,"21305")</f>
        <v>0</v>
      </c>
      <c r="AL130" s="46">
        <f>SUMIFS('07导出'!$H$2:$H$1860,'07导出'!$A$2:$A$1860,A130,'07导出'!$D$2:$D$1860,"21305")</f>
        <v>0</v>
      </c>
      <c r="AM130" s="46">
        <f>SUMIFS('07导出'!$G$2:$G$1860,'07导出'!$A$2:$A$1860,A130,'07导出'!$C$2:$C$1860,"221")</f>
        <v>2557552</v>
      </c>
      <c r="AN130" s="46">
        <f>SUMIFS('07导出'!$H$2:$H$1860,'07导出'!$A$2:$A$1860,A130,'07导出'!$C$2:$C$1860,"221")</f>
        <v>2743781.16</v>
      </c>
      <c r="AO130" s="46">
        <f>SUMIFS('07导出'!$G$2:$G$1860,'07导出'!$A$2:$A$1860,A130,'07导出'!$D$2:$D$1860,"22102")</f>
        <v>2557552</v>
      </c>
      <c r="AP130" s="46">
        <f>SUMIFS('07导出'!$H$2:$H$1860,'07导出'!$A$2:$A$1860,A130,'07导出'!$D$2:$D$1860,"22102")</f>
        <v>2743781.16</v>
      </c>
    </row>
    <row r="131" spans="1:42">
      <c r="A131" s="43">
        <v>255164</v>
      </c>
      <c r="B131" s="44" t="s">
        <v>130</v>
      </c>
      <c r="C131" s="45">
        <f>SUMIFS('07导出'!$G$2:$G$1860,'07导出'!$A$2:$A$1860,A131,'07导出'!$C$2:$C$1860,"205")</f>
        <v>19419914.84</v>
      </c>
      <c r="D131" s="45">
        <f>SUMIFS('07导出'!$H$2:$H$1860,'07导出'!$A$2:$A$1860,A131,'07导出'!$C$2:$C$1860,"205")</f>
        <v>16887489.050000001</v>
      </c>
      <c r="E131" s="46">
        <f>SUMIFS('07导出'!$G$2:$G$1860,'07导出'!$A$2:$A$1860,A131,'07导出'!$D$2:$D$1860,"20502")</f>
        <v>19028736.84</v>
      </c>
      <c r="F131" s="46">
        <f>SUMIFS('07导出'!$H$2:$H$1860,'07导出'!$A$2:$A$1860,A131,'07导出'!$D$2:$D$1860,"20502")</f>
        <v>16467571.050000001</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22400</v>
      </c>
      <c r="N131" s="46">
        <f>SUMIFS('07导出'!$H$2:$H$1860,'07导出'!$A$2:$A$1860,A131,'07导出'!$D$2:$D$1860,"20508")</f>
        <v>44800</v>
      </c>
      <c r="O131" s="46">
        <f>SUMIFS('07导出'!$G$2:$G$1860,'07导出'!$A$2:$A$1860,A131,'07导出'!$D$2:$D$1860,"20509")</f>
        <v>368778</v>
      </c>
      <c r="P131" s="46">
        <f>SUMIFS('07导出'!$H$2:$H$1860,'07导出'!$A$2:$A$1860,A131,'07导出'!$D$2:$D$1860,"20509")</f>
        <v>375118</v>
      </c>
      <c r="Q131" s="46">
        <f>SUMIFS('07导出'!$G$2:$G$1860,'07导出'!$A$2:$A$1860,A131,'07导出'!$C$2:$C$1860,"206")</f>
        <v>0</v>
      </c>
      <c r="R131" s="46">
        <f>SUMIFS('07导出'!$H$2:$H$1860,'07导出'!$A$2:$A$1860,A131,'07导出'!$C$2:$C$1860,"206")</f>
        <v>0</v>
      </c>
      <c r="S131" s="46">
        <f>SUMIFS('07导出'!$G$2:$G$1860,'07导出'!$A$2:$A$1860,A131,'07导出'!$D$2:$D$1860,"20607")</f>
        <v>0</v>
      </c>
      <c r="T131" s="46">
        <f>SUMIFS('07导出'!$H$2:$H$1860,'07导出'!$A$2:$A$1860,A131,'07导出'!$D$2:$D$1860,"20607")</f>
        <v>0</v>
      </c>
      <c r="U131" s="46">
        <f>SUMIFS('07导出'!$G$2:$G$1860,'07导出'!$A$2:$A$1860,A131,'07导出'!$C$2:$C$1860,"208")</f>
        <v>2728786.2800000003</v>
      </c>
      <c r="V131" s="46">
        <f>SUMIFS('07导出'!$H$2:$H$1860,'07导出'!$A$2:$A$1860,A131,'07导出'!$C$2:$C$1860,"208")</f>
        <v>2741027.2800000003</v>
      </c>
      <c r="W131" s="46">
        <f>SUMIFS('07导出'!$G$2:$G$1860,'07导出'!$A$2:$A$1860,A131,'07导出'!$D$2:$D$1860,"20805")</f>
        <v>2728786.2800000003</v>
      </c>
      <c r="X131" s="46">
        <f>SUMIFS('07导出'!$H$2:$H$1860,'07导出'!$A$2:$A$1860,A131,'07导出'!$D$2:$D$1860,"20805")</f>
        <v>2741027.2800000003</v>
      </c>
      <c r="Y131" s="46">
        <f>SUMIFS('07导出'!$G$2:$G$1860,'07导出'!$A$2:$A$1860,A131,'07导出'!$D$2:$D$1860,"20808")</f>
        <v>0</v>
      </c>
      <c r="Z131" s="46">
        <f>SUMIFS('07导出'!$H$2:$H$1860,'07导出'!$A$2:$A$1860,A131,'07导出'!$D$2:$D$1860,"20808")</f>
        <v>0</v>
      </c>
      <c r="AA131" s="46">
        <f>SUMIFS('07导出'!$G$2:$G$1860,'07导出'!$A$2:$A$1860,A131,'07导出'!$C$2:$C$1860,"210")</f>
        <v>1322665.1100000001</v>
      </c>
      <c r="AB131" s="46">
        <f>SUMIFS('07导出'!$H$2:$H$1860,'07导出'!$A$2:$A$1860,A131,'07导出'!$C$2:$C$1860,"210")</f>
        <v>1322665.1100000001</v>
      </c>
      <c r="AC131" s="46">
        <f>SUMIFS('07导出'!$G$2:$G$1860,'07导出'!$A$2:$A$1860,A131,'07导出'!$D$2:$D$1860,"21011")</f>
        <v>1322665.1100000001</v>
      </c>
      <c r="AD131" s="46">
        <f>SUMIFS('07导出'!$H$2:$H$1860,'07导出'!$A$2:$A$1860,A131,'07导出'!$D$2:$D$1860,"21011")</f>
        <v>1322665.1100000001</v>
      </c>
      <c r="AE131" s="46">
        <f>SUMIFS('07导出'!$G$2:$G$1860,'07导出'!$A$2:$A$1860,A131,'07导出'!$C$2:$C$1860,"212")</f>
        <v>0</v>
      </c>
      <c r="AF131" s="46">
        <f>SUMIFS('07导出'!$H$2:$H$1860,'07导出'!$A$2:$A$1860,A131,'07导出'!$C$2:$C$1860,"212")</f>
        <v>0</v>
      </c>
      <c r="AG131" s="46">
        <f>SUMIFS('07导出'!$G$2:$G$1860,'07导出'!$A$2:$A$1860,A131,'07导出'!$D$2:$D$1860,"21203")</f>
        <v>0</v>
      </c>
      <c r="AH131" s="46">
        <f>SUMIFS('07导出'!$H$2:$H$1860,'07导出'!$A$2:$A$1860,A131,'07导出'!$D$2:$D$1860,"21203")</f>
        <v>0</v>
      </c>
      <c r="AI131" s="46">
        <f>SUMIFS('07导出'!$G$2:$G$1860,'07导出'!$A$2:$A$1860,A131,'07导出'!$C$2:$C$1860,"213")</f>
        <v>0</v>
      </c>
      <c r="AJ131" s="46">
        <f>SUMIFS('07导出'!$H$2:$H$1860,'07导出'!$A$2:$A$1860,A131,'07导出'!$C$2:$C$1860,"213")</f>
        <v>0</v>
      </c>
      <c r="AK131" s="46">
        <f>SUMIFS('07导出'!$G$2:$G$1860,'07导出'!$A$2:$A$1860,A131,'07导出'!$D$2:$D$1860,"21305")</f>
        <v>0</v>
      </c>
      <c r="AL131" s="46">
        <f>SUMIFS('07导出'!$H$2:$H$1860,'07导出'!$A$2:$A$1860,A131,'07导出'!$D$2:$D$1860,"21305")</f>
        <v>0</v>
      </c>
      <c r="AM131" s="46">
        <f>SUMIFS('07导出'!$G$2:$G$1860,'07导出'!$A$2:$A$1860,A131,'07导出'!$C$2:$C$1860,"221")</f>
        <v>2937531.6399999997</v>
      </c>
      <c r="AN131" s="46">
        <f>SUMIFS('07导出'!$H$2:$H$1860,'07导出'!$A$2:$A$1860,A131,'07导出'!$C$2:$C$1860,"221")</f>
        <v>2981777.6399999997</v>
      </c>
      <c r="AO131" s="46">
        <f>SUMIFS('07导出'!$G$2:$G$1860,'07导出'!$A$2:$A$1860,A131,'07导出'!$D$2:$D$1860,"22102")</f>
        <v>2937531.6399999997</v>
      </c>
      <c r="AP131" s="46">
        <f>SUMIFS('07导出'!$H$2:$H$1860,'07导出'!$A$2:$A$1860,A131,'07导出'!$D$2:$D$1860,"22102")</f>
        <v>2981777.6399999997</v>
      </c>
    </row>
    <row r="132" spans="1:42">
      <c r="A132" s="43">
        <v>255165</v>
      </c>
      <c r="B132" s="44" t="s">
        <v>131</v>
      </c>
      <c r="C132" s="45">
        <f>SUMIFS('07导出'!$G$2:$G$1860,'07导出'!$A$2:$A$1860,A132,'07导出'!$C$2:$C$1860,"205")</f>
        <v>25544451.649999999</v>
      </c>
      <c r="D132" s="45">
        <f>SUMIFS('07导出'!$H$2:$H$1860,'07导出'!$A$2:$A$1860,A132,'07导出'!$C$2:$C$1860,"205")</f>
        <v>23272964.530000001</v>
      </c>
      <c r="E132" s="46">
        <f>SUMIFS('07导出'!$G$2:$G$1860,'07导出'!$A$2:$A$1860,A132,'07导出'!$D$2:$D$1860,"20502")</f>
        <v>25515661.649999999</v>
      </c>
      <c r="F132" s="46">
        <f>SUMIFS('07导出'!$H$2:$H$1860,'07导出'!$A$2:$A$1860,A132,'07导出'!$D$2:$D$1860,"20502")</f>
        <v>23215364.530000001</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28790</v>
      </c>
      <c r="N132" s="46">
        <f>SUMIFS('07导出'!$H$2:$H$1860,'07导出'!$A$2:$A$1860,A132,'07导出'!$D$2:$D$1860,"20508")</f>
        <v>57600</v>
      </c>
      <c r="O132" s="46">
        <f>SUMIFS('07导出'!$G$2:$G$1860,'07导出'!$A$2:$A$1860,A132,'07导出'!$D$2:$D$1860,"20509")</f>
        <v>0</v>
      </c>
      <c r="P132" s="46">
        <f>SUMIFS('07导出'!$H$2:$H$1860,'07导出'!$A$2:$A$1860,A132,'07导出'!$D$2:$D$1860,"20509")</f>
        <v>0</v>
      </c>
      <c r="Q132" s="46">
        <f>SUMIFS('07导出'!$G$2:$G$1860,'07导出'!$A$2:$A$1860,A132,'07导出'!$C$2:$C$1860,"206")</f>
        <v>0</v>
      </c>
      <c r="R132" s="46">
        <f>SUMIFS('07导出'!$H$2:$H$1860,'07导出'!$A$2:$A$1860,A132,'07导出'!$C$2:$C$1860,"206")</f>
        <v>0</v>
      </c>
      <c r="S132" s="46">
        <f>SUMIFS('07导出'!$G$2:$G$1860,'07导出'!$A$2:$A$1860,A132,'07导出'!$D$2:$D$1860,"20607")</f>
        <v>0</v>
      </c>
      <c r="T132" s="46">
        <f>SUMIFS('07导出'!$H$2:$H$1860,'07导出'!$A$2:$A$1860,A132,'07导出'!$D$2:$D$1860,"20607")</f>
        <v>0</v>
      </c>
      <c r="U132" s="46">
        <f>SUMIFS('07导出'!$G$2:$G$1860,'07导出'!$A$2:$A$1860,A132,'07导出'!$C$2:$C$1860,"208")</f>
        <v>2833208.72</v>
      </c>
      <c r="V132" s="46">
        <f>SUMIFS('07导出'!$H$2:$H$1860,'07导出'!$A$2:$A$1860,A132,'07导出'!$C$2:$C$1860,"208")</f>
        <v>2771192.56</v>
      </c>
      <c r="W132" s="46">
        <f>SUMIFS('07导出'!$G$2:$G$1860,'07导出'!$A$2:$A$1860,A132,'07导出'!$D$2:$D$1860,"20805")</f>
        <v>2833208.72</v>
      </c>
      <c r="X132" s="46">
        <f>SUMIFS('07导出'!$H$2:$H$1860,'07导出'!$A$2:$A$1860,A132,'07导出'!$D$2:$D$1860,"20805")</f>
        <v>2771192.56</v>
      </c>
      <c r="Y132" s="46">
        <f>SUMIFS('07导出'!$G$2:$G$1860,'07导出'!$A$2:$A$1860,A132,'07导出'!$D$2:$D$1860,"20808")</f>
        <v>0</v>
      </c>
      <c r="Z132" s="46">
        <f>SUMIFS('07导出'!$H$2:$H$1860,'07导出'!$A$2:$A$1860,A132,'07导出'!$D$2:$D$1860,"20808")</f>
        <v>0</v>
      </c>
      <c r="AA132" s="46">
        <f>SUMIFS('07导出'!$G$2:$G$1860,'07导出'!$A$2:$A$1860,A132,'07导出'!$C$2:$C$1860,"210")</f>
        <v>1492629.62</v>
      </c>
      <c r="AB132" s="46">
        <f>SUMIFS('07导出'!$H$2:$H$1860,'07导出'!$A$2:$A$1860,A132,'07导出'!$C$2:$C$1860,"210")</f>
        <v>1325381.72</v>
      </c>
      <c r="AC132" s="46">
        <f>SUMIFS('07导出'!$G$2:$G$1860,'07导出'!$A$2:$A$1860,A132,'07导出'!$D$2:$D$1860,"21011")</f>
        <v>1492629.62</v>
      </c>
      <c r="AD132" s="46">
        <f>SUMIFS('07导出'!$H$2:$H$1860,'07导出'!$A$2:$A$1860,A132,'07导出'!$D$2:$D$1860,"21011")</f>
        <v>1325381.72</v>
      </c>
      <c r="AE132" s="46">
        <f>SUMIFS('07导出'!$G$2:$G$1860,'07导出'!$A$2:$A$1860,A132,'07导出'!$C$2:$C$1860,"212")</f>
        <v>0</v>
      </c>
      <c r="AF132" s="46">
        <f>SUMIFS('07导出'!$H$2:$H$1860,'07导出'!$A$2:$A$1860,A132,'07导出'!$C$2:$C$1860,"212")</f>
        <v>0</v>
      </c>
      <c r="AG132" s="46">
        <f>SUMIFS('07导出'!$G$2:$G$1860,'07导出'!$A$2:$A$1860,A132,'07导出'!$D$2:$D$1860,"21203")</f>
        <v>0</v>
      </c>
      <c r="AH132" s="46">
        <f>SUMIFS('07导出'!$H$2:$H$1860,'07导出'!$A$2:$A$1860,A132,'07导出'!$D$2:$D$1860,"21203")</f>
        <v>0</v>
      </c>
      <c r="AI132" s="46">
        <f>SUMIFS('07导出'!$G$2:$G$1860,'07导出'!$A$2:$A$1860,A132,'07导出'!$C$2:$C$1860,"213")</f>
        <v>0</v>
      </c>
      <c r="AJ132" s="46">
        <f>SUMIFS('07导出'!$H$2:$H$1860,'07导出'!$A$2:$A$1860,A132,'07导出'!$C$2:$C$1860,"213")</f>
        <v>0</v>
      </c>
      <c r="AK132" s="46">
        <f>SUMIFS('07导出'!$G$2:$G$1860,'07导出'!$A$2:$A$1860,A132,'07导出'!$D$2:$D$1860,"21305")</f>
        <v>0</v>
      </c>
      <c r="AL132" s="46">
        <f>SUMIFS('07导出'!$H$2:$H$1860,'07导出'!$A$2:$A$1860,A132,'07导出'!$D$2:$D$1860,"21305")</f>
        <v>0</v>
      </c>
      <c r="AM132" s="46">
        <f>SUMIFS('07导出'!$G$2:$G$1860,'07导出'!$A$2:$A$1860,A132,'07导出'!$C$2:$C$1860,"221")</f>
        <v>3681877</v>
      </c>
      <c r="AN132" s="46">
        <f>SUMIFS('07导出'!$H$2:$H$1860,'07导出'!$A$2:$A$1860,A132,'07导出'!$C$2:$C$1860,"221")</f>
        <v>3416789.2800000003</v>
      </c>
      <c r="AO132" s="46">
        <f>SUMIFS('07导出'!$G$2:$G$1860,'07导出'!$A$2:$A$1860,A132,'07导出'!$D$2:$D$1860,"22102")</f>
        <v>3681877</v>
      </c>
      <c r="AP132" s="46">
        <f>SUMIFS('07导出'!$H$2:$H$1860,'07导出'!$A$2:$A$1860,A132,'07导出'!$D$2:$D$1860,"22102")</f>
        <v>3416789.2800000003</v>
      </c>
    </row>
    <row r="133" spans="1:42">
      <c r="A133" s="43">
        <v>255166</v>
      </c>
      <c r="B133" s="44" t="s">
        <v>132</v>
      </c>
      <c r="C133" s="45">
        <f>SUMIFS('07导出'!$G$2:$G$1860,'07导出'!$A$2:$A$1860,A133,'07导出'!$C$2:$C$1860,"205")</f>
        <v>14742570.51</v>
      </c>
      <c r="D133" s="45">
        <f>SUMIFS('07导出'!$H$2:$H$1860,'07导出'!$A$2:$A$1860,A133,'07导出'!$C$2:$C$1860,"205")</f>
        <v>11482746.050000001</v>
      </c>
      <c r="E133" s="46">
        <f>SUMIFS('07导出'!$G$2:$G$1860,'07导出'!$A$2:$A$1860,A133,'07导出'!$D$2:$D$1860,"20502")</f>
        <v>12792635.51</v>
      </c>
      <c r="F133" s="46">
        <f>SUMIFS('07导出'!$H$2:$H$1860,'07导出'!$A$2:$A$1860,A133,'07导出'!$D$2:$D$1860,"20502")</f>
        <v>9518411.0500000007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14400</v>
      </c>
      <c r="N133" s="46">
        <f>SUMIFS('07导出'!$H$2:$H$1860,'07导出'!$A$2:$A$1860,A133,'07导出'!$D$2:$D$1860,"20508")</f>
        <v>28800</v>
      </c>
      <c r="O133" s="46">
        <f>SUMIFS('07导出'!$G$2:$G$1860,'07导出'!$A$2:$A$1860,A133,'07导出'!$D$2:$D$1860,"20509")</f>
        <v>1935535</v>
      </c>
      <c r="P133" s="46">
        <f>SUMIFS('07导出'!$H$2:$H$1860,'07导出'!$A$2:$A$1860,A133,'07导出'!$D$2:$D$1860,"20509")</f>
        <v>1935535</v>
      </c>
      <c r="Q133" s="46">
        <f>SUMIFS('07导出'!$G$2:$G$1860,'07导出'!$A$2:$A$1860,A133,'07导出'!$C$2:$C$1860,"206")</f>
        <v>0</v>
      </c>
      <c r="R133" s="46">
        <f>SUMIFS('07导出'!$H$2:$H$1860,'07导出'!$A$2:$A$1860,A133,'07导出'!$C$2:$C$1860,"206")</f>
        <v>0</v>
      </c>
      <c r="S133" s="46">
        <f>SUMIFS('07导出'!$G$2:$G$1860,'07导出'!$A$2:$A$1860,A133,'07导出'!$D$2:$D$1860,"20607")</f>
        <v>0</v>
      </c>
      <c r="T133" s="46">
        <f>SUMIFS('07导出'!$H$2:$H$1860,'07导出'!$A$2:$A$1860,A133,'07导出'!$D$2:$D$1860,"20607")</f>
        <v>0</v>
      </c>
      <c r="U133" s="46">
        <f>SUMIFS('07导出'!$G$2:$G$1860,'07导出'!$A$2:$A$1860,A133,'07导出'!$C$2:$C$1860,"208")</f>
        <v>1746429.2000000002</v>
      </c>
      <c r="V133" s="46">
        <f>SUMIFS('07导出'!$H$2:$H$1860,'07导出'!$A$2:$A$1860,A133,'07导出'!$C$2:$C$1860,"208")</f>
        <v>1809218.87</v>
      </c>
      <c r="W133" s="46">
        <f>SUMIFS('07导出'!$G$2:$G$1860,'07导出'!$A$2:$A$1860,A133,'07导出'!$D$2:$D$1860,"20805")</f>
        <v>1746429.2000000002</v>
      </c>
      <c r="X133" s="46">
        <f>SUMIFS('07导出'!$H$2:$H$1860,'07导出'!$A$2:$A$1860,A133,'07导出'!$D$2:$D$1860,"20805")</f>
        <v>1809218.87</v>
      </c>
      <c r="Y133" s="46">
        <f>SUMIFS('07导出'!$G$2:$G$1860,'07导出'!$A$2:$A$1860,A133,'07导出'!$D$2:$D$1860,"20808")</f>
        <v>0</v>
      </c>
      <c r="Z133" s="46">
        <f>SUMIFS('07导出'!$H$2:$H$1860,'07导出'!$A$2:$A$1860,A133,'07导出'!$D$2:$D$1860,"20808")</f>
        <v>0</v>
      </c>
      <c r="AA133" s="46">
        <f>SUMIFS('07导出'!$G$2:$G$1860,'07导出'!$A$2:$A$1860,A133,'07导出'!$C$2:$C$1860,"210")</f>
        <v>731777.33</v>
      </c>
      <c r="AB133" s="46">
        <f>SUMIFS('07导出'!$H$2:$H$1860,'07导出'!$A$2:$A$1860,A133,'07导出'!$C$2:$C$1860,"210")</f>
        <v>681236.22</v>
      </c>
      <c r="AC133" s="46">
        <f>SUMIFS('07导出'!$G$2:$G$1860,'07导出'!$A$2:$A$1860,A133,'07导出'!$D$2:$D$1860,"21011")</f>
        <v>731777.33</v>
      </c>
      <c r="AD133" s="46">
        <f>SUMIFS('07导出'!$H$2:$H$1860,'07导出'!$A$2:$A$1860,A133,'07导出'!$D$2:$D$1860,"21011")</f>
        <v>681236.22</v>
      </c>
      <c r="AE133" s="46">
        <f>SUMIFS('07导出'!$G$2:$G$1860,'07导出'!$A$2:$A$1860,A133,'07导出'!$C$2:$C$1860,"212")</f>
        <v>0</v>
      </c>
      <c r="AF133" s="46">
        <f>SUMIFS('07导出'!$H$2:$H$1860,'07导出'!$A$2:$A$1860,A133,'07导出'!$C$2:$C$1860,"212")</f>
        <v>0</v>
      </c>
      <c r="AG133" s="46">
        <f>SUMIFS('07导出'!$G$2:$G$1860,'07导出'!$A$2:$A$1860,A133,'07导出'!$D$2:$D$1860,"21203")</f>
        <v>0</v>
      </c>
      <c r="AH133" s="46">
        <f>SUMIFS('07导出'!$H$2:$H$1860,'07导出'!$A$2:$A$1860,A133,'07导出'!$D$2:$D$1860,"21203")</f>
        <v>0</v>
      </c>
      <c r="AI133" s="46">
        <f>SUMIFS('07导出'!$G$2:$G$1860,'07导出'!$A$2:$A$1860,A133,'07导出'!$C$2:$C$1860,"213")</f>
        <v>0</v>
      </c>
      <c r="AJ133" s="46">
        <f>SUMIFS('07导出'!$H$2:$H$1860,'07导出'!$A$2:$A$1860,A133,'07导出'!$C$2:$C$1860,"213")</f>
        <v>0</v>
      </c>
      <c r="AK133" s="46">
        <f>SUMIFS('07导出'!$G$2:$G$1860,'07导出'!$A$2:$A$1860,A133,'07导出'!$D$2:$D$1860,"21305")</f>
        <v>0</v>
      </c>
      <c r="AL133" s="46">
        <f>SUMIFS('07导出'!$H$2:$H$1860,'07导出'!$A$2:$A$1860,A133,'07导出'!$D$2:$D$1860,"21305")</f>
        <v>0</v>
      </c>
      <c r="AM133" s="46">
        <f>SUMIFS('07导出'!$G$2:$G$1860,'07导出'!$A$2:$A$1860,A133,'07导出'!$C$2:$C$1860,"221")</f>
        <v>1857913</v>
      </c>
      <c r="AN133" s="46">
        <f>SUMIFS('07导出'!$H$2:$H$1860,'07导出'!$A$2:$A$1860,A133,'07导出'!$C$2:$C$1860,"221")</f>
        <v>1813965.44</v>
      </c>
      <c r="AO133" s="46">
        <f>SUMIFS('07导出'!$G$2:$G$1860,'07导出'!$A$2:$A$1860,A133,'07导出'!$D$2:$D$1860,"22102")</f>
        <v>1857913</v>
      </c>
      <c r="AP133" s="46">
        <f>SUMIFS('07导出'!$H$2:$H$1860,'07导出'!$A$2:$A$1860,A133,'07导出'!$D$2:$D$1860,"22102")</f>
        <v>1813965.44</v>
      </c>
    </row>
    <row r="134" spans="1:42">
      <c r="A134" s="43">
        <v>255167</v>
      </c>
      <c r="B134" s="44" t="s">
        <v>133</v>
      </c>
      <c r="C134" s="45">
        <f>SUMIFS('07导出'!$G$2:$G$1860,'07导出'!$A$2:$A$1860,A134,'07导出'!$C$2:$C$1860,"205")</f>
        <v>35821876.460000001</v>
      </c>
      <c r="D134" s="45">
        <f>SUMIFS('07导出'!$H$2:$H$1860,'07导出'!$A$2:$A$1860,A134,'07导出'!$C$2:$C$1860,"205")</f>
        <v>19383574.219999999</v>
      </c>
      <c r="E134" s="46">
        <f>SUMIFS('07导出'!$G$2:$G$1860,'07导出'!$A$2:$A$1860,A134,'07导出'!$D$2:$D$1860,"20502")</f>
        <v>32960298.949999999</v>
      </c>
      <c r="F134" s="46">
        <f>SUMIFS('07导出'!$H$2:$H$1860,'07导出'!$A$2:$A$1860,A134,'07导出'!$D$2:$D$1860,"20502")</f>
        <v>16486174.220000001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24400</v>
      </c>
      <c r="N134" s="46">
        <f>SUMIFS('07导出'!$H$2:$H$1860,'07导出'!$A$2:$A$1860,A134,'07导出'!$D$2:$D$1860,"20508")</f>
        <v>48800</v>
      </c>
      <c r="O134" s="46">
        <f>SUMIFS('07导出'!$G$2:$G$1860,'07导出'!$A$2:$A$1860,A134,'07导出'!$D$2:$D$1860,"20509")</f>
        <v>2837177.51</v>
      </c>
      <c r="P134" s="46">
        <f>SUMIFS('07导出'!$H$2:$H$1860,'07导出'!$A$2:$A$1860,A134,'07导出'!$D$2:$D$1860,"20509")</f>
        <v>2848600</v>
      </c>
      <c r="Q134" s="46">
        <f>SUMIFS('07导出'!$G$2:$G$1860,'07导出'!$A$2:$A$1860,A134,'07导出'!$C$2:$C$1860,"206")</f>
        <v>0</v>
      </c>
      <c r="R134" s="46">
        <f>SUMIFS('07导出'!$H$2:$H$1860,'07导出'!$A$2:$A$1860,A134,'07导出'!$C$2:$C$1860,"206")</f>
        <v>0</v>
      </c>
      <c r="S134" s="46">
        <f>SUMIFS('07导出'!$G$2:$G$1860,'07导出'!$A$2:$A$1860,A134,'07导出'!$D$2:$D$1860,"20607")</f>
        <v>0</v>
      </c>
      <c r="T134" s="46">
        <f>SUMIFS('07导出'!$H$2:$H$1860,'07导出'!$A$2:$A$1860,A134,'07导出'!$D$2:$D$1860,"20607")</f>
        <v>0</v>
      </c>
      <c r="U134" s="46">
        <f>SUMIFS('07导出'!$G$2:$G$1860,'07导出'!$A$2:$A$1860,A134,'07导出'!$C$2:$C$1860,"208")</f>
        <v>2630217.88</v>
      </c>
      <c r="V134" s="46">
        <f>SUMIFS('07导出'!$H$2:$H$1860,'07导出'!$A$2:$A$1860,A134,'07导出'!$C$2:$C$1860,"208")</f>
        <v>2371086.3199999998</v>
      </c>
      <c r="W134" s="46">
        <f>SUMIFS('07导出'!$G$2:$G$1860,'07导出'!$A$2:$A$1860,A134,'07导出'!$D$2:$D$1860,"20805")</f>
        <v>2630217.88</v>
      </c>
      <c r="X134" s="46">
        <f>SUMIFS('07导出'!$H$2:$H$1860,'07导出'!$A$2:$A$1860,A134,'07导出'!$D$2:$D$1860,"20805")</f>
        <v>2371086.3199999998</v>
      </c>
      <c r="Y134" s="46">
        <f>SUMIFS('07导出'!$G$2:$G$1860,'07导出'!$A$2:$A$1860,A134,'07导出'!$D$2:$D$1860,"20808")</f>
        <v>0</v>
      </c>
      <c r="Z134" s="46">
        <f>SUMIFS('07导出'!$H$2:$H$1860,'07导出'!$A$2:$A$1860,A134,'07导出'!$D$2:$D$1860,"20808")</f>
        <v>0</v>
      </c>
      <c r="AA134" s="46">
        <f>SUMIFS('07导出'!$G$2:$G$1860,'07导出'!$A$2:$A$1860,A134,'07导出'!$C$2:$C$1860,"210")</f>
        <v>1280135.69</v>
      </c>
      <c r="AB134" s="46">
        <f>SUMIFS('07导出'!$H$2:$H$1860,'07导出'!$A$2:$A$1860,A134,'07导出'!$C$2:$C$1860,"210")</f>
        <v>1075623.3399999999</v>
      </c>
      <c r="AC134" s="46">
        <f>SUMIFS('07导出'!$G$2:$G$1860,'07导出'!$A$2:$A$1860,A134,'07导出'!$D$2:$D$1860,"21011")</f>
        <v>1280135.69</v>
      </c>
      <c r="AD134" s="46">
        <f>SUMIFS('07导出'!$H$2:$H$1860,'07导出'!$A$2:$A$1860,A134,'07导出'!$D$2:$D$1860,"21011")</f>
        <v>1075623.3399999999</v>
      </c>
      <c r="AE134" s="46">
        <f>SUMIFS('07导出'!$G$2:$G$1860,'07导出'!$A$2:$A$1860,A134,'07导出'!$C$2:$C$1860,"212")</f>
        <v>0</v>
      </c>
      <c r="AF134" s="46">
        <f>SUMIFS('07导出'!$H$2:$H$1860,'07导出'!$A$2:$A$1860,A134,'07导出'!$C$2:$C$1860,"212")</f>
        <v>0</v>
      </c>
      <c r="AG134" s="46">
        <f>SUMIFS('07导出'!$G$2:$G$1860,'07导出'!$A$2:$A$1860,A134,'07导出'!$D$2:$D$1860,"21203")</f>
        <v>0</v>
      </c>
      <c r="AH134" s="46">
        <f>SUMIFS('07导出'!$H$2:$H$1860,'07导出'!$A$2:$A$1860,A134,'07导出'!$D$2:$D$1860,"21203")</f>
        <v>0</v>
      </c>
      <c r="AI134" s="46">
        <f>SUMIFS('07导出'!$G$2:$G$1860,'07导出'!$A$2:$A$1860,A134,'07导出'!$C$2:$C$1860,"213")</f>
        <v>0</v>
      </c>
      <c r="AJ134" s="46">
        <f>SUMIFS('07导出'!$H$2:$H$1860,'07导出'!$A$2:$A$1860,A134,'07导出'!$C$2:$C$1860,"213")</f>
        <v>0</v>
      </c>
      <c r="AK134" s="46">
        <f>SUMIFS('07导出'!$G$2:$G$1860,'07导出'!$A$2:$A$1860,A134,'07导出'!$D$2:$D$1860,"21305")</f>
        <v>0</v>
      </c>
      <c r="AL134" s="46">
        <f>SUMIFS('07导出'!$H$2:$H$1860,'07导出'!$A$2:$A$1860,A134,'07导出'!$D$2:$D$1860,"21305")</f>
        <v>0</v>
      </c>
      <c r="AM134" s="46">
        <f>SUMIFS('07导出'!$G$2:$G$1860,'07导出'!$A$2:$A$1860,A134,'07导出'!$C$2:$C$1860,"221")</f>
        <v>2702102</v>
      </c>
      <c r="AN134" s="46">
        <f>SUMIFS('07导出'!$H$2:$H$1860,'07导出'!$A$2:$A$1860,A134,'07导出'!$C$2:$C$1860,"221")</f>
        <v>2488634.16</v>
      </c>
      <c r="AO134" s="46">
        <f>SUMIFS('07导出'!$G$2:$G$1860,'07导出'!$A$2:$A$1860,A134,'07导出'!$D$2:$D$1860,"22102")</f>
        <v>2702102</v>
      </c>
      <c r="AP134" s="46">
        <f>SUMIFS('07导出'!$H$2:$H$1860,'07导出'!$A$2:$A$1860,A134,'07导出'!$D$2:$D$1860,"22102")</f>
        <v>2488634.16</v>
      </c>
    </row>
    <row r="135" spans="1:42">
      <c r="A135" s="43">
        <v>255168</v>
      </c>
      <c r="B135" s="44" t="s">
        <v>134</v>
      </c>
      <c r="C135" s="45">
        <f>SUMIFS('07导出'!$G$2:$G$1860,'07导出'!$A$2:$A$1860,A135,'07导出'!$C$2:$C$1860,"205")</f>
        <v>9403294.0999999996</v>
      </c>
      <c r="D135" s="45">
        <f>SUMIFS('07导出'!$H$2:$H$1860,'07导出'!$A$2:$A$1860,A135,'07导出'!$C$2:$C$1860,"205")</f>
        <v>8581000.0300000012</v>
      </c>
      <c r="E135" s="46">
        <f>SUMIFS('07导出'!$G$2:$G$1860,'07导出'!$A$2:$A$1860,A135,'07导出'!$D$2:$D$1860,"20502")</f>
        <v>9157865.9100000001</v>
      </c>
      <c r="F135" s="46">
        <f>SUMIFS('07导出'!$H$2:$H$1860,'07导出'!$A$2:$A$1860,A135,'07导出'!$D$2:$D$1860,"20502")</f>
        <v>8305800.0300000003</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0</v>
      </c>
      <c r="N135" s="46">
        <f>SUMIFS('07导出'!$H$2:$H$1860,'07导出'!$A$2:$A$1860,A135,'07导出'!$D$2:$D$1860,"20508")</f>
        <v>27200</v>
      </c>
      <c r="O135" s="46">
        <f>SUMIFS('07导出'!$G$2:$G$1860,'07导出'!$A$2:$A$1860,A135,'07导出'!$D$2:$D$1860,"20509")</f>
        <v>245428.19</v>
      </c>
      <c r="P135" s="46">
        <f>SUMIFS('07导出'!$H$2:$H$1860,'07导出'!$A$2:$A$1860,A135,'07导出'!$D$2:$D$1860,"20509")</f>
        <v>248000</v>
      </c>
      <c r="Q135" s="46">
        <f>SUMIFS('07导出'!$G$2:$G$1860,'07导出'!$A$2:$A$1860,A135,'07导出'!$C$2:$C$1860,"206")</f>
        <v>0</v>
      </c>
      <c r="R135" s="46">
        <f>SUMIFS('07导出'!$H$2:$H$1860,'07导出'!$A$2:$A$1860,A135,'07导出'!$C$2:$C$1860,"206")</f>
        <v>0</v>
      </c>
      <c r="S135" s="46">
        <f>SUMIFS('07导出'!$G$2:$G$1860,'07导出'!$A$2:$A$1860,A135,'07导出'!$D$2:$D$1860,"20607")</f>
        <v>0</v>
      </c>
      <c r="T135" s="46">
        <f>SUMIFS('07导出'!$H$2:$H$1860,'07导出'!$A$2:$A$1860,A135,'07导出'!$D$2:$D$1860,"20607")</f>
        <v>0</v>
      </c>
      <c r="U135" s="46">
        <f>SUMIFS('07导出'!$G$2:$G$1860,'07导出'!$A$2:$A$1860,A135,'07导出'!$C$2:$C$1860,"208")</f>
        <v>1353488.8800000001</v>
      </c>
      <c r="V135" s="46">
        <f>SUMIFS('07导出'!$H$2:$H$1860,'07导出'!$A$2:$A$1860,A135,'07导出'!$C$2:$C$1860,"208")</f>
        <v>1344108.8800000001</v>
      </c>
      <c r="W135" s="46">
        <f>SUMIFS('07导出'!$G$2:$G$1860,'07导出'!$A$2:$A$1860,A135,'07导出'!$D$2:$D$1860,"20805")</f>
        <v>1353488.8800000001</v>
      </c>
      <c r="X135" s="46">
        <f>SUMIFS('07导出'!$H$2:$H$1860,'07导出'!$A$2:$A$1860,A135,'07导出'!$D$2:$D$1860,"20805")</f>
        <v>1344108.8800000001</v>
      </c>
      <c r="Y135" s="46">
        <f>SUMIFS('07导出'!$G$2:$G$1860,'07导出'!$A$2:$A$1860,A135,'07导出'!$D$2:$D$1860,"20808")</f>
        <v>0</v>
      </c>
      <c r="Z135" s="46">
        <f>SUMIFS('07导出'!$H$2:$H$1860,'07导出'!$A$2:$A$1860,A135,'07导出'!$D$2:$D$1860,"20808")</f>
        <v>0</v>
      </c>
      <c r="AA135" s="46">
        <f>SUMIFS('07导出'!$G$2:$G$1860,'07导出'!$A$2:$A$1860,A135,'07导出'!$C$2:$C$1860,"210")</f>
        <v>571627.81000000006</v>
      </c>
      <c r="AB135" s="46">
        <f>SUMIFS('07导出'!$H$2:$H$1860,'07导出'!$A$2:$A$1860,A135,'07导出'!$C$2:$C$1860,"210")</f>
        <v>571627.81000000006</v>
      </c>
      <c r="AC135" s="46">
        <f>SUMIFS('07导出'!$G$2:$G$1860,'07导出'!$A$2:$A$1860,A135,'07导出'!$D$2:$D$1860,"21011")</f>
        <v>571627.81000000006</v>
      </c>
      <c r="AD135" s="46">
        <f>SUMIFS('07导出'!$H$2:$H$1860,'07导出'!$A$2:$A$1860,A135,'07导出'!$D$2:$D$1860,"21011")</f>
        <v>571627.81000000006</v>
      </c>
      <c r="AE135" s="46">
        <f>SUMIFS('07导出'!$G$2:$G$1860,'07导出'!$A$2:$A$1860,A135,'07导出'!$C$2:$C$1860,"212")</f>
        <v>0</v>
      </c>
      <c r="AF135" s="46">
        <f>SUMIFS('07导出'!$H$2:$H$1860,'07导出'!$A$2:$A$1860,A135,'07导出'!$C$2:$C$1860,"212")</f>
        <v>0</v>
      </c>
      <c r="AG135" s="46">
        <f>SUMIFS('07导出'!$G$2:$G$1860,'07导出'!$A$2:$A$1860,A135,'07导出'!$D$2:$D$1860,"21203")</f>
        <v>0</v>
      </c>
      <c r="AH135" s="46">
        <f>SUMIFS('07导出'!$H$2:$H$1860,'07导出'!$A$2:$A$1860,A135,'07导出'!$D$2:$D$1860,"21203")</f>
        <v>0</v>
      </c>
      <c r="AI135" s="46">
        <f>SUMIFS('07导出'!$G$2:$G$1860,'07导出'!$A$2:$A$1860,A135,'07导出'!$C$2:$C$1860,"213")</f>
        <v>0</v>
      </c>
      <c r="AJ135" s="46">
        <f>SUMIFS('07导出'!$H$2:$H$1860,'07导出'!$A$2:$A$1860,A135,'07导出'!$C$2:$C$1860,"213")</f>
        <v>0</v>
      </c>
      <c r="AK135" s="46">
        <f>SUMIFS('07导出'!$G$2:$G$1860,'07导出'!$A$2:$A$1860,A135,'07导出'!$D$2:$D$1860,"21305")</f>
        <v>0</v>
      </c>
      <c r="AL135" s="46">
        <f>SUMIFS('07导出'!$H$2:$H$1860,'07导出'!$A$2:$A$1860,A135,'07导出'!$D$2:$D$1860,"21305")</f>
        <v>0</v>
      </c>
      <c r="AM135" s="46">
        <f>SUMIFS('07导出'!$G$2:$G$1860,'07导出'!$A$2:$A$1860,A135,'07导出'!$C$2:$C$1860,"221")</f>
        <v>1685763</v>
      </c>
      <c r="AN135" s="46">
        <f>SUMIFS('07导出'!$H$2:$H$1860,'07导出'!$A$2:$A$1860,A135,'07导出'!$C$2:$C$1860,"221")</f>
        <v>1692892.44</v>
      </c>
      <c r="AO135" s="46">
        <f>SUMIFS('07导出'!$G$2:$G$1860,'07导出'!$A$2:$A$1860,A135,'07导出'!$D$2:$D$1860,"22102")</f>
        <v>1685763</v>
      </c>
      <c r="AP135" s="46">
        <f>SUMIFS('07导出'!$H$2:$H$1860,'07导出'!$A$2:$A$1860,A135,'07导出'!$D$2:$D$1860,"22102")</f>
        <v>1692892.44</v>
      </c>
    </row>
    <row r="136" spans="1:42">
      <c r="A136" s="43">
        <v>255169</v>
      </c>
      <c r="B136" s="44" t="s">
        <v>135</v>
      </c>
      <c r="C136" s="45">
        <f>SUMIFS('07导出'!$G$2:$G$1860,'07导出'!$A$2:$A$1860,A136,'07导出'!$C$2:$C$1860,"205")</f>
        <v>10107443.98</v>
      </c>
      <c r="D136" s="45">
        <f>SUMIFS('07导出'!$H$2:$H$1860,'07导出'!$A$2:$A$1860,A136,'07导出'!$C$2:$C$1860,"205")</f>
        <v>8952829.2599999998</v>
      </c>
      <c r="E136" s="46">
        <f>SUMIFS('07导出'!$G$2:$G$1860,'07导出'!$A$2:$A$1860,A136,'07导出'!$D$2:$D$1860,"20502")</f>
        <v>9619186.4800000004</v>
      </c>
      <c r="F136" s="46">
        <f>SUMIFS('07导出'!$H$2:$H$1860,'07导出'!$A$2:$A$1860,A136,'07导出'!$D$2:$D$1860,"20502")</f>
        <v>8401219.2599999998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1607.5</v>
      </c>
      <c r="N136" s="46">
        <f>SUMIFS('07导出'!$H$2:$H$1860,'07导出'!$A$2:$A$1860,A136,'07导出'!$D$2:$D$1860,"20508")</f>
        <v>27200</v>
      </c>
      <c r="O136" s="46">
        <f>SUMIFS('07导出'!$G$2:$G$1860,'07导出'!$A$2:$A$1860,A136,'07导出'!$D$2:$D$1860,"20509")</f>
        <v>486650</v>
      </c>
      <c r="P136" s="46">
        <f>SUMIFS('07导出'!$H$2:$H$1860,'07导出'!$A$2:$A$1860,A136,'07导出'!$D$2:$D$1860,"20509")</f>
        <v>524410</v>
      </c>
      <c r="Q136" s="46">
        <f>SUMIFS('07导出'!$G$2:$G$1860,'07导出'!$A$2:$A$1860,A136,'07导出'!$C$2:$C$1860,"206")</f>
        <v>0</v>
      </c>
      <c r="R136" s="46">
        <f>SUMIFS('07导出'!$H$2:$H$1860,'07导出'!$A$2:$A$1860,A136,'07导出'!$C$2:$C$1860,"206")</f>
        <v>0</v>
      </c>
      <c r="S136" s="46">
        <f>SUMIFS('07导出'!$G$2:$G$1860,'07导出'!$A$2:$A$1860,A136,'07导出'!$D$2:$D$1860,"20607")</f>
        <v>0</v>
      </c>
      <c r="T136" s="46">
        <f>SUMIFS('07导出'!$H$2:$H$1860,'07导出'!$A$2:$A$1860,A136,'07导出'!$D$2:$D$1860,"20607")</f>
        <v>0</v>
      </c>
      <c r="U136" s="46">
        <f>SUMIFS('07导出'!$G$2:$G$1860,'07导出'!$A$2:$A$1860,A136,'07导出'!$C$2:$C$1860,"208")</f>
        <v>1238944.02</v>
      </c>
      <c r="V136" s="46">
        <f>SUMIFS('07导出'!$H$2:$H$1860,'07导出'!$A$2:$A$1860,A136,'07导出'!$C$2:$C$1860,"208")</f>
        <v>1424909.6</v>
      </c>
      <c r="W136" s="46">
        <f>SUMIFS('07导出'!$G$2:$G$1860,'07导出'!$A$2:$A$1860,A136,'07导出'!$D$2:$D$1860,"20805")</f>
        <v>1238944.02</v>
      </c>
      <c r="X136" s="46">
        <f>SUMIFS('07导出'!$H$2:$H$1860,'07导出'!$A$2:$A$1860,A136,'07导出'!$D$2:$D$1860,"20805")</f>
        <v>1424909.6</v>
      </c>
      <c r="Y136" s="46">
        <f>SUMIFS('07导出'!$G$2:$G$1860,'07导出'!$A$2:$A$1860,A136,'07导出'!$D$2:$D$1860,"20808")</f>
        <v>0</v>
      </c>
      <c r="Z136" s="46">
        <f>SUMIFS('07导出'!$H$2:$H$1860,'07导出'!$A$2:$A$1860,A136,'07导出'!$D$2:$D$1860,"20808")</f>
        <v>0</v>
      </c>
      <c r="AA136" s="46">
        <f>SUMIFS('07导出'!$G$2:$G$1860,'07导出'!$A$2:$A$1860,A136,'07导出'!$C$2:$C$1860,"210")</f>
        <v>638356.4</v>
      </c>
      <c r="AB136" s="46">
        <f>SUMIFS('07导出'!$H$2:$H$1860,'07导出'!$A$2:$A$1860,A136,'07导出'!$C$2:$C$1860,"210")</f>
        <v>626013.69999999995</v>
      </c>
      <c r="AC136" s="46">
        <f>SUMIFS('07导出'!$G$2:$G$1860,'07导出'!$A$2:$A$1860,A136,'07导出'!$D$2:$D$1860,"21011")</f>
        <v>638356.4</v>
      </c>
      <c r="AD136" s="46">
        <f>SUMIFS('07导出'!$H$2:$H$1860,'07导出'!$A$2:$A$1860,A136,'07导出'!$D$2:$D$1860,"21011")</f>
        <v>626013.69999999995</v>
      </c>
      <c r="AE136" s="46">
        <f>SUMIFS('07导出'!$G$2:$G$1860,'07导出'!$A$2:$A$1860,A136,'07导出'!$C$2:$C$1860,"212")</f>
        <v>0</v>
      </c>
      <c r="AF136" s="46">
        <f>SUMIFS('07导出'!$H$2:$H$1860,'07导出'!$A$2:$A$1860,A136,'07导出'!$C$2:$C$1860,"212")</f>
        <v>0</v>
      </c>
      <c r="AG136" s="46">
        <f>SUMIFS('07导出'!$G$2:$G$1860,'07导出'!$A$2:$A$1860,A136,'07导出'!$D$2:$D$1860,"21203")</f>
        <v>0</v>
      </c>
      <c r="AH136" s="46">
        <f>SUMIFS('07导出'!$H$2:$H$1860,'07导出'!$A$2:$A$1860,A136,'07导出'!$D$2:$D$1860,"21203")</f>
        <v>0</v>
      </c>
      <c r="AI136" s="46">
        <f>SUMIFS('07导出'!$G$2:$G$1860,'07导出'!$A$2:$A$1860,A136,'07导出'!$C$2:$C$1860,"213")</f>
        <v>0</v>
      </c>
      <c r="AJ136" s="46">
        <f>SUMIFS('07导出'!$H$2:$H$1860,'07导出'!$A$2:$A$1860,A136,'07导出'!$C$2:$C$1860,"213")</f>
        <v>0</v>
      </c>
      <c r="AK136" s="46">
        <f>SUMIFS('07导出'!$G$2:$G$1860,'07导出'!$A$2:$A$1860,A136,'07导出'!$D$2:$D$1860,"21305")</f>
        <v>0</v>
      </c>
      <c r="AL136" s="46">
        <f>SUMIFS('07导出'!$H$2:$H$1860,'07导出'!$A$2:$A$1860,A136,'07导出'!$D$2:$D$1860,"21305")</f>
        <v>0</v>
      </c>
      <c r="AM136" s="46">
        <f>SUMIFS('07导出'!$G$2:$G$1860,'07导出'!$A$2:$A$1860,A136,'07导出'!$C$2:$C$1860,"221")</f>
        <v>1826903</v>
      </c>
      <c r="AN136" s="46">
        <f>SUMIFS('07导出'!$H$2:$H$1860,'07导出'!$A$2:$A$1860,A136,'07导出'!$C$2:$C$1860,"221")</f>
        <v>1716718.8</v>
      </c>
      <c r="AO136" s="46">
        <f>SUMIFS('07导出'!$G$2:$G$1860,'07导出'!$A$2:$A$1860,A136,'07导出'!$D$2:$D$1860,"22102")</f>
        <v>1826903</v>
      </c>
      <c r="AP136" s="46">
        <f>SUMIFS('07导出'!$H$2:$H$1860,'07导出'!$A$2:$A$1860,A136,'07导出'!$D$2:$D$1860,"22102")</f>
        <v>1716718.8</v>
      </c>
    </row>
    <row r="137" spans="1:42">
      <c r="A137" s="43">
        <v>255170</v>
      </c>
      <c r="B137" s="44" t="s">
        <v>136</v>
      </c>
      <c r="C137" s="45">
        <f>SUMIFS('07导出'!$G$2:$G$1860,'07导出'!$A$2:$A$1860,A137,'07导出'!$C$2:$C$1860,"205")</f>
        <v>8716269.709999999</v>
      </c>
      <c r="D137" s="45">
        <f>SUMIFS('07导出'!$H$2:$H$1860,'07导出'!$A$2:$A$1860,A137,'07导出'!$C$2:$C$1860,"205")</f>
        <v>7798419.2300000004</v>
      </c>
      <c r="E137" s="46">
        <f>SUMIFS('07导出'!$G$2:$G$1860,'07导出'!$A$2:$A$1860,A137,'07导出'!$D$2:$D$1860,"20502")</f>
        <v>8456306.5999999996</v>
      </c>
      <c r="F137" s="46">
        <f>SUMIFS('07导出'!$H$2:$H$1860,'07导出'!$A$2:$A$1860,A137,'07导出'!$D$2:$D$1860,"20502")</f>
        <v>7525619.2300000004</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12400</v>
      </c>
      <c r="N137" s="46">
        <f>SUMIFS('07导出'!$H$2:$H$1860,'07导出'!$A$2:$A$1860,A137,'07导出'!$D$2:$D$1860,"20508")</f>
        <v>24800</v>
      </c>
      <c r="O137" s="46">
        <f>SUMIFS('07导出'!$G$2:$G$1860,'07导出'!$A$2:$A$1860,A137,'07导出'!$D$2:$D$1860,"20509")</f>
        <v>247563.11</v>
      </c>
      <c r="P137" s="46">
        <f>SUMIFS('07导出'!$H$2:$H$1860,'07导出'!$A$2:$A$1860,A137,'07导出'!$D$2:$D$1860,"20509")</f>
        <v>248000</v>
      </c>
      <c r="Q137" s="46">
        <f>SUMIFS('07导出'!$G$2:$G$1860,'07导出'!$A$2:$A$1860,A137,'07导出'!$C$2:$C$1860,"206")</f>
        <v>0</v>
      </c>
      <c r="R137" s="46">
        <f>SUMIFS('07导出'!$H$2:$H$1860,'07导出'!$A$2:$A$1860,A137,'07导出'!$C$2:$C$1860,"206")</f>
        <v>0</v>
      </c>
      <c r="S137" s="46">
        <f>SUMIFS('07导出'!$G$2:$G$1860,'07导出'!$A$2:$A$1860,A137,'07导出'!$D$2:$D$1860,"20607")</f>
        <v>0</v>
      </c>
      <c r="T137" s="46">
        <f>SUMIFS('07导出'!$H$2:$H$1860,'07导出'!$A$2:$A$1860,A137,'07导出'!$D$2:$D$1860,"20607")</f>
        <v>0</v>
      </c>
      <c r="U137" s="46">
        <f>SUMIFS('07导出'!$G$2:$G$1860,'07导出'!$A$2:$A$1860,A137,'07导出'!$C$2:$C$1860,"208")</f>
        <v>1143667.6000000001</v>
      </c>
      <c r="V137" s="46">
        <f>SUMIFS('07导出'!$H$2:$H$1860,'07导出'!$A$2:$A$1860,A137,'07导出'!$C$2:$C$1860,"208")</f>
        <v>1325566.7999999998</v>
      </c>
      <c r="W137" s="46">
        <f>SUMIFS('07导出'!$G$2:$G$1860,'07导出'!$A$2:$A$1860,A137,'07导出'!$D$2:$D$1860,"20805")</f>
        <v>1143667.6000000001</v>
      </c>
      <c r="X137" s="46">
        <f>SUMIFS('07导出'!$H$2:$H$1860,'07导出'!$A$2:$A$1860,A137,'07导出'!$D$2:$D$1860,"20805")</f>
        <v>1325566.7999999998</v>
      </c>
      <c r="Y137" s="46">
        <f>SUMIFS('07导出'!$G$2:$G$1860,'07导出'!$A$2:$A$1860,A137,'07导出'!$D$2:$D$1860,"20808")</f>
        <v>0</v>
      </c>
      <c r="Z137" s="46">
        <f>SUMIFS('07导出'!$H$2:$H$1860,'07导出'!$A$2:$A$1860,A137,'07导出'!$D$2:$D$1860,"20808")</f>
        <v>0</v>
      </c>
      <c r="AA137" s="46">
        <f>SUMIFS('07导出'!$G$2:$G$1860,'07导出'!$A$2:$A$1860,A137,'07导出'!$C$2:$C$1860,"210")</f>
        <v>558212.63</v>
      </c>
      <c r="AB137" s="46">
        <f>SUMIFS('07导出'!$H$2:$H$1860,'07导出'!$A$2:$A$1860,A137,'07导出'!$C$2:$C$1860,"210")</f>
        <v>555372.35</v>
      </c>
      <c r="AC137" s="46">
        <f>SUMIFS('07导出'!$G$2:$G$1860,'07导出'!$A$2:$A$1860,A137,'07导出'!$D$2:$D$1860,"21011")</f>
        <v>558212.63</v>
      </c>
      <c r="AD137" s="46">
        <f>SUMIFS('07导出'!$H$2:$H$1860,'07导出'!$A$2:$A$1860,A137,'07导出'!$D$2:$D$1860,"21011")</f>
        <v>555372.35</v>
      </c>
      <c r="AE137" s="46">
        <f>SUMIFS('07导出'!$G$2:$G$1860,'07导出'!$A$2:$A$1860,A137,'07导出'!$C$2:$C$1860,"212")</f>
        <v>0</v>
      </c>
      <c r="AF137" s="46">
        <f>SUMIFS('07导出'!$H$2:$H$1860,'07导出'!$A$2:$A$1860,A137,'07导出'!$C$2:$C$1860,"212")</f>
        <v>0</v>
      </c>
      <c r="AG137" s="46">
        <f>SUMIFS('07导出'!$G$2:$G$1860,'07导出'!$A$2:$A$1860,A137,'07导出'!$D$2:$D$1860,"21203")</f>
        <v>0</v>
      </c>
      <c r="AH137" s="46">
        <f>SUMIFS('07导出'!$H$2:$H$1860,'07导出'!$A$2:$A$1860,A137,'07导出'!$D$2:$D$1860,"21203")</f>
        <v>0</v>
      </c>
      <c r="AI137" s="46">
        <f>SUMIFS('07导出'!$G$2:$G$1860,'07导出'!$A$2:$A$1860,A137,'07导出'!$C$2:$C$1860,"213")</f>
        <v>0</v>
      </c>
      <c r="AJ137" s="46">
        <f>SUMIFS('07导出'!$H$2:$H$1860,'07导出'!$A$2:$A$1860,A137,'07导出'!$C$2:$C$1860,"213")</f>
        <v>0</v>
      </c>
      <c r="AK137" s="46">
        <f>SUMIFS('07导出'!$G$2:$G$1860,'07导出'!$A$2:$A$1860,A137,'07导出'!$D$2:$D$1860,"21305")</f>
        <v>0</v>
      </c>
      <c r="AL137" s="46">
        <f>SUMIFS('07导出'!$H$2:$H$1860,'07导出'!$A$2:$A$1860,A137,'07导出'!$D$2:$D$1860,"21305")</f>
        <v>0</v>
      </c>
      <c r="AM137" s="46">
        <f>SUMIFS('07导出'!$G$2:$G$1860,'07导出'!$A$2:$A$1860,A137,'07导出'!$C$2:$C$1860,"221")</f>
        <v>1424456</v>
      </c>
      <c r="AN137" s="46">
        <f>SUMIFS('07导出'!$H$2:$H$1860,'07导出'!$A$2:$A$1860,A137,'07导出'!$C$2:$C$1860,"221")</f>
        <v>1469243.4</v>
      </c>
      <c r="AO137" s="46">
        <f>SUMIFS('07导出'!$G$2:$G$1860,'07导出'!$A$2:$A$1860,A137,'07导出'!$D$2:$D$1860,"22102")</f>
        <v>1424456</v>
      </c>
      <c r="AP137" s="46">
        <f>SUMIFS('07导出'!$H$2:$H$1860,'07导出'!$A$2:$A$1860,A137,'07导出'!$D$2:$D$1860,"22102")</f>
        <v>1469243.4</v>
      </c>
    </row>
    <row r="138" spans="1:42">
      <c r="A138" s="43">
        <v>255171</v>
      </c>
      <c r="B138" s="44" t="s">
        <v>137</v>
      </c>
      <c r="C138" s="45">
        <f>SUMIFS('07导出'!$G$2:$G$1860,'07导出'!$A$2:$A$1860,A138,'07导出'!$C$2:$C$1860,"205")</f>
        <v>18401414.850000001</v>
      </c>
      <c r="D138" s="45">
        <f>SUMIFS('07导出'!$H$2:$H$1860,'07导出'!$A$2:$A$1860,A138,'07导出'!$C$2:$C$1860,"205")</f>
        <v>20061255.420000002</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18338438.050000001</v>
      </c>
      <c r="J138" s="46">
        <f>SUMIFS('07导出'!$H$2:$H$1860,'07导出'!$A$2:$A$1860,A138,'07导出'!$D$2:$D$1860,"20504")</f>
        <v>17556855.420000002</v>
      </c>
      <c r="K138" s="46">
        <f>SUMIFS('07导出'!$G$2:$G$1860,'07导出'!$A$2:$A$1860,A138,'07导出'!$D$2:$D$1860,"20507")</f>
        <v>0</v>
      </c>
      <c r="L138" s="46">
        <f>SUMIFS('07导出'!$H$2:$H$1860,'07导出'!$A$2:$A$1860,A138,'07导出'!$D$2:$D$1860,"20507")</f>
        <v>0</v>
      </c>
      <c r="M138" s="46">
        <f>SUMIFS('07导出'!$G$2:$G$1860,'07导出'!$A$2:$A$1860,A138,'07导出'!$D$2:$D$1860,"20508")</f>
        <v>13380</v>
      </c>
      <c r="N138" s="46">
        <f>SUMIFS('07导出'!$H$2:$H$1860,'07导出'!$A$2:$A$1860,A138,'07导出'!$D$2:$D$1860,"20508")</f>
        <v>54400</v>
      </c>
      <c r="O138" s="46">
        <f>SUMIFS('07导出'!$G$2:$G$1860,'07导出'!$A$2:$A$1860,A138,'07导出'!$D$2:$D$1860,"20509")</f>
        <v>49596.800000000003</v>
      </c>
      <c r="P138" s="46">
        <f>SUMIFS('07导出'!$H$2:$H$1860,'07导出'!$A$2:$A$1860,A138,'07导出'!$D$2:$D$1860,"20509")</f>
        <v>2450000</v>
      </c>
      <c r="Q138" s="46">
        <f>SUMIFS('07导出'!$G$2:$G$1860,'07导出'!$A$2:$A$1860,A138,'07导出'!$C$2:$C$1860,"206")</f>
        <v>0</v>
      </c>
      <c r="R138" s="46">
        <f>SUMIFS('07导出'!$H$2:$H$1860,'07导出'!$A$2:$A$1860,A138,'07导出'!$C$2:$C$1860,"206")</f>
        <v>0</v>
      </c>
      <c r="S138" s="46">
        <f>SUMIFS('07导出'!$G$2:$G$1860,'07导出'!$A$2:$A$1860,A138,'07导出'!$D$2:$D$1860,"20607")</f>
        <v>0</v>
      </c>
      <c r="T138" s="46">
        <f>SUMIFS('07导出'!$H$2:$H$1860,'07导出'!$A$2:$A$1860,A138,'07导出'!$D$2:$D$1860,"20607")</f>
        <v>0</v>
      </c>
      <c r="U138" s="46">
        <f>SUMIFS('07导出'!$G$2:$G$1860,'07导出'!$A$2:$A$1860,A138,'07导出'!$C$2:$C$1860,"208")</f>
        <v>4363112.38</v>
      </c>
      <c r="V138" s="46">
        <f>SUMIFS('07导出'!$H$2:$H$1860,'07导出'!$A$2:$A$1860,A138,'07导出'!$C$2:$C$1860,"208")</f>
        <v>4589382.08</v>
      </c>
      <c r="W138" s="46">
        <f>SUMIFS('07导出'!$G$2:$G$1860,'07导出'!$A$2:$A$1860,A138,'07导出'!$D$2:$D$1860,"20805")</f>
        <v>4363112.38</v>
      </c>
      <c r="X138" s="46">
        <f>SUMIFS('07导出'!$H$2:$H$1860,'07导出'!$A$2:$A$1860,A138,'07导出'!$D$2:$D$1860,"20805")</f>
        <v>4589382.08</v>
      </c>
      <c r="Y138" s="46">
        <f>SUMIFS('07导出'!$G$2:$G$1860,'07导出'!$A$2:$A$1860,A138,'07导出'!$D$2:$D$1860,"20808")</f>
        <v>0</v>
      </c>
      <c r="Z138" s="46">
        <f>SUMIFS('07导出'!$H$2:$H$1860,'07导出'!$A$2:$A$1860,A138,'07导出'!$D$2:$D$1860,"20808")</f>
        <v>0</v>
      </c>
      <c r="AA138" s="46">
        <f>SUMIFS('07导出'!$G$2:$G$1860,'07导出'!$A$2:$A$1860,A138,'07导出'!$C$2:$C$1860,"210")</f>
        <v>1870103.9</v>
      </c>
      <c r="AB138" s="46">
        <f>SUMIFS('07导出'!$H$2:$H$1860,'07导出'!$A$2:$A$1860,A138,'07导出'!$C$2:$C$1860,"210")</f>
        <v>1754001.96</v>
      </c>
      <c r="AC138" s="46">
        <f>SUMIFS('07导出'!$G$2:$G$1860,'07导出'!$A$2:$A$1860,A138,'07导出'!$D$2:$D$1860,"21011")</f>
        <v>1870103.9</v>
      </c>
      <c r="AD138" s="46">
        <f>SUMIFS('07导出'!$H$2:$H$1860,'07导出'!$A$2:$A$1860,A138,'07导出'!$D$2:$D$1860,"21011")</f>
        <v>1754001.96</v>
      </c>
      <c r="AE138" s="46">
        <f>SUMIFS('07导出'!$G$2:$G$1860,'07导出'!$A$2:$A$1860,A138,'07导出'!$C$2:$C$1860,"212")</f>
        <v>0</v>
      </c>
      <c r="AF138" s="46">
        <f>SUMIFS('07导出'!$H$2:$H$1860,'07导出'!$A$2:$A$1860,A138,'07导出'!$C$2:$C$1860,"212")</f>
        <v>0</v>
      </c>
      <c r="AG138" s="46">
        <f>SUMIFS('07导出'!$G$2:$G$1860,'07导出'!$A$2:$A$1860,A138,'07导出'!$D$2:$D$1860,"21203")</f>
        <v>0</v>
      </c>
      <c r="AH138" s="46">
        <f>SUMIFS('07导出'!$H$2:$H$1860,'07导出'!$A$2:$A$1860,A138,'07导出'!$D$2:$D$1860,"21203")</f>
        <v>0</v>
      </c>
      <c r="AI138" s="46">
        <f>SUMIFS('07导出'!$G$2:$G$1860,'07导出'!$A$2:$A$1860,A138,'07导出'!$C$2:$C$1860,"213")</f>
        <v>0</v>
      </c>
      <c r="AJ138" s="46">
        <f>SUMIFS('07导出'!$H$2:$H$1860,'07导出'!$A$2:$A$1860,A138,'07导出'!$C$2:$C$1860,"213")</f>
        <v>0</v>
      </c>
      <c r="AK138" s="46">
        <f>SUMIFS('07导出'!$G$2:$G$1860,'07导出'!$A$2:$A$1860,A138,'07导出'!$D$2:$D$1860,"21305")</f>
        <v>0</v>
      </c>
      <c r="AL138" s="46">
        <f>SUMIFS('07导出'!$H$2:$H$1860,'07导出'!$A$2:$A$1860,A138,'07导出'!$D$2:$D$1860,"21305")</f>
        <v>0</v>
      </c>
      <c r="AM138" s="46">
        <f>SUMIFS('07导出'!$G$2:$G$1860,'07导出'!$A$2:$A$1860,A138,'07导出'!$C$2:$C$1860,"221")</f>
        <v>3436762</v>
      </c>
      <c r="AN138" s="46">
        <f>SUMIFS('07导出'!$H$2:$H$1860,'07导出'!$A$2:$A$1860,A138,'07导出'!$C$2:$C$1860,"221")</f>
        <v>3408083.04</v>
      </c>
      <c r="AO138" s="46">
        <f>SUMIFS('07导出'!$G$2:$G$1860,'07导出'!$A$2:$A$1860,A138,'07导出'!$D$2:$D$1860,"22102")</f>
        <v>3436762</v>
      </c>
      <c r="AP138" s="46">
        <f>SUMIFS('07导出'!$H$2:$H$1860,'07导出'!$A$2:$A$1860,A138,'07导出'!$D$2:$D$1860,"22102")</f>
        <v>3408083.04</v>
      </c>
    </row>
    <row r="139" spans="1:42">
      <c r="A139" s="43">
        <v>255172</v>
      </c>
      <c r="B139" s="44" t="s">
        <v>138</v>
      </c>
      <c r="C139" s="45">
        <f>SUMIFS('07导出'!$G$2:$G$1860,'07导出'!$A$2:$A$1860,A139,'07导出'!$C$2:$C$1860,"205")</f>
        <v>7639032.5099999998</v>
      </c>
      <c r="D139" s="45">
        <f>SUMIFS('07导出'!$H$2:$H$1860,'07导出'!$A$2:$A$1860,A139,'07导出'!$C$2:$C$1860,"205")</f>
        <v>7273511.46</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6795847.5099999998</v>
      </c>
      <c r="J139" s="46">
        <f>SUMIFS('07导出'!$H$2:$H$1860,'07导出'!$A$2:$A$1860,A139,'07导出'!$D$2:$D$1860,"20504")</f>
        <v>6413031.46</v>
      </c>
      <c r="K139" s="46">
        <f>SUMIFS('07导出'!$G$2:$G$1860,'07导出'!$A$2:$A$1860,A139,'07导出'!$D$2:$D$1860,"20507")</f>
        <v>0</v>
      </c>
      <c r="L139" s="46">
        <f>SUMIFS('07导出'!$H$2:$H$1860,'07导出'!$A$2:$A$1860,A139,'07导出'!$D$2:$D$1860,"20507")</f>
        <v>0</v>
      </c>
      <c r="M139" s="46">
        <f>SUMIFS('07导出'!$G$2:$G$1860,'07导出'!$A$2:$A$1860,A139,'07导出'!$D$2:$D$1860,"20508")</f>
        <v>1905</v>
      </c>
      <c r="N139" s="46">
        <f>SUMIFS('07导出'!$H$2:$H$1860,'07导出'!$A$2:$A$1860,A139,'07导出'!$D$2:$D$1860,"20508")</f>
        <v>19200</v>
      </c>
      <c r="O139" s="46">
        <f>SUMIFS('07导出'!$G$2:$G$1860,'07导出'!$A$2:$A$1860,A139,'07导出'!$D$2:$D$1860,"20509")</f>
        <v>841280</v>
      </c>
      <c r="P139" s="46">
        <f>SUMIFS('07导出'!$H$2:$H$1860,'07导出'!$A$2:$A$1860,A139,'07导出'!$D$2:$D$1860,"20509")</f>
        <v>841280</v>
      </c>
      <c r="Q139" s="46">
        <f>SUMIFS('07导出'!$G$2:$G$1860,'07导出'!$A$2:$A$1860,A139,'07导出'!$C$2:$C$1860,"206")</f>
        <v>0</v>
      </c>
      <c r="R139" s="46">
        <f>SUMIFS('07导出'!$H$2:$H$1860,'07导出'!$A$2:$A$1860,A139,'07导出'!$C$2:$C$1860,"206")</f>
        <v>0</v>
      </c>
      <c r="S139" s="46">
        <f>SUMIFS('07导出'!$G$2:$G$1860,'07导出'!$A$2:$A$1860,A139,'07导出'!$D$2:$D$1860,"20607")</f>
        <v>0</v>
      </c>
      <c r="T139" s="46">
        <f>SUMIFS('07导出'!$H$2:$H$1860,'07导出'!$A$2:$A$1860,A139,'07导出'!$D$2:$D$1860,"20607")</f>
        <v>0</v>
      </c>
      <c r="U139" s="46">
        <f>SUMIFS('07导出'!$G$2:$G$1860,'07导出'!$A$2:$A$1860,A139,'07导出'!$C$2:$C$1860,"208")</f>
        <v>1083414.48</v>
      </c>
      <c r="V139" s="46">
        <f>SUMIFS('07导出'!$H$2:$H$1860,'07导出'!$A$2:$A$1860,A139,'07导出'!$C$2:$C$1860,"208")</f>
        <v>1083654.48</v>
      </c>
      <c r="W139" s="46">
        <f>SUMIFS('07导出'!$G$2:$G$1860,'07导出'!$A$2:$A$1860,A139,'07导出'!$D$2:$D$1860,"20805")</f>
        <v>1083414.48</v>
      </c>
      <c r="X139" s="46">
        <f>SUMIFS('07导出'!$H$2:$H$1860,'07导出'!$A$2:$A$1860,A139,'07导出'!$D$2:$D$1860,"20805")</f>
        <v>1083654.48</v>
      </c>
      <c r="Y139" s="46">
        <f>SUMIFS('07导出'!$G$2:$G$1860,'07导出'!$A$2:$A$1860,A139,'07导出'!$D$2:$D$1860,"20808")</f>
        <v>0</v>
      </c>
      <c r="Z139" s="46">
        <f>SUMIFS('07导出'!$H$2:$H$1860,'07导出'!$A$2:$A$1860,A139,'07导出'!$D$2:$D$1860,"20808")</f>
        <v>0</v>
      </c>
      <c r="AA139" s="46">
        <f>SUMIFS('07导出'!$G$2:$G$1860,'07导出'!$A$2:$A$1860,A139,'07导出'!$C$2:$C$1860,"210")</f>
        <v>465601.76</v>
      </c>
      <c r="AB139" s="46">
        <f>SUMIFS('07导出'!$H$2:$H$1860,'07导出'!$A$2:$A$1860,A139,'07导出'!$C$2:$C$1860,"210")</f>
        <v>465601.76</v>
      </c>
      <c r="AC139" s="46">
        <f>SUMIFS('07导出'!$G$2:$G$1860,'07导出'!$A$2:$A$1860,A139,'07导出'!$D$2:$D$1860,"21011")</f>
        <v>465601.76</v>
      </c>
      <c r="AD139" s="46">
        <f>SUMIFS('07导出'!$H$2:$H$1860,'07导出'!$A$2:$A$1860,A139,'07导出'!$D$2:$D$1860,"21011")</f>
        <v>465601.76</v>
      </c>
      <c r="AE139" s="46">
        <f>SUMIFS('07导出'!$G$2:$G$1860,'07导出'!$A$2:$A$1860,A139,'07导出'!$C$2:$C$1860,"212")</f>
        <v>0</v>
      </c>
      <c r="AF139" s="46">
        <f>SUMIFS('07导出'!$H$2:$H$1860,'07导出'!$A$2:$A$1860,A139,'07导出'!$C$2:$C$1860,"212")</f>
        <v>0</v>
      </c>
      <c r="AG139" s="46">
        <f>SUMIFS('07导出'!$G$2:$G$1860,'07导出'!$A$2:$A$1860,A139,'07导出'!$D$2:$D$1860,"21203")</f>
        <v>0</v>
      </c>
      <c r="AH139" s="46">
        <f>SUMIFS('07导出'!$H$2:$H$1860,'07导出'!$A$2:$A$1860,A139,'07导出'!$D$2:$D$1860,"21203")</f>
        <v>0</v>
      </c>
      <c r="AI139" s="46">
        <f>SUMIFS('07导出'!$G$2:$G$1860,'07导出'!$A$2:$A$1860,A139,'07导出'!$C$2:$C$1860,"213")</f>
        <v>0</v>
      </c>
      <c r="AJ139" s="46">
        <f>SUMIFS('07导出'!$H$2:$H$1860,'07导出'!$A$2:$A$1860,A139,'07导出'!$C$2:$C$1860,"213")</f>
        <v>0</v>
      </c>
      <c r="AK139" s="46">
        <f>SUMIFS('07导出'!$G$2:$G$1860,'07导出'!$A$2:$A$1860,A139,'07导出'!$D$2:$D$1860,"21305")</f>
        <v>0</v>
      </c>
      <c r="AL139" s="46">
        <f>SUMIFS('07导出'!$H$2:$H$1860,'07导出'!$A$2:$A$1860,A139,'07导出'!$D$2:$D$1860,"21305")</f>
        <v>0</v>
      </c>
      <c r="AM139" s="46">
        <f>SUMIFS('07导出'!$G$2:$G$1860,'07导出'!$A$2:$A$1860,A139,'07导出'!$C$2:$C$1860,"221")</f>
        <v>1249874</v>
      </c>
      <c r="AN139" s="46">
        <f>SUMIFS('07导出'!$H$2:$H$1860,'07导出'!$A$2:$A$1860,A139,'07导出'!$C$2:$C$1860,"221")</f>
        <v>1230930.24</v>
      </c>
      <c r="AO139" s="46">
        <f>SUMIFS('07导出'!$G$2:$G$1860,'07导出'!$A$2:$A$1860,A139,'07导出'!$D$2:$D$1860,"22102")</f>
        <v>1249874</v>
      </c>
      <c r="AP139" s="46">
        <f>SUMIFS('07导出'!$H$2:$H$1860,'07导出'!$A$2:$A$1860,A139,'07导出'!$D$2:$D$1860,"22102")</f>
        <v>1230930.24</v>
      </c>
    </row>
    <row r="140" spans="1:42">
      <c r="A140" s="43">
        <v>255173</v>
      </c>
      <c r="B140" s="44" t="s">
        <v>139</v>
      </c>
      <c r="C140" s="45">
        <f>SUMIFS('07导出'!$G$2:$G$1860,'07导出'!$A$2:$A$1860,A140,'07导出'!$C$2:$C$1860,"205")</f>
        <v>24680607.59</v>
      </c>
      <c r="D140" s="45">
        <f>SUMIFS('07导出'!$H$2:$H$1860,'07导出'!$A$2:$A$1860,A140,'07导出'!$C$2:$C$1860,"205")</f>
        <v>24031992.550000001</v>
      </c>
      <c r="E140" s="46">
        <f>SUMIFS('07导出'!$G$2:$G$1860,'07导出'!$A$2:$A$1860,A140,'07导出'!$D$2:$D$1860,"20502")</f>
        <v>821507.2</v>
      </c>
      <c r="F140" s="46">
        <f>SUMIFS('07导出'!$H$2:$H$1860,'07导出'!$A$2:$A$1860,A140,'07导出'!$D$2:$D$1860,"20502")</f>
        <v>897900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23118674.390000001</v>
      </c>
      <c r="N140" s="46">
        <f>SUMIFS('07导出'!$H$2:$H$1860,'07导出'!$A$2:$A$1860,A140,'07导出'!$D$2:$D$1860,"20508")</f>
        <v>22393296.550000001</v>
      </c>
      <c r="O140" s="46">
        <f>SUMIFS('07导出'!$G$2:$G$1860,'07导出'!$A$2:$A$1860,A140,'07导出'!$D$2:$D$1860,"20509")</f>
        <v>740426</v>
      </c>
      <c r="P140" s="46">
        <f>SUMIFS('07导出'!$H$2:$H$1860,'07导出'!$A$2:$A$1860,A140,'07导出'!$D$2:$D$1860,"20509")</f>
        <v>740796</v>
      </c>
      <c r="Q140" s="46">
        <f>SUMIFS('07导出'!$G$2:$G$1860,'07导出'!$A$2:$A$1860,A140,'07导出'!$C$2:$C$1860,"206")</f>
        <v>0</v>
      </c>
      <c r="R140" s="46">
        <f>SUMIFS('07导出'!$H$2:$H$1860,'07导出'!$A$2:$A$1860,A140,'07导出'!$C$2:$C$1860,"206")</f>
        <v>0</v>
      </c>
      <c r="S140" s="46">
        <f>SUMIFS('07导出'!$G$2:$G$1860,'07导出'!$A$2:$A$1860,A140,'07导出'!$D$2:$D$1860,"20607")</f>
        <v>0</v>
      </c>
      <c r="T140" s="46">
        <f>SUMIFS('07导出'!$H$2:$H$1860,'07导出'!$A$2:$A$1860,A140,'07导出'!$D$2:$D$1860,"20607")</f>
        <v>0</v>
      </c>
      <c r="U140" s="46">
        <f>SUMIFS('07导出'!$G$2:$G$1860,'07导出'!$A$2:$A$1860,A140,'07导出'!$C$2:$C$1860,"208")</f>
        <v>8296702.9600000009</v>
      </c>
      <c r="V140" s="46">
        <f>SUMIFS('07导出'!$H$2:$H$1860,'07导出'!$A$2:$A$1860,A140,'07导出'!$C$2:$C$1860,"208")</f>
        <v>8340325.0399999991</v>
      </c>
      <c r="W140" s="46">
        <f>SUMIFS('07导出'!$G$2:$G$1860,'07导出'!$A$2:$A$1860,A140,'07导出'!$D$2:$D$1860,"20805")</f>
        <v>8296702.9600000009</v>
      </c>
      <c r="X140" s="46">
        <f>SUMIFS('07导出'!$H$2:$H$1860,'07导出'!$A$2:$A$1860,A140,'07导出'!$D$2:$D$1860,"20805")</f>
        <v>8340325.0399999991</v>
      </c>
      <c r="Y140" s="46">
        <f>SUMIFS('07导出'!$G$2:$G$1860,'07导出'!$A$2:$A$1860,A140,'07导出'!$D$2:$D$1860,"20808")</f>
        <v>0</v>
      </c>
      <c r="Z140" s="46">
        <f>SUMIFS('07导出'!$H$2:$H$1860,'07导出'!$A$2:$A$1860,A140,'07导出'!$D$2:$D$1860,"20808")</f>
        <v>0</v>
      </c>
      <c r="AA140" s="46">
        <f>SUMIFS('07导出'!$G$2:$G$1860,'07导出'!$A$2:$A$1860,A140,'07导出'!$C$2:$C$1860,"210")</f>
        <v>2074375.22</v>
      </c>
      <c r="AB140" s="46">
        <f>SUMIFS('07导出'!$H$2:$H$1860,'07导出'!$A$2:$A$1860,A140,'07导出'!$C$2:$C$1860,"210")</f>
        <v>2958260.48</v>
      </c>
      <c r="AC140" s="46">
        <f>SUMIFS('07导出'!$G$2:$G$1860,'07导出'!$A$2:$A$1860,A140,'07导出'!$D$2:$D$1860,"21011")</f>
        <v>2074375.22</v>
      </c>
      <c r="AD140" s="46">
        <f>SUMIFS('07导出'!$H$2:$H$1860,'07导出'!$A$2:$A$1860,A140,'07导出'!$D$2:$D$1860,"21011")</f>
        <v>2958260.48</v>
      </c>
      <c r="AE140" s="46">
        <f>SUMIFS('07导出'!$G$2:$G$1860,'07导出'!$A$2:$A$1860,A140,'07导出'!$C$2:$C$1860,"212")</f>
        <v>0</v>
      </c>
      <c r="AF140" s="46">
        <f>SUMIFS('07导出'!$H$2:$H$1860,'07导出'!$A$2:$A$1860,A140,'07导出'!$C$2:$C$1860,"212")</f>
        <v>0</v>
      </c>
      <c r="AG140" s="46">
        <f>SUMIFS('07导出'!$G$2:$G$1860,'07导出'!$A$2:$A$1860,A140,'07导出'!$D$2:$D$1860,"21203")</f>
        <v>0</v>
      </c>
      <c r="AH140" s="46">
        <f>SUMIFS('07导出'!$H$2:$H$1860,'07导出'!$A$2:$A$1860,A140,'07导出'!$D$2:$D$1860,"21203")</f>
        <v>0</v>
      </c>
      <c r="AI140" s="46">
        <f>SUMIFS('07导出'!$G$2:$G$1860,'07导出'!$A$2:$A$1860,A140,'07导出'!$C$2:$C$1860,"213")</f>
        <v>0</v>
      </c>
      <c r="AJ140" s="46">
        <f>SUMIFS('07导出'!$H$2:$H$1860,'07导出'!$A$2:$A$1860,A140,'07导出'!$C$2:$C$1860,"213")</f>
        <v>0</v>
      </c>
      <c r="AK140" s="46">
        <f>SUMIFS('07导出'!$G$2:$G$1860,'07导出'!$A$2:$A$1860,A140,'07导出'!$D$2:$D$1860,"21305")</f>
        <v>0</v>
      </c>
      <c r="AL140" s="46">
        <f>SUMIFS('07导出'!$H$2:$H$1860,'07导出'!$A$2:$A$1860,A140,'07导出'!$D$2:$D$1860,"21305")</f>
        <v>0</v>
      </c>
      <c r="AM140" s="46">
        <f>SUMIFS('07导出'!$G$2:$G$1860,'07导出'!$A$2:$A$1860,A140,'07导出'!$C$2:$C$1860,"221")</f>
        <v>3135781</v>
      </c>
      <c r="AN140" s="46">
        <f>SUMIFS('07导出'!$H$2:$H$1860,'07导出'!$A$2:$A$1860,A140,'07导出'!$C$2:$C$1860,"221")</f>
        <v>3901583.52</v>
      </c>
      <c r="AO140" s="46">
        <f>SUMIFS('07导出'!$G$2:$G$1860,'07导出'!$A$2:$A$1860,A140,'07导出'!$D$2:$D$1860,"22102")</f>
        <v>3135781</v>
      </c>
      <c r="AP140" s="46">
        <f>SUMIFS('07导出'!$H$2:$H$1860,'07导出'!$A$2:$A$1860,A140,'07导出'!$D$2:$D$1860,"22102")</f>
        <v>3901583.52</v>
      </c>
    </row>
    <row r="141" spans="1:42">
      <c r="A141" s="43">
        <v>255175</v>
      </c>
      <c r="B141" s="44" t="s">
        <v>140</v>
      </c>
      <c r="C141" s="45">
        <f>SUMIFS('07导出'!$G$2:$G$1860,'07导出'!$A$2:$A$1860,A141,'07导出'!$C$2:$C$1860,"205")</f>
        <v>15694513.1</v>
      </c>
      <c r="D141" s="45">
        <f>SUMIFS('07导出'!$H$2:$H$1860,'07导出'!$A$2:$A$1860,A141,'07导出'!$C$2:$C$1860,"205")</f>
        <v>15642811</v>
      </c>
      <c r="E141" s="46">
        <f>SUMIFS('07导出'!$G$2:$G$1860,'07导出'!$A$2:$A$1860,A141,'07导出'!$D$2:$D$1860,"20502")</f>
        <v>15160404.1</v>
      </c>
      <c r="F141" s="46">
        <f>SUMIFS('07导出'!$H$2:$H$1860,'07导出'!$A$2:$A$1860,A141,'07导出'!$D$2:$D$1860,"20502")</f>
        <v>15090421</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16399</v>
      </c>
      <c r="N141" s="46">
        <f>SUMIFS('07导出'!$H$2:$H$1860,'07导出'!$A$2:$A$1860,A141,'07导出'!$D$2:$D$1860,"20508")</f>
        <v>33600</v>
      </c>
      <c r="O141" s="46">
        <f>SUMIFS('07导出'!$G$2:$G$1860,'07导出'!$A$2:$A$1860,A141,'07导出'!$D$2:$D$1860,"20509")</f>
        <v>517710</v>
      </c>
      <c r="P141" s="46">
        <f>SUMIFS('07导出'!$H$2:$H$1860,'07导出'!$A$2:$A$1860,A141,'07导出'!$D$2:$D$1860,"20509")</f>
        <v>518790</v>
      </c>
      <c r="Q141" s="46">
        <f>SUMIFS('07导出'!$G$2:$G$1860,'07导出'!$A$2:$A$1860,A141,'07导出'!$C$2:$C$1860,"206")</f>
        <v>0</v>
      </c>
      <c r="R141" s="46">
        <f>SUMIFS('07导出'!$H$2:$H$1860,'07导出'!$A$2:$A$1860,A141,'07导出'!$C$2:$C$1860,"206")</f>
        <v>0</v>
      </c>
      <c r="S141" s="46">
        <f>SUMIFS('07导出'!$G$2:$G$1860,'07导出'!$A$2:$A$1860,A141,'07导出'!$D$2:$D$1860,"20607")</f>
        <v>0</v>
      </c>
      <c r="T141" s="46">
        <f>SUMIFS('07导出'!$H$2:$H$1860,'07导出'!$A$2:$A$1860,A141,'07导出'!$D$2:$D$1860,"20607")</f>
        <v>0</v>
      </c>
      <c r="U141" s="46">
        <f>SUMIFS('07导出'!$G$2:$G$1860,'07导出'!$A$2:$A$1860,A141,'07导出'!$C$2:$C$1860,"208")</f>
        <v>2194672.0299999998</v>
      </c>
      <c r="V141" s="46">
        <f>SUMIFS('07导出'!$H$2:$H$1860,'07导出'!$A$2:$A$1860,A141,'07导出'!$C$2:$C$1860,"208")</f>
        <v>2384310.7199999997</v>
      </c>
      <c r="W141" s="46">
        <f>SUMIFS('07导出'!$G$2:$G$1860,'07导出'!$A$2:$A$1860,A141,'07导出'!$D$2:$D$1860,"20805")</f>
        <v>2194672.0299999998</v>
      </c>
      <c r="X141" s="46">
        <f>SUMIFS('07导出'!$H$2:$H$1860,'07导出'!$A$2:$A$1860,A141,'07导出'!$D$2:$D$1860,"20805")</f>
        <v>2384310.7199999997</v>
      </c>
      <c r="Y141" s="46">
        <f>SUMIFS('07导出'!$G$2:$G$1860,'07导出'!$A$2:$A$1860,A141,'07导出'!$D$2:$D$1860,"20808")</f>
        <v>0</v>
      </c>
      <c r="Z141" s="46">
        <f>SUMIFS('07导出'!$H$2:$H$1860,'07导出'!$A$2:$A$1860,A141,'07导出'!$D$2:$D$1860,"20808")</f>
        <v>0</v>
      </c>
      <c r="AA141" s="46">
        <f>SUMIFS('07导出'!$G$2:$G$1860,'07导出'!$A$2:$A$1860,A141,'07导出'!$C$2:$C$1860,"210")</f>
        <v>968770.3</v>
      </c>
      <c r="AB141" s="46">
        <f>SUMIFS('07导出'!$H$2:$H$1860,'07导出'!$A$2:$A$1860,A141,'07导出'!$C$2:$C$1860,"210")</f>
        <v>930674.64</v>
      </c>
      <c r="AC141" s="46">
        <f>SUMIFS('07导出'!$G$2:$G$1860,'07导出'!$A$2:$A$1860,A141,'07导出'!$D$2:$D$1860,"21011")</f>
        <v>968770.3</v>
      </c>
      <c r="AD141" s="46">
        <f>SUMIFS('07导出'!$H$2:$H$1860,'07导出'!$A$2:$A$1860,A141,'07导出'!$D$2:$D$1860,"21011")</f>
        <v>930674.64</v>
      </c>
      <c r="AE141" s="46">
        <f>SUMIFS('07导出'!$G$2:$G$1860,'07导出'!$A$2:$A$1860,A141,'07导出'!$C$2:$C$1860,"212")</f>
        <v>0</v>
      </c>
      <c r="AF141" s="46">
        <f>SUMIFS('07导出'!$H$2:$H$1860,'07导出'!$A$2:$A$1860,A141,'07导出'!$C$2:$C$1860,"212")</f>
        <v>0</v>
      </c>
      <c r="AG141" s="46">
        <f>SUMIFS('07导出'!$G$2:$G$1860,'07导出'!$A$2:$A$1860,A141,'07导出'!$D$2:$D$1860,"21203")</f>
        <v>0</v>
      </c>
      <c r="AH141" s="46">
        <f>SUMIFS('07导出'!$H$2:$H$1860,'07导出'!$A$2:$A$1860,A141,'07导出'!$D$2:$D$1860,"21203")</f>
        <v>0</v>
      </c>
      <c r="AI141" s="46">
        <f>SUMIFS('07导出'!$G$2:$G$1860,'07导出'!$A$2:$A$1860,A141,'07导出'!$C$2:$C$1860,"213")</f>
        <v>0</v>
      </c>
      <c r="AJ141" s="46">
        <f>SUMIFS('07导出'!$H$2:$H$1860,'07导出'!$A$2:$A$1860,A141,'07导出'!$C$2:$C$1860,"213")</f>
        <v>0</v>
      </c>
      <c r="AK141" s="46">
        <f>SUMIFS('07导出'!$G$2:$G$1860,'07导出'!$A$2:$A$1860,A141,'07导出'!$D$2:$D$1860,"21305")</f>
        <v>0</v>
      </c>
      <c r="AL141" s="46">
        <f>SUMIFS('07导出'!$H$2:$H$1860,'07导出'!$A$2:$A$1860,A141,'07导出'!$D$2:$D$1860,"21305")</f>
        <v>0</v>
      </c>
      <c r="AM141" s="46">
        <f>SUMIFS('07导出'!$G$2:$G$1860,'07导出'!$A$2:$A$1860,A141,'07导出'!$C$2:$C$1860,"221")</f>
        <v>2185692</v>
      </c>
      <c r="AN141" s="46">
        <f>SUMIFS('07导出'!$H$2:$H$1860,'07导出'!$A$2:$A$1860,A141,'07导出'!$C$2:$C$1860,"221")</f>
        <v>2225427.36</v>
      </c>
      <c r="AO141" s="46">
        <f>SUMIFS('07导出'!$G$2:$G$1860,'07导出'!$A$2:$A$1860,A141,'07导出'!$D$2:$D$1860,"22102")</f>
        <v>2185692</v>
      </c>
      <c r="AP141" s="46">
        <f>SUMIFS('07导出'!$H$2:$H$1860,'07导出'!$A$2:$A$1860,A141,'07导出'!$D$2:$D$1860,"22102")</f>
        <v>2225427.36</v>
      </c>
    </row>
    <row r="142" spans="1:42">
      <c r="A142" s="43">
        <v>255176</v>
      </c>
      <c r="B142" s="44" t="s">
        <v>141</v>
      </c>
      <c r="C142" s="45">
        <f>SUMIFS('07导出'!$G$2:$G$1860,'07导出'!$A$2:$A$1860,A142,'07导出'!$C$2:$C$1860,"205")</f>
        <v>16958345</v>
      </c>
      <c r="D142" s="45">
        <f>SUMIFS('07导出'!$H$2:$H$1860,'07导出'!$A$2:$A$1860,A142,'07导出'!$C$2:$C$1860,"205")</f>
        <v>15743122.16</v>
      </c>
      <c r="E142" s="46">
        <f>SUMIFS('07导出'!$G$2:$G$1860,'07导出'!$A$2:$A$1860,A142,'07导出'!$D$2:$D$1860,"20502")</f>
        <v>14828838</v>
      </c>
      <c r="F142" s="46">
        <f>SUMIFS('07导出'!$H$2:$H$1860,'07导出'!$A$2:$A$1860,A142,'07导出'!$D$2:$D$1860,"20502")</f>
        <v>13598540.16</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14800</v>
      </c>
      <c r="N142" s="46">
        <f>SUMIFS('07导出'!$H$2:$H$1860,'07导出'!$A$2:$A$1860,A142,'07导出'!$D$2:$D$1860,"20508")</f>
        <v>29600</v>
      </c>
      <c r="O142" s="46">
        <f>SUMIFS('07导出'!$G$2:$G$1860,'07导出'!$A$2:$A$1860,A142,'07导出'!$D$2:$D$1860,"20509")</f>
        <v>2114707</v>
      </c>
      <c r="P142" s="46">
        <f>SUMIFS('07导出'!$H$2:$H$1860,'07导出'!$A$2:$A$1860,A142,'07导出'!$D$2:$D$1860,"20509")</f>
        <v>2114982</v>
      </c>
      <c r="Q142" s="46">
        <f>SUMIFS('07导出'!$G$2:$G$1860,'07导出'!$A$2:$A$1860,A142,'07导出'!$C$2:$C$1860,"206")</f>
        <v>49500</v>
      </c>
      <c r="R142" s="46">
        <f>SUMIFS('07导出'!$H$2:$H$1860,'07导出'!$A$2:$A$1860,A142,'07导出'!$C$2:$C$1860,"206")</f>
        <v>0</v>
      </c>
      <c r="S142" s="46">
        <f>SUMIFS('07导出'!$G$2:$G$1860,'07导出'!$A$2:$A$1860,A142,'07导出'!$D$2:$D$1860,"20607")</f>
        <v>49500</v>
      </c>
      <c r="T142" s="46">
        <f>SUMIFS('07导出'!$H$2:$H$1860,'07导出'!$A$2:$A$1860,A142,'07导出'!$D$2:$D$1860,"20607")</f>
        <v>0</v>
      </c>
      <c r="U142" s="46">
        <f>SUMIFS('07导出'!$G$2:$G$1860,'07导出'!$A$2:$A$1860,A142,'07导出'!$C$2:$C$1860,"208")</f>
        <v>2052449.44</v>
      </c>
      <c r="V142" s="46">
        <f>SUMIFS('07导出'!$H$2:$H$1860,'07导出'!$A$2:$A$1860,A142,'07导出'!$C$2:$C$1860,"208")</f>
        <v>1884951.12</v>
      </c>
      <c r="W142" s="46">
        <f>SUMIFS('07导出'!$G$2:$G$1860,'07导出'!$A$2:$A$1860,A142,'07导出'!$D$2:$D$1860,"20805")</f>
        <v>2052449.44</v>
      </c>
      <c r="X142" s="46">
        <f>SUMIFS('07导出'!$H$2:$H$1860,'07导出'!$A$2:$A$1860,A142,'07导出'!$D$2:$D$1860,"20805")</f>
        <v>1884951.12</v>
      </c>
      <c r="Y142" s="46">
        <f>SUMIFS('07导出'!$G$2:$G$1860,'07导出'!$A$2:$A$1860,A142,'07导出'!$D$2:$D$1860,"20808")</f>
        <v>0</v>
      </c>
      <c r="Z142" s="46">
        <f>SUMIFS('07导出'!$H$2:$H$1860,'07导出'!$A$2:$A$1860,A142,'07导出'!$D$2:$D$1860,"20808")</f>
        <v>0</v>
      </c>
      <c r="AA142" s="46">
        <f>SUMIFS('07导出'!$G$2:$G$1860,'07导出'!$A$2:$A$1860,A142,'07导出'!$C$2:$C$1860,"210")</f>
        <v>701343.53</v>
      </c>
      <c r="AB142" s="46">
        <f>SUMIFS('07导出'!$H$2:$H$1860,'07导出'!$A$2:$A$1860,A142,'07导出'!$C$2:$C$1860,"210")</f>
        <v>744839.94</v>
      </c>
      <c r="AC142" s="46">
        <f>SUMIFS('07导出'!$G$2:$G$1860,'07导出'!$A$2:$A$1860,A142,'07导出'!$D$2:$D$1860,"21011")</f>
        <v>701343.53</v>
      </c>
      <c r="AD142" s="46">
        <f>SUMIFS('07导出'!$H$2:$H$1860,'07导出'!$A$2:$A$1860,A142,'07导出'!$D$2:$D$1860,"21011")</f>
        <v>744839.94</v>
      </c>
      <c r="AE142" s="46">
        <f>SUMIFS('07导出'!$G$2:$G$1860,'07导出'!$A$2:$A$1860,A142,'07导出'!$C$2:$C$1860,"212")</f>
        <v>0</v>
      </c>
      <c r="AF142" s="46">
        <f>SUMIFS('07导出'!$H$2:$H$1860,'07导出'!$A$2:$A$1860,A142,'07导出'!$C$2:$C$1860,"212")</f>
        <v>0</v>
      </c>
      <c r="AG142" s="46">
        <f>SUMIFS('07导出'!$G$2:$G$1860,'07导出'!$A$2:$A$1860,A142,'07导出'!$D$2:$D$1860,"21203")</f>
        <v>0</v>
      </c>
      <c r="AH142" s="46">
        <f>SUMIFS('07导出'!$H$2:$H$1860,'07导出'!$A$2:$A$1860,A142,'07导出'!$D$2:$D$1860,"21203")</f>
        <v>0</v>
      </c>
      <c r="AI142" s="46">
        <f>SUMIFS('07导出'!$G$2:$G$1860,'07导出'!$A$2:$A$1860,A142,'07导出'!$C$2:$C$1860,"213")</f>
        <v>0</v>
      </c>
      <c r="AJ142" s="46">
        <f>SUMIFS('07导出'!$H$2:$H$1860,'07导出'!$A$2:$A$1860,A142,'07导出'!$C$2:$C$1860,"213")</f>
        <v>0</v>
      </c>
      <c r="AK142" s="46">
        <f>SUMIFS('07导出'!$G$2:$G$1860,'07导出'!$A$2:$A$1860,A142,'07导出'!$D$2:$D$1860,"21305")</f>
        <v>0</v>
      </c>
      <c r="AL142" s="46">
        <f>SUMIFS('07导出'!$H$2:$H$1860,'07导出'!$A$2:$A$1860,A142,'07导出'!$D$2:$D$1860,"21305")</f>
        <v>0</v>
      </c>
      <c r="AM142" s="46">
        <f>SUMIFS('07导出'!$G$2:$G$1860,'07导出'!$A$2:$A$1860,A142,'07导出'!$C$2:$C$1860,"221")</f>
        <v>1965678</v>
      </c>
      <c r="AN142" s="46">
        <f>SUMIFS('07导出'!$H$2:$H$1860,'07导出'!$A$2:$A$1860,A142,'07导出'!$C$2:$C$1860,"221")</f>
        <v>1968064.56</v>
      </c>
      <c r="AO142" s="46">
        <f>SUMIFS('07导出'!$G$2:$G$1860,'07导出'!$A$2:$A$1860,A142,'07导出'!$D$2:$D$1860,"22102")</f>
        <v>1965678</v>
      </c>
      <c r="AP142" s="46">
        <f>SUMIFS('07导出'!$H$2:$H$1860,'07导出'!$A$2:$A$1860,A142,'07导出'!$D$2:$D$1860,"22102")</f>
        <v>1968064.56</v>
      </c>
    </row>
    <row r="143" spans="1:42">
      <c r="A143" s="43">
        <v>255177</v>
      </c>
      <c r="B143" s="44" t="s">
        <v>142</v>
      </c>
      <c r="C143" s="45">
        <f>SUMIFS('07导出'!$G$2:$G$1860,'07导出'!$A$2:$A$1860,A143,'07导出'!$C$2:$C$1860,"205")</f>
        <v>9781586.1600000001</v>
      </c>
      <c r="D143" s="45">
        <f>SUMIFS('07导出'!$H$2:$H$1860,'07导出'!$A$2:$A$1860,A143,'07导出'!$C$2:$C$1860,"205")</f>
        <v>9554000.1600000001</v>
      </c>
      <c r="E143" s="46">
        <f>SUMIFS('07导出'!$G$2:$G$1860,'07导出'!$A$2:$A$1860,A143,'07导出'!$D$2:$D$1860,"20502")</f>
        <v>9717786.6600000001</v>
      </c>
      <c r="F143" s="46">
        <f>SUMIFS('07导出'!$H$2:$H$1860,'07导出'!$A$2:$A$1860,A143,'07导出'!$D$2:$D$1860,"20502")</f>
        <v>9434000.6600000001</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0</v>
      </c>
      <c r="N143" s="46">
        <f>SUMIFS('07导出'!$H$2:$H$1860,'07导出'!$A$2:$A$1860,A143,'07导出'!$D$2:$D$1860,"20508")</f>
        <v>23200</v>
      </c>
      <c r="O143" s="46">
        <f>SUMIFS('07导出'!$G$2:$G$1860,'07导出'!$A$2:$A$1860,A143,'07导出'!$D$2:$D$1860,"20509")</f>
        <v>63799.5</v>
      </c>
      <c r="P143" s="46">
        <f>SUMIFS('07导出'!$H$2:$H$1860,'07导出'!$A$2:$A$1860,A143,'07导出'!$D$2:$D$1860,"20509")</f>
        <v>96799.5</v>
      </c>
      <c r="Q143" s="46">
        <f>SUMIFS('07导出'!$G$2:$G$1860,'07导出'!$A$2:$A$1860,A143,'07导出'!$C$2:$C$1860,"206")</f>
        <v>0</v>
      </c>
      <c r="R143" s="46">
        <f>SUMIFS('07导出'!$H$2:$H$1860,'07导出'!$A$2:$A$1860,A143,'07导出'!$C$2:$C$1860,"206")</f>
        <v>0</v>
      </c>
      <c r="S143" s="46">
        <f>SUMIFS('07导出'!$G$2:$G$1860,'07导出'!$A$2:$A$1860,A143,'07导出'!$D$2:$D$1860,"20607")</f>
        <v>0</v>
      </c>
      <c r="T143" s="46">
        <f>SUMIFS('07导出'!$H$2:$H$1860,'07导出'!$A$2:$A$1860,A143,'07导出'!$D$2:$D$1860,"20607")</f>
        <v>0</v>
      </c>
      <c r="U143" s="46">
        <f>SUMIFS('07导出'!$G$2:$G$1860,'07导出'!$A$2:$A$1860,A143,'07导出'!$C$2:$C$1860,"208")</f>
        <v>1385605.6</v>
      </c>
      <c r="V143" s="46">
        <f>SUMIFS('07导出'!$H$2:$H$1860,'07导出'!$A$2:$A$1860,A143,'07导出'!$C$2:$C$1860,"208")</f>
        <v>1397099.68</v>
      </c>
      <c r="W143" s="46">
        <f>SUMIFS('07导出'!$G$2:$G$1860,'07导出'!$A$2:$A$1860,A143,'07导出'!$D$2:$D$1860,"20805")</f>
        <v>1385605.6</v>
      </c>
      <c r="X143" s="46">
        <f>SUMIFS('07导出'!$H$2:$H$1860,'07导出'!$A$2:$A$1860,A143,'07导出'!$D$2:$D$1860,"20805")</f>
        <v>1397099.68</v>
      </c>
      <c r="Y143" s="46">
        <f>SUMIFS('07导出'!$G$2:$G$1860,'07导出'!$A$2:$A$1860,A143,'07导出'!$D$2:$D$1860,"20808")</f>
        <v>0</v>
      </c>
      <c r="Z143" s="46">
        <f>SUMIFS('07导出'!$H$2:$H$1860,'07导出'!$A$2:$A$1860,A143,'07导出'!$D$2:$D$1860,"20808")</f>
        <v>0</v>
      </c>
      <c r="AA143" s="46">
        <f>SUMIFS('07导出'!$G$2:$G$1860,'07导出'!$A$2:$A$1860,A143,'07导出'!$C$2:$C$1860,"210")</f>
        <v>605332.91</v>
      </c>
      <c r="AB143" s="46">
        <f>SUMIFS('07导出'!$H$2:$H$1860,'07导出'!$A$2:$A$1860,A143,'07导出'!$C$2:$C$1860,"210")</f>
        <v>585654.16</v>
      </c>
      <c r="AC143" s="46">
        <f>SUMIFS('07导出'!$G$2:$G$1860,'07导出'!$A$2:$A$1860,A143,'07导出'!$D$2:$D$1860,"21011")</f>
        <v>605332.91</v>
      </c>
      <c r="AD143" s="46">
        <f>SUMIFS('07导出'!$H$2:$H$1860,'07导出'!$A$2:$A$1860,A143,'07导出'!$D$2:$D$1860,"21011")</f>
        <v>585654.16</v>
      </c>
      <c r="AE143" s="46">
        <f>SUMIFS('07导出'!$G$2:$G$1860,'07导出'!$A$2:$A$1860,A143,'07导出'!$C$2:$C$1860,"212")</f>
        <v>0</v>
      </c>
      <c r="AF143" s="46">
        <f>SUMIFS('07导出'!$H$2:$H$1860,'07导出'!$A$2:$A$1860,A143,'07导出'!$C$2:$C$1860,"212")</f>
        <v>0</v>
      </c>
      <c r="AG143" s="46">
        <f>SUMIFS('07导出'!$G$2:$G$1860,'07导出'!$A$2:$A$1860,A143,'07导出'!$D$2:$D$1860,"21203")</f>
        <v>0</v>
      </c>
      <c r="AH143" s="46">
        <f>SUMIFS('07导出'!$H$2:$H$1860,'07导出'!$A$2:$A$1860,A143,'07导出'!$D$2:$D$1860,"21203")</f>
        <v>0</v>
      </c>
      <c r="AI143" s="46">
        <f>SUMIFS('07导出'!$G$2:$G$1860,'07导出'!$A$2:$A$1860,A143,'07导出'!$C$2:$C$1860,"213")</f>
        <v>0</v>
      </c>
      <c r="AJ143" s="46">
        <f>SUMIFS('07导出'!$H$2:$H$1860,'07导出'!$A$2:$A$1860,A143,'07导出'!$C$2:$C$1860,"213")</f>
        <v>0</v>
      </c>
      <c r="AK143" s="46">
        <f>SUMIFS('07导出'!$G$2:$G$1860,'07导出'!$A$2:$A$1860,A143,'07导出'!$D$2:$D$1860,"21305")</f>
        <v>0</v>
      </c>
      <c r="AL143" s="46">
        <f>SUMIFS('07导出'!$H$2:$H$1860,'07导出'!$A$2:$A$1860,A143,'07导出'!$D$2:$D$1860,"21305")</f>
        <v>0</v>
      </c>
      <c r="AM143" s="46">
        <f>SUMIFS('07导出'!$G$2:$G$1860,'07导出'!$A$2:$A$1860,A143,'07导出'!$C$2:$C$1860,"221")</f>
        <v>1409454</v>
      </c>
      <c r="AN143" s="46">
        <f>SUMIFS('07导出'!$H$2:$H$1860,'07导出'!$A$2:$A$1860,A143,'07导出'!$C$2:$C$1860,"221")</f>
        <v>1414395.8399999999</v>
      </c>
      <c r="AO143" s="46">
        <f>SUMIFS('07导出'!$G$2:$G$1860,'07导出'!$A$2:$A$1860,A143,'07导出'!$D$2:$D$1860,"22102")</f>
        <v>1409454</v>
      </c>
      <c r="AP143" s="46">
        <f>SUMIFS('07导出'!$H$2:$H$1860,'07导出'!$A$2:$A$1860,A143,'07导出'!$D$2:$D$1860,"22102")</f>
        <v>1414395.8399999999</v>
      </c>
    </row>
    <row r="144" spans="1:42">
      <c r="A144" s="43">
        <v>255178</v>
      </c>
      <c r="B144" s="44" t="s">
        <v>143</v>
      </c>
      <c r="C144" s="45">
        <f>SUMIFS('07导出'!$G$2:$G$1860,'07导出'!$A$2:$A$1860,A144,'07导出'!$C$2:$C$1860,"205")</f>
        <v>5647666.79</v>
      </c>
      <c r="D144" s="45">
        <f>SUMIFS('07导出'!$H$2:$H$1860,'07导出'!$A$2:$A$1860,A144,'07导出'!$C$2:$C$1860,"205")</f>
        <v>5858512.8200000003</v>
      </c>
      <c r="E144" s="46">
        <f>SUMIFS('07导出'!$G$2:$G$1860,'07导出'!$A$2:$A$1860,A144,'07导出'!$D$2:$D$1860,"20502")</f>
        <v>5641091.79</v>
      </c>
      <c r="F144" s="46">
        <f>SUMIFS('07导出'!$H$2:$H$1860,'07导出'!$A$2:$A$1860,A144,'07导出'!$D$2:$D$1860,"20502")</f>
        <v>5844912.8200000003</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6575</v>
      </c>
      <c r="N144" s="46">
        <f>SUMIFS('07导出'!$H$2:$H$1860,'07导出'!$A$2:$A$1860,A144,'07导出'!$D$2:$D$1860,"20508")</f>
        <v>13600</v>
      </c>
      <c r="O144" s="46">
        <f>SUMIFS('07导出'!$G$2:$G$1860,'07导出'!$A$2:$A$1860,A144,'07导出'!$D$2:$D$1860,"20509")</f>
        <v>0</v>
      </c>
      <c r="P144" s="46">
        <f>SUMIFS('07导出'!$H$2:$H$1860,'07导出'!$A$2:$A$1860,A144,'07导出'!$D$2:$D$1860,"20509")</f>
        <v>0</v>
      </c>
      <c r="Q144" s="46">
        <f>SUMIFS('07导出'!$G$2:$G$1860,'07导出'!$A$2:$A$1860,A144,'07导出'!$C$2:$C$1860,"206")</f>
        <v>0</v>
      </c>
      <c r="R144" s="46">
        <f>SUMIFS('07导出'!$H$2:$H$1860,'07导出'!$A$2:$A$1860,A144,'07导出'!$C$2:$C$1860,"206")</f>
        <v>0</v>
      </c>
      <c r="S144" s="46">
        <f>SUMIFS('07导出'!$G$2:$G$1860,'07导出'!$A$2:$A$1860,A144,'07导出'!$D$2:$D$1860,"20607")</f>
        <v>0</v>
      </c>
      <c r="T144" s="46">
        <f>SUMIFS('07导出'!$H$2:$H$1860,'07导出'!$A$2:$A$1860,A144,'07导出'!$D$2:$D$1860,"20607")</f>
        <v>0</v>
      </c>
      <c r="U144" s="46">
        <f>SUMIFS('07导出'!$G$2:$G$1860,'07导出'!$A$2:$A$1860,A144,'07导出'!$C$2:$C$1860,"208")</f>
        <v>1064170.7600000002</v>
      </c>
      <c r="V144" s="46">
        <f>SUMIFS('07导出'!$H$2:$H$1860,'07导出'!$A$2:$A$1860,A144,'07导出'!$C$2:$C$1860,"208")</f>
        <v>882976.64</v>
      </c>
      <c r="W144" s="46">
        <f>SUMIFS('07导出'!$G$2:$G$1860,'07导出'!$A$2:$A$1860,A144,'07导出'!$D$2:$D$1860,"20805")</f>
        <v>846212.76000000013</v>
      </c>
      <c r="X144" s="46">
        <f>SUMIFS('07导出'!$H$2:$H$1860,'07导出'!$A$2:$A$1860,A144,'07导出'!$D$2:$D$1860,"20805")</f>
        <v>882976.64</v>
      </c>
      <c r="Y144" s="46">
        <f>SUMIFS('07导出'!$G$2:$G$1860,'07导出'!$A$2:$A$1860,A144,'07导出'!$D$2:$D$1860,"20808")</f>
        <v>217958</v>
      </c>
      <c r="Z144" s="46">
        <f>SUMIFS('07导出'!$H$2:$H$1860,'07导出'!$A$2:$A$1860,A144,'07导出'!$D$2:$D$1860,"20808")</f>
        <v>0</v>
      </c>
      <c r="AA144" s="46">
        <f>SUMIFS('07导出'!$G$2:$G$1860,'07导出'!$A$2:$A$1860,A144,'07导出'!$C$2:$C$1860,"210")</f>
        <v>307740.01</v>
      </c>
      <c r="AB144" s="46">
        <f>SUMIFS('07导出'!$H$2:$H$1860,'07导出'!$A$2:$A$1860,A144,'07导出'!$C$2:$C$1860,"210")</f>
        <v>317848.18</v>
      </c>
      <c r="AC144" s="46">
        <f>SUMIFS('07导出'!$G$2:$G$1860,'07导出'!$A$2:$A$1860,A144,'07导出'!$D$2:$D$1860,"21011")</f>
        <v>307740.01</v>
      </c>
      <c r="AD144" s="46">
        <f>SUMIFS('07导出'!$H$2:$H$1860,'07导出'!$A$2:$A$1860,A144,'07导出'!$D$2:$D$1860,"21011")</f>
        <v>317848.18</v>
      </c>
      <c r="AE144" s="46">
        <f>SUMIFS('07导出'!$G$2:$G$1860,'07导出'!$A$2:$A$1860,A144,'07导出'!$C$2:$C$1860,"212")</f>
        <v>0</v>
      </c>
      <c r="AF144" s="46">
        <f>SUMIFS('07导出'!$H$2:$H$1860,'07导出'!$A$2:$A$1860,A144,'07导出'!$C$2:$C$1860,"212")</f>
        <v>0</v>
      </c>
      <c r="AG144" s="46">
        <f>SUMIFS('07导出'!$G$2:$G$1860,'07导出'!$A$2:$A$1860,A144,'07导出'!$D$2:$D$1860,"21203")</f>
        <v>0</v>
      </c>
      <c r="AH144" s="46">
        <f>SUMIFS('07导出'!$H$2:$H$1860,'07导出'!$A$2:$A$1860,A144,'07导出'!$D$2:$D$1860,"21203")</f>
        <v>0</v>
      </c>
      <c r="AI144" s="46">
        <f>SUMIFS('07导出'!$G$2:$G$1860,'07导出'!$A$2:$A$1860,A144,'07导出'!$C$2:$C$1860,"213")</f>
        <v>0</v>
      </c>
      <c r="AJ144" s="46">
        <f>SUMIFS('07导出'!$H$2:$H$1860,'07导出'!$A$2:$A$1860,A144,'07导出'!$C$2:$C$1860,"213")</f>
        <v>0</v>
      </c>
      <c r="AK144" s="46">
        <f>SUMIFS('07导出'!$G$2:$G$1860,'07导出'!$A$2:$A$1860,A144,'07导出'!$D$2:$D$1860,"21305")</f>
        <v>0</v>
      </c>
      <c r="AL144" s="46">
        <f>SUMIFS('07导出'!$H$2:$H$1860,'07导出'!$A$2:$A$1860,A144,'07导出'!$D$2:$D$1860,"21305")</f>
        <v>0</v>
      </c>
      <c r="AM144" s="46">
        <f>SUMIFS('07导出'!$G$2:$G$1860,'07导出'!$A$2:$A$1860,A144,'07导出'!$C$2:$C$1860,"221")</f>
        <v>769852</v>
      </c>
      <c r="AN144" s="46">
        <f>SUMIFS('07导出'!$H$2:$H$1860,'07导出'!$A$2:$A$1860,A144,'07导出'!$C$2:$C$1860,"221")</f>
        <v>804262.32000000007</v>
      </c>
      <c r="AO144" s="46">
        <f>SUMIFS('07导出'!$G$2:$G$1860,'07导出'!$A$2:$A$1860,A144,'07导出'!$D$2:$D$1860,"22102")</f>
        <v>769852</v>
      </c>
      <c r="AP144" s="46">
        <f>SUMIFS('07导出'!$H$2:$H$1860,'07导出'!$A$2:$A$1860,A144,'07导出'!$D$2:$D$1860,"22102")</f>
        <v>804262.32000000007</v>
      </c>
    </row>
    <row r="145" spans="1:42">
      <c r="A145" s="43">
        <v>255181</v>
      </c>
      <c r="B145" s="44" t="s">
        <v>144</v>
      </c>
      <c r="C145" s="45">
        <f>SUMIFS('07导出'!$G$2:$G$1860,'07导出'!$A$2:$A$1860,A145,'07导出'!$C$2:$C$1860,"205")</f>
        <v>796065761.45000005</v>
      </c>
      <c r="D145" s="45">
        <f>SUMIFS('07导出'!$H$2:$H$1860,'07导出'!$A$2:$A$1860,A145,'07导出'!$C$2:$C$1860,"205")</f>
        <v>777433546.47000003</v>
      </c>
      <c r="E145" s="46">
        <f>SUMIFS('07导出'!$G$2:$G$1860,'07导出'!$A$2:$A$1860,A145,'07导出'!$D$2:$D$1860,"20502")</f>
        <v>692948173.73000002</v>
      </c>
      <c r="F145" s="46">
        <f>SUMIFS('07导出'!$H$2:$H$1860,'07导出'!$A$2:$A$1860,A145,'07导出'!$D$2:$D$1860,"20502")</f>
        <v>583906250.47000003</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0</v>
      </c>
      <c r="L145" s="46">
        <f>SUMIFS('07导出'!$H$2:$H$1860,'07导出'!$A$2:$A$1860,A145,'07导出'!$D$2:$D$1860,"20507")</f>
        <v>0</v>
      </c>
      <c r="M145" s="46">
        <f>SUMIFS('07导出'!$G$2:$G$1860,'07导出'!$A$2:$A$1860,A145,'07导出'!$D$2:$D$1860,"20508")</f>
        <v>0</v>
      </c>
      <c r="N145" s="46">
        <f>SUMIFS('07导出'!$H$2:$H$1860,'07导出'!$A$2:$A$1860,A145,'07导出'!$D$2:$D$1860,"20508")</f>
        <v>74400</v>
      </c>
      <c r="O145" s="46">
        <f>SUMIFS('07导出'!$G$2:$G$1860,'07导出'!$A$2:$A$1860,A145,'07导出'!$D$2:$D$1860,"20509")</f>
        <v>103117587.72</v>
      </c>
      <c r="P145" s="46">
        <f>SUMIFS('07导出'!$H$2:$H$1860,'07导出'!$A$2:$A$1860,A145,'07导出'!$D$2:$D$1860,"20509")</f>
        <v>193452896</v>
      </c>
      <c r="Q145" s="46">
        <f>SUMIFS('07导出'!$G$2:$G$1860,'07导出'!$A$2:$A$1860,A145,'07导出'!$C$2:$C$1860,"206")</f>
        <v>0</v>
      </c>
      <c r="R145" s="46">
        <f>SUMIFS('07导出'!$H$2:$H$1860,'07导出'!$A$2:$A$1860,A145,'07导出'!$C$2:$C$1860,"206")</f>
        <v>0</v>
      </c>
      <c r="S145" s="46">
        <f>SUMIFS('07导出'!$G$2:$G$1860,'07导出'!$A$2:$A$1860,A145,'07导出'!$D$2:$D$1860,"20607")</f>
        <v>0</v>
      </c>
      <c r="T145" s="46">
        <f>SUMIFS('07导出'!$H$2:$H$1860,'07导出'!$A$2:$A$1860,A145,'07导出'!$D$2:$D$1860,"20607")</f>
        <v>0</v>
      </c>
      <c r="U145" s="46">
        <f>SUMIFS('07导出'!$G$2:$G$1860,'07导出'!$A$2:$A$1860,A145,'07导出'!$C$2:$C$1860,"208")</f>
        <v>6044177.5800000001</v>
      </c>
      <c r="V145" s="46">
        <f>SUMIFS('07导出'!$H$2:$H$1860,'07导出'!$A$2:$A$1860,A145,'07导出'!$C$2:$C$1860,"208")</f>
        <v>5407796.7899999991</v>
      </c>
      <c r="W145" s="46">
        <f>SUMIFS('07导出'!$G$2:$G$1860,'07导出'!$A$2:$A$1860,A145,'07导出'!$D$2:$D$1860,"20805")</f>
        <v>5803899.5800000001</v>
      </c>
      <c r="X145" s="46">
        <f>SUMIFS('07导出'!$H$2:$H$1860,'07导出'!$A$2:$A$1860,A145,'07导出'!$D$2:$D$1860,"20805")</f>
        <v>5407796.7899999991</v>
      </c>
      <c r="Y145" s="46">
        <f>SUMIFS('07导出'!$G$2:$G$1860,'07导出'!$A$2:$A$1860,A145,'07导出'!$D$2:$D$1860,"20808")</f>
        <v>240278</v>
      </c>
      <c r="Z145" s="46">
        <f>SUMIFS('07导出'!$H$2:$H$1860,'07导出'!$A$2:$A$1860,A145,'07导出'!$D$2:$D$1860,"20808")</f>
        <v>0</v>
      </c>
      <c r="AA145" s="46">
        <f>SUMIFS('07导出'!$G$2:$G$1860,'07导出'!$A$2:$A$1860,A145,'07导出'!$C$2:$C$1860,"210")</f>
        <v>2061182.43</v>
      </c>
      <c r="AB145" s="46">
        <f>SUMIFS('07导出'!$H$2:$H$1860,'07导出'!$A$2:$A$1860,A145,'07导出'!$C$2:$C$1860,"210")</f>
        <v>1901582.39</v>
      </c>
      <c r="AC145" s="46">
        <f>SUMIFS('07导出'!$G$2:$G$1860,'07导出'!$A$2:$A$1860,A145,'07导出'!$D$2:$D$1860,"21011")</f>
        <v>2061182.43</v>
      </c>
      <c r="AD145" s="46">
        <f>SUMIFS('07导出'!$H$2:$H$1860,'07导出'!$A$2:$A$1860,A145,'07导出'!$D$2:$D$1860,"21011")</f>
        <v>1901582.39</v>
      </c>
      <c r="AE145" s="46">
        <f>SUMIFS('07导出'!$G$2:$G$1860,'07导出'!$A$2:$A$1860,A145,'07导出'!$C$2:$C$1860,"212")</f>
        <v>18777526.809999999</v>
      </c>
      <c r="AF145" s="46">
        <f>SUMIFS('07导出'!$H$2:$H$1860,'07导出'!$A$2:$A$1860,A145,'07导出'!$C$2:$C$1860,"212")</f>
        <v>0</v>
      </c>
      <c r="AG145" s="46">
        <f>SUMIFS('07导出'!$G$2:$G$1860,'07导出'!$A$2:$A$1860,A145,'07导出'!$D$2:$D$1860,"21203")</f>
        <v>18777526.809999999</v>
      </c>
      <c r="AH145" s="46">
        <f>SUMIFS('07导出'!$H$2:$H$1860,'07导出'!$A$2:$A$1860,A145,'07导出'!$D$2:$D$1860,"21203")</f>
        <v>0</v>
      </c>
      <c r="AI145" s="46">
        <f>SUMIFS('07导出'!$G$2:$G$1860,'07导出'!$A$2:$A$1860,A145,'07导出'!$C$2:$C$1860,"213")</f>
        <v>0</v>
      </c>
      <c r="AJ145" s="46">
        <f>SUMIFS('07导出'!$H$2:$H$1860,'07导出'!$A$2:$A$1860,A145,'07导出'!$C$2:$C$1860,"213")</f>
        <v>0</v>
      </c>
      <c r="AK145" s="46">
        <f>SUMIFS('07导出'!$G$2:$G$1860,'07导出'!$A$2:$A$1860,A145,'07导出'!$D$2:$D$1860,"21305")</f>
        <v>0</v>
      </c>
      <c r="AL145" s="46">
        <f>SUMIFS('07导出'!$H$2:$H$1860,'07导出'!$A$2:$A$1860,A145,'07导出'!$D$2:$D$1860,"21305")</f>
        <v>0</v>
      </c>
      <c r="AM145" s="46">
        <f>SUMIFS('07导出'!$G$2:$G$1860,'07导出'!$A$2:$A$1860,A145,'07导出'!$C$2:$C$1860,"221")</f>
        <v>3944911</v>
      </c>
      <c r="AN145" s="46">
        <f>SUMIFS('07导出'!$H$2:$H$1860,'07导出'!$A$2:$A$1860,A145,'07导出'!$C$2:$C$1860,"221")</f>
        <v>3888281.89</v>
      </c>
      <c r="AO145" s="46">
        <f>SUMIFS('07导出'!$G$2:$G$1860,'07导出'!$A$2:$A$1860,A145,'07导出'!$D$2:$D$1860,"22102")</f>
        <v>3944911</v>
      </c>
      <c r="AP145" s="46">
        <f>SUMIFS('07导出'!$H$2:$H$1860,'07导出'!$A$2:$A$1860,A145,'07导出'!$D$2:$D$1860,"22102")</f>
        <v>3888281.89</v>
      </c>
    </row>
    <row r="146" spans="1:42">
      <c r="A146" s="43">
        <v>255184</v>
      </c>
      <c r="B146" s="44" t="s">
        <v>145</v>
      </c>
      <c r="C146" s="45">
        <f>SUMIFS('07导出'!$G$2:$G$1860,'07导出'!$A$2:$A$1860,A146,'07导出'!$C$2:$C$1860,"205")</f>
        <v>40689187.950000003</v>
      </c>
      <c r="D146" s="45">
        <f>SUMIFS('07导出'!$H$2:$H$1860,'07导出'!$A$2:$A$1860,A146,'07导出'!$C$2:$C$1860,"205")</f>
        <v>37427539.329999998</v>
      </c>
      <c r="E146" s="46">
        <f>SUMIFS('07导出'!$G$2:$G$1860,'07导出'!$A$2:$A$1860,A146,'07导出'!$D$2:$D$1860,"20502")</f>
        <v>57939</v>
      </c>
      <c r="F146" s="46">
        <f>SUMIFS('07导出'!$H$2:$H$1860,'07导出'!$A$2:$A$1860,A146,'07导出'!$D$2:$D$1860,"20502")</f>
        <v>0</v>
      </c>
      <c r="G146" s="46">
        <f>SUMIFS('07导出'!$G$2:$G$1860,'07导出'!$A$2:$A$1860,A146,'07导出'!$D$2:$D$1860,"20503")</f>
        <v>39656648.950000003</v>
      </c>
      <c r="H146" s="46">
        <f>SUMIFS('07导出'!$H$2:$H$1860,'07导出'!$A$2:$A$1860,A146,'07导出'!$D$2:$D$1860,"20503")</f>
        <v>36380929.329999998</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52390</v>
      </c>
      <c r="N146" s="46">
        <f>SUMIFS('07导出'!$H$2:$H$1860,'07导出'!$A$2:$A$1860,A146,'07导出'!$D$2:$D$1860,"20508")</f>
        <v>122400</v>
      </c>
      <c r="O146" s="46">
        <f>SUMIFS('07导出'!$G$2:$G$1860,'07导出'!$A$2:$A$1860,A146,'07导出'!$D$2:$D$1860,"20509")</f>
        <v>922210</v>
      </c>
      <c r="P146" s="46">
        <f>SUMIFS('07导出'!$H$2:$H$1860,'07导出'!$A$2:$A$1860,A146,'07导出'!$D$2:$D$1860,"20509")</f>
        <v>924210</v>
      </c>
      <c r="Q146" s="46">
        <f>SUMIFS('07导出'!$G$2:$G$1860,'07导出'!$A$2:$A$1860,A146,'07导出'!$C$2:$C$1860,"206")</f>
        <v>0</v>
      </c>
      <c r="R146" s="46">
        <f>SUMIFS('07导出'!$H$2:$H$1860,'07导出'!$A$2:$A$1860,A146,'07导出'!$C$2:$C$1860,"206")</f>
        <v>0</v>
      </c>
      <c r="S146" s="46">
        <f>SUMIFS('07导出'!$G$2:$G$1860,'07导出'!$A$2:$A$1860,A146,'07导出'!$D$2:$D$1860,"20607")</f>
        <v>0</v>
      </c>
      <c r="T146" s="46">
        <f>SUMIFS('07导出'!$H$2:$H$1860,'07导出'!$A$2:$A$1860,A146,'07导出'!$D$2:$D$1860,"20607")</f>
        <v>0</v>
      </c>
      <c r="U146" s="46">
        <f>SUMIFS('07导出'!$G$2:$G$1860,'07导出'!$A$2:$A$1860,A146,'07导出'!$C$2:$C$1860,"208")</f>
        <v>15631411.57</v>
      </c>
      <c r="V146" s="46">
        <f>SUMIFS('07导出'!$H$2:$H$1860,'07导出'!$A$2:$A$1860,A146,'07导出'!$C$2:$C$1860,"208")</f>
        <v>13838167.16</v>
      </c>
      <c r="W146" s="46">
        <f>SUMIFS('07导出'!$G$2:$G$1860,'07导出'!$A$2:$A$1860,A146,'07导出'!$D$2:$D$1860,"20805")</f>
        <v>15631411.57</v>
      </c>
      <c r="X146" s="46">
        <f>SUMIFS('07导出'!$H$2:$H$1860,'07导出'!$A$2:$A$1860,A146,'07导出'!$D$2:$D$1860,"20805")</f>
        <v>13838167.16</v>
      </c>
      <c r="Y146" s="46">
        <f>SUMIFS('07导出'!$G$2:$G$1860,'07导出'!$A$2:$A$1860,A146,'07导出'!$D$2:$D$1860,"20808")</f>
        <v>0</v>
      </c>
      <c r="Z146" s="46">
        <f>SUMIFS('07导出'!$H$2:$H$1860,'07导出'!$A$2:$A$1860,A146,'07导出'!$D$2:$D$1860,"20808")</f>
        <v>0</v>
      </c>
      <c r="AA146" s="46">
        <f>SUMIFS('07导出'!$G$2:$G$1860,'07导出'!$A$2:$A$1860,A146,'07导出'!$C$2:$C$1860,"210")</f>
        <v>3763201.7</v>
      </c>
      <c r="AB146" s="46">
        <f>SUMIFS('07导出'!$H$2:$H$1860,'07导出'!$A$2:$A$1860,A146,'07导出'!$C$2:$C$1860,"210")</f>
        <v>4143823.92</v>
      </c>
      <c r="AC146" s="46">
        <f>SUMIFS('07导出'!$G$2:$G$1860,'07导出'!$A$2:$A$1860,A146,'07导出'!$D$2:$D$1860,"21011")</f>
        <v>3763201.7</v>
      </c>
      <c r="AD146" s="46">
        <f>SUMIFS('07导出'!$H$2:$H$1860,'07导出'!$A$2:$A$1860,A146,'07导出'!$D$2:$D$1860,"21011")</f>
        <v>4143823.92</v>
      </c>
      <c r="AE146" s="46">
        <f>SUMIFS('07导出'!$G$2:$G$1860,'07导出'!$A$2:$A$1860,A146,'07导出'!$C$2:$C$1860,"212")</f>
        <v>0</v>
      </c>
      <c r="AF146" s="46">
        <f>SUMIFS('07导出'!$H$2:$H$1860,'07导出'!$A$2:$A$1860,A146,'07导出'!$C$2:$C$1860,"212")</f>
        <v>0</v>
      </c>
      <c r="AG146" s="46">
        <f>SUMIFS('07导出'!$G$2:$G$1860,'07导出'!$A$2:$A$1860,A146,'07导出'!$D$2:$D$1860,"21203")</f>
        <v>0</v>
      </c>
      <c r="AH146" s="46">
        <f>SUMIFS('07导出'!$H$2:$H$1860,'07导出'!$A$2:$A$1860,A146,'07导出'!$D$2:$D$1860,"21203")</f>
        <v>0</v>
      </c>
      <c r="AI146" s="46">
        <f>SUMIFS('07导出'!$G$2:$G$1860,'07导出'!$A$2:$A$1860,A146,'07导出'!$C$2:$C$1860,"213")</f>
        <v>0</v>
      </c>
      <c r="AJ146" s="46">
        <f>SUMIFS('07导出'!$H$2:$H$1860,'07导出'!$A$2:$A$1860,A146,'07导出'!$C$2:$C$1860,"213")</f>
        <v>0</v>
      </c>
      <c r="AK146" s="46">
        <f>SUMIFS('07导出'!$G$2:$G$1860,'07导出'!$A$2:$A$1860,A146,'07导出'!$D$2:$D$1860,"21305")</f>
        <v>0</v>
      </c>
      <c r="AL146" s="46">
        <f>SUMIFS('07导出'!$H$2:$H$1860,'07导出'!$A$2:$A$1860,A146,'07导出'!$D$2:$D$1860,"21305")</f>
        <v>0</v>
      </c>
      <c r="AM146" s="46">
        <f>SUMIFS('07导出'!$G$2:$G$1860,'07导出'!$A$2:$A$1860,A146,'07导出'!$C$2:$C$1860,"221")</f>
        <v>7857499</v>
      </c>
      <c r="AN146" s="46">
        <f>SUMIFS('07导出'!$H$2:$H$1860,'07导出'!$A$2:$A$1860,A146,'07导出'!$C$2:$C$1860,"221")</f>
        <v>8364250.0800000001</v>
      </c>
      <c r="AO146" s="46">
        <f>SUMIFS('07导出'!$G$2:$G$1860,'07导出'!$A$2:$A$1860,A146,'07导出'!$D$2:$D$1860,"22102")</f>
        <v>7857499</v>
      </c>
      <c r="AP146" s="46">
        <f>SUMIFS('07导出'!$H$2:$H$1860,'07导出'!$A$2:$A$1860,A146,'07导出'!$D$2:$D$1860,"22102")</f>
        <v>8364250.0800000001</v>
      </c>
    </row>
    <row r="147" spans="1:42">
      <c r="A147" s="43">
        <v>255185</v>
      </c>
      <c r="B147" s="44" t="s">
        <v>146</v>
      </c>
      <c r="C147" s="45">
        <f>SUMIFS('07导出'!$G$2:$G$1860,'07导出'!$A$2:$A$1860,A147,'07导出'!$C$2:$C$1860,"205")</f>
        <v>33761472.960000001</v>
      </c>
      <c r="D147" s="45">
        <f>SUMIFS('07导出'!$H$2:$H$1860,'07导出'!$A$2:$A$1860,A147,'07导出'!$C$2:$C$1860,"205")</f>
        <v>28693355.629999999</v>
      </c>
      <c r="E147" s="46">
        <f>SUMIFS('07导出'!$G$2:$G$1860,'07导出'!$A$2:$A$1860,A147,'07导出'!$D$2:$D$1860,"20502")</f>
        <v>31811913.309999999</v>
      </c>
      <c r="F147" s="46">
        <f>SUMIFS('07导出'!$H$2:$H$1860,'07导出'!$A$2:$A$1860,A147,'07导出'!$D$2:$D$1860,"20502")</f>
        <v>25790509.629999999</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38800</v>
      </c>
      <c r="N147" s="46">
        <f>SUMIFS('07导出'!$H$2:$H$1860,'07导出'!$A$2:$A$1860,A147,'07导出'!$D$2:$D$1860,"20508")</f>
        <v>77600</v>
      </c>
      <c r="O147" s="46">
        <f>SUMIFS('07导出'!$G$2:$G$1860,'07导出'!$A$2:$A$1860,A147,'07导出'!$D$2:$D$1860,"20509")</f>
        <v>1910759.65</v>
      </c>
      <c r="P147" s="46">
        <f>SUMIFS('07导出'!$H$2:$H$1860,'07导出'!$A$2:$A$1860,A147,'07导出'!$D$2:$D$1860,"20509")</f>
        <v>2825246</v>
      </c>
      <c r="Q147" s="46">
        <f>SUMIFS('07导出'!$G$2:$G$1860,'07导出'!$A$2:$A$1860,A147,'07导出'!$C$2:$C$1860,"206")</f>
        <v>0</v>
      </c>
      <c r="R147" s="46">
        <f>SUMIFS('07导出'!$H$2:$H$1860,'07导出'!$A$2:$A$1860,A147,'07导出'!$C$2:$C$1860,"206")</f>
        <v>0</v>
      </c>
      <c r="S147" s="46">
        <f>SUMIFS('07导出'!$G$2:$G$1860,'07导出'!$A$2:$A$1860,A147,'07导出'!$D$2:$D$1860,"20607")</f>
        <v>0</v>
      </c>
      <c r="T147" s="46">
        <f>SUMIFS('07导出'!$H$2:$H$1860,'07导出'!$A$2:$A$1860,A147,'07导出'!$D$2:$D$1860,"20607")</f>
        <v>0</v>
      </c>
      <c r="U147" s="46">
        <f>SUMIFS('07导出'!$G$2:$G$1860,'07导出'!$A$2:$A$1860,A147,'07导出'!$C$2:$C$1860,"208")</f>
        <v>5386342.2400000002</v>
      </c>
      <c r="V147" s="46">
        <f>SUMIFS('07导出'!$H$2:$H$1860,'07导出'!$A$2:$A$1860,A147,'07导出'!$C$2:$C$1860,"208")</f>
        <v>4689374.32</v>
      </c>
      <c r="W147" s="46">
        <f>SUMIFS('07导出'!$G$2:$G$1860,'07导出'!$A$2:$A$1860,A147,'07导出'!$D$2:$D$1860,"20805")</f>
        <v>5386342.2400000002</v>
      </c>
      <c r="X147" s="46">
        <f>SUMIFS('07导出'!$H$2:$H$1860,'07导出'!$A$2:$A$1860,A147,'07导出'!$D$2:$D$1860,"20805")</f>
        <v>4689374.32</v>
      </c>
      <c r="Y147" s="46">
        <f>SUMIFS('07导出'!$G$2:$G$1860,'07导出'!$A$2:$A$1860,A147,'07导出'!$D$2:$D$1860,"20808")</f>
        <v>0</v>
      </c>
      <c r="Z147" s="46">
        <f>SUMIFS('07导出'!$H$2:$H$1860,'07导出'!$A$2:$A$1860,A147,'07导出'!$D$2:$D$1860,"20808")</f>
        <v>0</v>
      </c>
      <c r="AA147" s="46">
        <f>SUMIFS('07导出'!$G$2:$G$1860,'07导出'!$A$2:$A$1860,A147,'07导出'!$C$2:$C$1860,"210")</f>
        <v>2426310.64</v>
      </c>
      <c r="AB147" s="46">
        <f>SUMIFS('07导出'!$H$2:$H$1860,'07导出'!$A$2:$A$1860,A147,'07导出'!$C$2:$C$1860,"210")</f>
        <v>1930152.34</v>
      </c>
      <c r="AC147" s="46">
        <f>SUMIFS('07导出'!$G$2:$G$1860,'07导出'!$A$2:$A$1860,A147,'07导出'!$D$2:$D$1860,"21011")</f>
        <v>2426310.64</v>
      </c>
      <c r="AD147" s="46">
        <f>SUMIFS('07导出'!$H$2:$H$1860,'07导出'!$A$2:$A$1860,A147,'07导出'!$D$2:$D$1860,"21011")</f>
        <v>1930152.34</v>
      </c>
      <c r="AE147" s="46">
        <f>SUMIFS('07导出'!$G$2:$G$1860,'07导出'!$A$2:$A$1860,A147,'07导出'!$C$2:$C$1860,"212")</f>
        <v>0</v>
      </c>
      <c r="AF147" s="46">
        <f>SUMIFS('07导出'!$H$2:$H$1860,'07导出'!$A$2:$A$1860,A147,'07导出'!$C$2:$C$1860,"212")</f>
        <v>0</v>
      </c>
      <c r="AG147" s="46">
        <f>SUMIFS('07导出'!$G$2:$G$1860,'07导出'!$A$2:$A$1860,A147,'07导出'!$D$2:$D$1860,"21203")</f>
        <v>0</v>
      </c>
      <c r="AH147" s="46">
        <f>SUMIFS('07导出'!$H$2:$H$1860,'07导出'!$A$2:$A$1860,A147,'07导出'!$D$2:$D$1860,"21203")</f>
        <v>0</v>
      </c>
      <c r="AI147" s="46">
        <f>SUMIFS('07导出'!$G$2:$G$1860,'07导出'!$A$2:$A$1860,A147,'07导出'!$C$2:$C$1860,"213")</f>
        <v>0</v>
      </c>
      <c r="AJ147" s="46">
        <f>SUMIFS('07导出'!$H$2:$H$1860,'07导出'!$A$2:$A$1860,A147,'07导出'!$C$2:$C$1860,"213")</f>
        <v>0</v>
      </c>
      <c r="AK147" s="46">
        <f>SUMIFS('07导出'!$G$2:$G$1860,'07导出'!$A$2:$A$1860,A147,'07导出'!$D$2:$D$1860,"21305")</f>
        <v>0</v>
      </c>
      <c r="AL147" s="46">
        <f>SUMIFS('07导出'!$H$2:$H$1860,'07导出'!$A$2:$A$1860,A147,'07导出'!$D$2:$D$1860,"21305")</f>
        <v>0</v>
      </c>
      <c r="AM147" s="46">
        <f>SUMIFS('07导出'!$G$2:$G$1860,'07导出'!$A$2:$A$1860,A147,'07导出'!$C$2:$C$1860,"221")</f>
        <v>4782510.16</v>
      </c>
      <c r="AN147" s="46">
        <f>SUMIFS('07导出'!$H$2:$H$1860,'07导出'!$A$2:$A$1860,A147,'07导出'!$C$2:$C$1860,"221")</f>
        <v>4782494.16</v>
      </c>
      <c r="AO147" s="46">
        <f>SUMIFS('07导出'!$G$2:$G$1860,'07导出'!$A$2:$A$1860,A147,'07导出'!$D$2:$D$1860,"22102")</f>
        <v>4782510.16</v>
      </c>
      <c r="AP147" s="46">
        <f>SUMIFS('07导出'!$H$2:$H$1860,'07导出'!$A$2:$A$1860,A147,'07导出'!$D$2:$D$1860,"22102")</f>
        <v>4782494.16</v>
      </c>
    </row>
    <row r="148" spans="1:42">
      <c r="A148" s="43">
        <v>255186</v>
      </c>
      <c r="B148" s="44" t="s">
        <v>147</v>
      </c>
      <c r="C148" s="45">
        <f>SUMIFS('07导出'!$G$2:$G$1860,'07导出'!$A$2:$A$1860,A148,'07导出'!$C$2:$C$1860,"205")</f>
        <v>32035261.23</v>
      </c>
      <c r="D148" s="45">
        <f>SUMIFS('07导出'!$H$2:$H$1860,'07导出'!$A$2:$A$1860,A148,'07导出'!$C$2:$C$1860,"205")</f>
        <v>26829343.530000001</v>
      </c>
      <c r="E148" s="46">
        <f>SUMIFS('07导出'!$G$2:$G$1860,'07导出'!$A$2:$A$1860,A148,'07导出'!$D$2:$D$1860,"20502")</f>
        <v>31151065.580000002</v>
      </c>
      <c r="F148" s="46">
        <f>SUMIFS('07导出'!$H$2:$H$1860,'07导出'!$A$2:$A$1860,A148,'07导出'!$D$2:$D$1860,"20502")</f>
        <v>25857743.530000001</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0</v>
      </c>
      <c r="N148" s="46">
        <f>SUMIFS('07导出'!$H$2:$H$1860,'07导出'!$A$2:$A$1860,A148,'07导出'!$D$2:$D$1860,"20508")</f>
        <v>84800</v>
      </c>
      <c r="O148" s="46">
        <f>SUMIFS('07导出'!$G$2:$G$1860,'07导出'!$A$2:$A$1860,A148,'07导出'!$D$2:$D$1860,"20509")</f>
        <v>884195.65</v>
      </c>
      <c r="P148" s="46">
        <f>SUMIFS('07导出'!$H$2:$H$1860,'07导出'!$A$2:$A$1860,A148,'07导出'!$D$2:$D$1860,"20509")</f>
        <v>886800</v>
      </c>
      <c r="Q148" s="46">
        <f>SUMIFS('07导出'!$G$2:$G$1860,'07导出'!$A$2:$A$1860,A148,'07导出'!$C$2:$C$1860,"206")</f>
        <v>0</v>
      </c>
      <c r="R148" s="46">
        <f>SUMIFS('07导出'!$H$2:$H$1860,'07导出'!$A$2:$A$1860,A148,'07导出'!$C$2:$C$1860,"206")</f>
        <v>0</v>
      </c>
      <c r="S148" s="46">
        <f>SUMIFS('07导出'!$G$2:$G$1860,'07导出'!$A$2:$A$1860,A148,'07导出'!$D$2:$D$1860,"20607")</f>
        <v>0</v>
      </c>
      <c r="T148" s="46">
        <f>SUMIFS('07导出'!$H$2:$H$1860,'07导出'!$A$2:$A$1860,A148,'07导出'!$D$2:$D$1860,"20607")</f>
        <v>0</v>
      </c>
      <c r="U148" s="46">
        <f>SUMIFS('07导出'!$G$2:$G$1860,'07导出'!$A$2:$A$1860,A148,'07导出'!$C$2:$C$1860,"208")</f>
        <v>4763556.72</v>
      </c>
      <c r="V148" s="46">
        <f>SUMIFS('07导出'!$H$2:$H$1860,'07导出'!$A$2:$A$1860,A148,'07导出'!$C$2:$C$1860,"208")</f>
        <v>4779774.4000000004</v>
      </c>
      <c r="W148" s="46">
        <f>SUMIFS('07导出'!$G$2:$G$1860,'07导出'!$A$2:$A$1860,A148,'07导出'!$D$2:$D$1860,"20805")</f>
        <v>4763556.72</v>
      </c>
      <c r="X148" s="46">
        <f>SUMIFS('07导出'!$H$2:$H$1860,'07导出'!$A$2:$A$1860,A148,'07导出'!$D$2:$D$1860,"20805")</f>
        <v>4779774.4000000004</v>
      </c>
      <c r="Y148" s="46">
        <f>SUMIFS('07导出'!$G$2:$G$1860,'07导出'!$A$2:$A$1860,A148,'07导出'!$D$2:$D$1860,"20808")</f>
        <v>0</v>
      </c>
      <c r="Z148" s="46">
        <f>SUMIFS('07导出'!$H$2:$H$1860,'07导出'!$A$2:$A$1860,A148,'07导出'!$D$2:$D$1860,"20808")</f>
        <v>0</v>
      </c>
      <c r="AA148" s="46">
        <f>SUMIFS('07导出'!$G$2:$G$1860,'07导出'!$A$2:$A$1860,A148,'07导出'!$C$2:$C$1860,"210")</f>
        <v>2076491.96</v>
      </c>
      <c r="AB148" s="46">
        <f>SUMIFS('07导出'!$H$2:$H$1860,'07导出'!$A$2:$A$1860,A148,'07导出'!$C$2:$C$1860,"210")</f>
        <v>2046058.3</v>
      </c>
      <c r="AC148" s="46">
        <f>SUMIFS('07导出'!$G$2:$G$1860,'07导出'!$A$2:$A$1860,A148,'07导出'!$D$2:$D$1860,"21011")</f>
        <v>2076491.96</v>
      </c>
      <c r="AD148" s="46">
        <f>SUMIFS('07导出'!$H$2:$H$1860,'07导出'!$A$2:$A$1860,A148,'07导出'!$D$2:$D$1860,"21011")</f>
        <v>2046058.3</v>
      </c>
      <c r="AE148" s="46">
        <f>SUMIFS('07导出'!$G$2:$G$1860,'07导出'!$A$2:$A$1860,A148,'07导出'!$C$2:$C$1860,"212")</f>
        <v>0</v>
      </c>
      <c r="AF148" s="46">
        <f>SUMIFS('07导出'!$H$2:$H$1860,'07导出'!$A$2:$A$1860,A148,'07导出'!$C$2:$C$1860,"212")</f>
        <v>0</v>
      </c>
      <c r="AG148" s="46">
        <f>SUMIFS('07导出'!$G$2:$G$1860,'07导出'!$A$2:$A$1860,A148,'07导出'!$D$2:$D$1860,"21203")</f>
        <v>0</v>
      </c>
      <c r="AH148" s="46">
        <f>SUMIFS('07导出'!$H$2:$H$1860,'07导出'!$A$2:$A$1860,A148,'07导出'!$D$2:$D$1860,"21203")</f>
        <v>0</v>
      </c>
      <c r="AI148" s="46">
        <f>SUMIFS('07导出'!$G$2:$G$1860,'07导出'!$A$2:$A$1860,A148,'07导出'!$C$2:$C$1860,"213")</f>
        <v>0</v>
      </c>
      <c r="AJ148" s="46">
        <f>SUMIFS('07导出'!$H$2:$H$1860,'07导出'!$A$2:$A$1860,A148,'07导出'!$C$2:$C$1860,"213")</f>
        <v>0</v>
      </c>
      <c r="AK148" s="46">
        <f>SUMIFS('07导出'!$G$2:$G$1860,'07导出'!$A$2:$A$1860,A148,'07导出'!$D$2:$D$1860,"21305")</f>
        <v>0</v>
      </c>
      <c r="AL148" s="46">
        <f>SUMIFS('07导出'!$H$2:$H$1860,'07导出'!$A$2:$A$1860,A148,'07导出'!$D$2:$D$1860,"21305")</f>
        <v>0</v>
      </c>
      <c r="AM148" s="46">
        <f>SUMIFS('07导出'!$G$2:$G$1860,'07导出'!$A$2:$A$1860,A148,'07导出'!$C$2:$C$1860,"221")</f>
        <v>6262080</v>
      </c>
      <c r="AN148" s="46">
        <f>SUMIFS('07导出'!$H$2:$H$1860,'07导出'!$A$2:$A$1860,A148,'07导出'!$C$2:$C$1860,"221")</f>
        <v>5845489.2000000002</v>
      </c>
      <c r="AO148" s="46">
        <f>SUMIFS('07导出'!$G$2:$G$1860,'07导出'!$A$2:$A$1860,A148,'07导出'!$D$2:$D$1860,"22102")</f>
        <v>6262080</v>
      </c>
      <c r="AP148" s="46">
        <f>SUMIFS('07导出'!$H$2:$H$1860,'07导出'!$A$2:$A$1860,A148,'07导出'!$D$2:$D$1860,"22102")</f>
        <v>5845489.2000000002</v>
      </c>
    </row>
    <row r="149" spans="1:42">
      <c r="A149" s="43">
        <v>255188</v>
      </c>
      <c r="B149" s="44" t="s">
        <v>148</v>
      </c>
      <c r="C149" s="45">
        <f>SUMIFS('07导出'!$G$2:$G$1860,'07导出'!$A$2:$A$1860,A149,'07导出'!$C$2:$C$1860,"205")</f>
        <v>54916910.390000001</v>
      </c>
      <c r="D149" s="45">
        <f>SUMIFS('07导出'!$H$2:$H$1860,'07导出'!$A$2:$A$1860,A149,'07导出'!$C$2:$C$1860,"205")</f>
        <v>43564605.229999997</v>
      </c>
      <c r="E149" s="46">
        <f>SUMIFS('07导出'!$G$2:$G$1860,'07导出'!$A$2:$A$1860,A149,'07导出'!$D$2:$D$1860,"20502")</f>
        <v>45567926.539999999</v>
      </c>
      <c r="F149" s="46">
        <f>SUMIFS('07导出'!$H$2:$H$1860,'07导出'!$A$2:$A$1860,A149,'07导出'!$D$2:$D$1860,"20502")</f>
        <v>33953584.229999997</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13772.05</v>
      </c>
      <c r="N149" s="46">
        <f>SUMIFS('07导出'!$H$2:$H$1860,'07导出'!$A$2:$A$1860,A149,'07导出'!$D$2:$D$1860,"20508")</f>
        <v>28000</v>
      </c>
      <c r="O149" s="46">
        <f>SUMIFS('07导出'!$G$2:$G$1860,'07导出'!$A$2:$A$1860,A149,'07导出'!$D$2:$D$1860,"20509")</f>
        <v>9335211.8000000007</v>
      </c>
      <c r="P149" s="46">
        <f>SUMIFS('07导出'!$H$2:$H$1860,'07导出'!$A$2:$A$1860,A149,'07导出'!$D$2:$D$1860,"20509")</f>
        <v>9583021</v>
      </c>
      <c r="Q149" s="46">
        <f>SUMIFS('07导出'!$G$2:$G$1860,'07导出'!$A$2:$A$1860,A149,'07导出'!$C$2:$C$1860,"206")</f>
        <v>0</v>
      </c>
      <c r="R149" s="46">
        <f>SUMIFS('07导出'!$H$2:$H$1860,'07导出'!$A$2:$A$1860,A149,'07导出'!$C$2:$C$1860,"206")</f>
        <v>0</v>
      </c>
      <c r="S149" s="46">
        <f>SUMIFS('07导出'!$G$2:$G$1860,'07导出'!$A$2:$A$1860,A149,'07导出'!$D$2:$D$1860,"20607")</f>
        <v>0</v>
      </c>
      <c r="T149" s="46">
        <f>SUMIFS('07导出'!$H$2:$H$1860,'07导出'!$A$2:$A$1860,A149,'07导出'!$D$2:$D$1860,"20607")</f>
        <v>0</v>
      </c>
      <c r="U149" s="46">
        <f>SUMIFS('07导出'!$G$2:$G$1860,'07导出'!$A$2:$A$1860,A149,'07导出'!$C$2:$C$1860,"208")</f>
        <v>1448334.4000000001</v>
      </c>
      <c r="V149" s="46">
        <f>SUMIFS('07导出'!$H$2:$H$1860,'07导出'!$A$2:$A$1860,A149,'07导出'!$C$2:$C$1860,"208")</f>
        <v>1627078.7999999998</v>
      </c>
      <c r="W149" s="46">
        <f>SUMIFS('07导出'!$G$2:$G$1860,'07导出'!$A$2:$A$1860,A149,'07导出'!$D$2:$D$1860,"20805")</f>
        <v>1448334.4000000001</v>
      </c>
      <c r="X149" s="46">
        <f>SUMIFS('07导出'!$H$2:$H$1860,'07导出'!$A$2:$A$1860,A149,'07导出'!$D$2:$D$1860,"20805")</f>
        <v>1627078.7999999998</v>
      </c>
      <c r="Y149" s="46">
        <f>SUMIFS('07导出'!$G$2:$G$1860,'07导出'!$A$2:$A$1860,A149,'07导出'!$D$2:$D$1860,"20808")</f>
        <v>0</v>
      </c>
      <c r="Z149" s="46">
        <f>SUMIFS('07导出'!$H$2:$H$1860,'07导出'!$A$2:$A$1860,A149,'07导出'!$D$2:$D$1860,"20808")</f>
        <v>0</v>
      </c>
      <c r="AA149" s="46">
        <f>SUMIFS('07导出'!$G$2:$G$1860,'07导出'!$A$2:$A$1860,A149,'07导出'!$C$2:$C$1860,"210")</f>
        <v>744161.67</v>
      </c>
      <c r="AB149" s="46">
        <f>SUMIFS('07导出'!$H$2:$H$1860,'07导出'!$A$2:$A$1860,A149,'07导出'!$C$2:$C$1860,"210")</f>
        <v>660191.35</v>
      </c>
      <c r="AC149" s="46">
        <f>SUMIFS('07导出'!$G$2:$G$1860,'07导出'!$A$2:$A$1860,A149,'07导出'!$D$2:$D$1860,"21011")</f>
        <v>744161.67</v>
      </c>
      <c r="AD149" s="46">
        <f>SUMIFS('07导出'!$H$2:$H$1860,'07导出'!$A$2:$A$1860,A149,'07导出'!$D$2:$D$1860,"21011")</f>
        <v>660191.35</v>
      </c>
      <c r="AE149" s="46">
        <f>SUMIFS('07导出'!$G$2:$G$1860,'07导出'!$A$2:$A$1860,A149,'07导出'!$C$2:$C$1860,"212")</f>
        <v>0</v>
      </c>
      <c r="AF149" s="46">
        <f>SUMIFS('07导出'!$H$2:$H$1860,'07导出'!$A$2:$A$1860,A149,'07导出'!$C$2:$C$1860,"212")</f>
        <v>0</v>
      </c>
      <c r="AG149" s="46">
        <f>SUMIFS('07导出'!$G$2:$G$1860,'07导出'!$A$2:$A$1860,A149,'07导出'!$D$2:$D$1860,"21203")</f>
        <v>0</v>
      </c>
      <c r="AH149" s="46">
        <f>SUMIFS('07导出'!$H$2:$H$1860,'07导出'!$A$2:$A$1860,A149,'07导出'!$D$2:$D$1860,"21203")</f>
        <v>0</v>
      </c>
      <c r="AI149" s="46">
        <f>SUMIFS('07导出'!$G$2:$G$1860,'07导出'!$A$2:$A$1860,A149,'07导出'!$C$2:$C$1860,"213")</f>
        <v>0</v>
      </c>
      <c r="AJ149" s="46">
        <f>SUMIFS('07导出'!$H$2:$H$1860,'07导出'!$A$2:$A$1860,A149,'07导出'!$C$2:$C$1860,"213")</f>
        <v>0</v>
      </c>
      <c r="AK149" s="46">
        <f>SUMIFS('07导出'!$G$2:$G$1860,'07导出'!$A$2:$A$1860,A149,'07导出'!$D$2:$D$1860,"21305")</f>
        <v>0</v>
      </c>
      <c r="AL149" s="46">
        <f>SUMIFS('07导出'!$H$2:$H$1860,'07导出'!$A$2:$A$1860,A149,'07导出'!$D$2:$D$1860,"21305")</f>
        <v>0</v>
      </c>
      <c r="AM149" s="46">
        <f>SUMIFS('07导出'!$G$2:$G$1860,'07导出'!$A$2:$A$1860,A149,'07导出'!$C$2:$C$1860,"221")</f>
        <v>1897611</v>
      </c>
      <c r="AN149" s="46">
        <f>SUMIFS('07导出'!$H$2:$H$1860,'07导出'!$A$2:$A$1860,A149,'07导出'!$C$2:$C$1860,"221")</f>
        <v>1747763.4</v>
      </c>
      <c r="AO149" s="46">
        <f>SUMIFS('07导出'!$G$2:$G$1860,'07导出'!$A$2:$A$1860,A149,'07导出'!$D$2:$D$1860,"22102")</f>
        <v>1897611</v>
      </c>
      <c r="AP149" s="46">
        <f>SUMIFS('07导出'!$H$2:$H$1860,'07导出'!$A$2:$A$1860,A149,'07导出'!$D$2:$D$1860,"22102")</f>
        <v>1747763.4</v>
      </c>
    </row>
    <row r="150" spans="1:42">
      <c r="A150" s="43">
        <v>255190</v>
      </c>
      <c r="B150" s="44" t="s">
        <v>149</v>
      </c>
      <c r="C150" s="45">
        <f>SUMIFS('07导出'!$G$2:$G$1860,'07导出'!$A$2:$A$1860,A150,'07导出'!$C$2:$C$1860,"205")</f>
        <v>13836474.279999999</v>
      </c>
      <c r="D150" s="45">
        <f>SUMIFS('07导出'!$H$2:$H$1860,'07导出'!$A$2:$A$1860,A150,'07导出'!$C$2:$C$1860,"205")</f>
        <v>12251569.65</v>
      </c>
      <c r="E150" s="46">
        <f>SUMIFS('07导出'!$G$2:$G$1860,'07导出'!$A$2:$A$1860,A150,'07导出'!$D$2:$D$1860,"20502")</f>
        <v>13741894.279999999</v>
      </c>
      <c r="F150" s="46">
        <f>SUMIFS('07导出'!$H$2:$H$1860,'07导出'!$A$2:$A$1860,A150,'07导出'!$D$2:$D$1860,"20502")</f>
        <v>12136569.65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19580</v>
      </c>
      <c r="N150" s="46">
        <f>SUMIFS('07导出'!$H$2:$H$1860,'07导出'!$A$2:$A$1860,A150,'07导出'!$D$2:$D$1860,"20508")</f>
        <v>40000</v>
      </c>
      <c r="O150" s="46">
        <f>SUMIFS('07导出'!$G$2:$G$1860,'07导出'!$A$2:$A$1860,A150,'07导出'!$D$2:$D$1860,"20509")</f>
        <v>75000</v>
      </c>
      <c r="P150" s="46">
        <f>SUMIFS('07导出'!$H$2:$H$1860,'07导出'!$A$2:$A$1860,A150,'07导出'!$D$2:$D$1860,"20509")</f>
        <v>75000</v>
      </c>
      <c r="Q150" s="46">
        <f>SUMIFS('07导出'!$G$2:$G$1860,'07导出'!$A$2:$A$1860,A150,'07导出'!$C$2:$C$1860,"206")</f>
        <v>0</v>
      </c>
      <c r="R150" s="46">
        <f>SUMIFS('07导出'!$H$2:$H$1860,'07导出'!$A$2:$A$1860,A150,'07导出'!$C$2:$C$1860,"206")</f>
        <v>0</v>
      </c>
      <c r="S150" s="46">
        <f>SUMIFS('07导出'!$G$2:$G$1860,'07导出'!$A$2:$A$1860,A150,'07导出'!$D$2:$D$1860,"20607")</f>
        <v>0</v>
      </c>
      <c r="T150" s="46">
        <f>SUMIFS('07导出'!$H$2:$H$1860,'07导出'!$A$2:$A$1860,A150,'07导出'!$D$2:$D$1860,"20607")</f>
        <v>0</v>
      </c>
      <c r="U150" s="46">
        <f>SUMIFS('07导出'!$G$2:$G$1860,'07导出'!$A$2:$A$1860,A150,'07导出'!$C$2:$C$1860,"208")</f>
        <v>1576417.67</v>
      </c>
      <c r="V150" s="46">
        <f>SUMIFS('07导出'!$H$2:$H$1860,'07导出'!$A$2:$A$1860,A150,'07导出'!$C$2:$C$1860,"208")</f>
        <v>1650275.52</v>
      </c>
      <c r="W150" s="46">
        <f>SUMIFS('07导出'!$G$2:$G$1860,'07导出'!$A$2:$A$1860,A150,'07导出'!$D$2:$D$1860,"20805")</f>
        <v>1576417.67</v>
      </c>
      <c r="X150" s="46">
        <f>SUMIFS('07导出'!$H$2:$H$1860,'07导出'!$A$2:$A$1860,A150,'07导出'!$D$2:$D$1860,"20805")</f>
        <v>1650275.52</v>
      </c>
      <c r="Y150" s="46">
        <f>SUMIFS('07导出'!$G$2:$G$1860,'07导出'!$A$2:$A$1860,A150,'07导出'!$D$2:$D$1860,"20808")</f>
        <v>0</v>
      </c>
      <c r="Z150" s="46">
        <f>SUMIFS('07导出'!$H$2:$H$1860,'07导出'!$A$2:$A$1860,A150,'07导出'!$D$2:$D$1860,"20808")</f>
        <v>0</v>
      </c>
      <c r="AA150" s="46">
        <f>SUMIFS('07导出'!$G$2:$G$1860,'07导出'!$A$2:$A$1860,A150,'07导出'!$C$2:$C$1860,"210")</f>
        <v>877147.18</v>
      </c>
      <c r="AB150" s="46">
        <f>SUMIFS('07导出'!$H$2:$H$1860,'07导出'!$A$2:$A$1860,A150,'07导出'!$C$2:$C$1860,"210")</f>
        <v>893899.24</v>
      </c>
      <c r="AC150" s="46">
        <f>SUMIFS('07导出'!$G$2:$G$1860,'07导出'!$A$2:$A$1860,A150,'07导出'!$D$2:$D$1860,"21011")</f>
        <v>877147.18</v>
      </c>
      <c r="AD150" s="46">
        <f>SUMIFS('07导出'!$H$2:$H$1860,'07导出'!$A$2:$A$1860,A150,'07导出'!$D$2:$D$1860,"21011")</f>
        <v>893899.24</v>
      </c>
      <c r="AE150" s="46">
        <f>SUMIFS('07导出'!$G$2:$G$1860,'07导出'!$A$2:$A$1860,A150,'07导出'!$C$2:$C$1860,"212")</f>
        <v>0</v>
      </c>
      <c r="AF150" s="46">
        <f>SUMIFS('07导出'!$H$2:$H$1860,'07导出'!$A$2:$A$1860,A150,'07导出'!$C$2:$C$1860,"212")</f>
        <v>0</v>
      </c>
      <c r="AG150" s="46">
        <f>SUMIFS('07导出'!$G$2:$G$1860,'07导出'!$A$2:$A$1860,A150,'07导出'!$D$2:$D$1860,"21203")</f>
        <v>0</v>
      </c>
      <c r="AH150" s="46">
        <f>SUMIFS('07导出'!$H$2:$H$1860,'07导出'!$A$2:$A$1860,A150,'07导出'!$D$2:$D$1860,"21203")</f>
        <v>0</v>
      </c>
      <c r="AI150" s="46">
        <f>SUMIFS('07导出'!$G$2:$G$1860,'07导出'!$A$2:$A$1860,A150,'07导出'!$C$2:$C$1860,"213")</f>
        <v>0</v>
      </c>
      <c r="AJ150" s="46">
        <f>SUMIFS('07导出'!$H$2:$H$1860,'07导出'!$A$2:$A$1860,A150,'07导出'!$C$2:$C$1860,"213")</f>
        <v>0</v>
      </c>
      <c r="AK150" s="46">
        <f>SUMIFS('07导出'!$G$2:$G$1860,'07导出'!$A$2:$A$1860,A150,'07导出'!$D$2:$D$1860,"21305")</f>
        <v>0</v>
      </c>
      <c r="AL150" s="46">
        <f>SUMIFS('07导出'!$H$2:$H$1860,'07导出'!$A$2:$A$1860,A150,'07导出'!$D$2:$D$1860,"21305")</f>
        <v>0</v>
      </c>
      <c r="AM150" s="46">
        <f>SUMIFS('07导出'!$G$2:$G$1860,'07导出'!$A$2:$A$1860,A150,'07导出'!$C$2:$C$1860,"221")</f>
        <v>2064566</v>
      </c>
      <c r="AN150" s="46">
        <f>SUMIFS('07导出'!$H$2:$H$1860,'07导出'!$A$2:$A$1860,A150,'07导出'!$C$2:$C$1860,"221")</f>
        <v>2125997.7599999998</v>
      </c>
      <c r="AO150" s="46">
        <f>SUMIFS('07导出'!$G$2:$G$1860,'07导出'!$A$2:$A$1860,A150,'07导出'!$D$2:$D$1860,"22102")</f>
        <v>2064566</v>
      </c>
      <c r="AP150" s="46">
        <f>SUMIFS('07导出'!$H$2:$H$1860,'07导出'!$A$2:$A$1860,A150,'07导出'!$D$2:$D$1860,"22102")</f>
        <v>2125997.7599999998</v>
      </c>
    </row>
    <row r="151" spans="1:42">
      <c r="A151" s="43">
        <v>255191</v>
      </c>
      <c r="B151" s="44" t="s">
        <v>150</v>
      </c>
      <c r="C151" s="45">
        <f>SUMIFS('07导出'!$G$2:$G$1860,'07导出'!$A$2:$A$1860,A151,'07导出'!$C$2:$C$1860,"205")</f>
        <v>9595807.0399999991</v>
      </c>
      <c r="D151" s="45">
        <f>SUMIFS('07导出'!$H$2:$H$1860,'07导出'!$A$2:$A$1860,A151,'07导出'!$C$2:$C$1860,"205")</f>
        <v>8465835.5399999991</v>
      </c>
      <c r="E151" s="46">
        <f>SUMIFS('07导出'!$G$2:$G$1860,'07导出'!$A$2:$A$1860,A151,'07导出'!$D$2:$D$1860,"20502")</f>
        <v>9433894.9299999997</v>
      </c>
      <c r="F151" s="46">
        <f>SUMIFS('07导出'!$H$2:$H$1860,'07导出'!$A$2:$A$1860,A151,'07导出'!$D$2:$D$1860,"20502")</f>
        <v>8287635.54</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13600</v>
      </c>
      <c r="N151" s="46">
        <f>SUMIFS('07导出'!$H$2:$H$1860,'07导出'!$A$2:$A$1860,A151,'07导出'!$D$2:$D$1860,"20508")</f>
        <v>27200</v>
      </c>
      <c r="O151" s="46">
        <f>SUMIFS('07导出'!$G$2:$G$1860,'07导出'!$A$2:$A$1860,A151,'07导出'!$D$2:$D$1860,"20509")</f>
        <v>148312.10999999999</v>
      </c>
      <c r="P151" s="46">
        <f>SUMIFS('07导出'!$H$2:$H$1860,'07导出'!$A$2:$A$1860,A151,'07导出'!$D$2:$D$1860,"20509")</f>
        <v>151000</v>
      </c>
      <c r="Q151" s="46">
        <f>SUMIFS('07导出'!$G$2:$G$1860,'07导出'!$A$2:$A$1860,A151,'07导出'!$C$2:$C$1860,"206")</f>
        <v>0</v>
      </c>
      <c r="R151" s="46">
        <f>SUMIFS('07导出'!$H$2:$H$1860,'07导出'!$A$2:$A$1860,A151,'07导出'!$C$2:$C$1860,"206")</f>
        <v>0</v>
      </c>
      <c r="S151" s="46">
        <f>SUMIFS('07导出'!$G$2:$G$1860,'07导出'!$A$2:$A$1860,A151,'07导出'!$D$2:$D$1860,"20607")</f>
        <v>0</v>
      </c>
      <c r="T151" s="46">
        <f>SUMIFS('07导出'!$H$2:$H$1860,'07导出'!$A$2:$A$1860,A151,'07导出'!$D$2:$D$1860,"20607")</f>
        <v>0</v>
      </c>
      <c r="U151" s="46">
        <f>SUMIFS('07导出'!$G$2:$G$1860,'07导出'!$A$2:$A$1860,A151,'07导出'!$C$2:$C$1860,"208")</f>
        <v>1112711.52</v>
      </c>
      <c r="V151" s="46">
        <f>SUMIFS('07导出'!$H$2:$H$1860,'07导出'!$A$2:$A$1860,A151,'07导出'!$C$2:$C$1860,"208")</f>
        <v>1132292.8800000001</v>
      </c>
      <c r="W151" s="46">
        <f>SUMIFS('07导出'!$G$2:$G$1860,'07导出'!$A$2:$A$1860,A151,'07导出'!$D$2:$D$1860,"20805")</f>
        <v>1112711.52</v>
      </c>
      <c r="X151" s="46">
        <f>SUMIFS('07导出'!$H$2:$H$1860,'07导出'!$A$2:$A$1860,A151,'07导出'!$D$2:$D$1860,"20805")</f>
        <v>1132292.8800000001</v>
      </c>
      <c r="Y151" s="46">
        <f>SUMIFS('07导出'!$G$2:$G$1860,'07导出'!$A$2:$A$1860,A151,'07导出'!$D$2:$D$1860,"20808")</f>
        <v>0</v>
      </c>
      <c r="Z151" s="46">
        <f>SUMIFS('07导出'!$H$2:$H$1860,'07导出'!$A$2:$A$1860,A151,'07导出'!$D$2:$D$1860,"20808")</f>
        <v>0</v>
      </c>
      <c r="AA151" s="46">
        <f>SUMIFS('07导出'!$G$2:$G$1860,'07导出'!$A$2:$A$1860,A151,'07导出'!$C$2:$C$1860,"210")</f>
        <v>720764.37</v>
      </c>
      <c r="AB151" s="46">
        <f>SUMIFS('07导出'!$H$2:$H$1860,'07导出'!$A$2:$A$1860,A151,'07导出'!$C$2:$C$1860,"210")</f>
        <v>613325.31000000006</v>
      </c>
      <c r="AC151" s="46">
        <f>SUMIFS('07导出'!$G$2:$G$1860,'07导出'!$A$2:$A$1860,A151,'07导出'!$D$2:$D$1860,"21011")</f>
        <v>720764.37</v>
      </c>
      <c r="AD151" s="46">
        <f>SUMIFS('07导出'!$H$2:$H$1860,'07导出'!$A$2:$A$1860,A151,'07导出'!$D$2:$D$1860,"21011")</f>
        <v>613325.31000000006</v>
      </c>
      <c r="AE151" s="46">
        <f>SUMIFS('07导出'!$G$2:$G$1860,'07导出'!$A$2:$A$1860,A151,'07导出'!$C$2:$C$1860,"212")</f>
        <v>0</v>
      </c>
      <c r="AF151" s="46">
        <f>SUMIFS('07导出'!$H$2:$H$1860,'07导出'!$A$2:$A$1860,A151,'07导出'!$C$2:$C$1860,"212")</f>
        <v>0</v>
      </c>
      <c r="AG151" s="46">
        <f>SUMIFS('07导出'!$G$2:$G$1860,'07导出'!$A$2:$A$1860,A151,'07导出'!$D$2:$D$1860,"21203")</f>
        <v>0</v>
      </c>
      <c r="AH151" s="46">
        <f>SUMIFS('07导出'!$H$2:$H$1860,'07导出'!$A$2:$A$1860,A151,'07导出'!$D$2:$D$1860,"21203")</f>
        <v>0</v>
      </c>
      <c r="AI151" s="46">
        <f>SUMIFS('07导出'!$G$2:$G$1860,'07导出'!$A$2:$A$1860,A151,'07导出'!$C$2:$C$1860,"213")</f>
        <v>0</v>
      </c>
      <c r="AJ151" s="46">
        <f>SUMIFS('07导出'!$H$2:$H$1860,'07导出'!$A$2:$A$1860,A151,'07导出'!$C$2:$C$1860,"213")</f>
        <v>0</v>
      </c>
      <c r="AK151" s="46">
        <f>SUMIFS('07导出'!$G$2:$G$1860,'07导出'!$A$2:$A$1860,A151,'07导出'!$D$2:$D$1860,"21305")</f>
        <v>0</v>
      </c>
      <c r="AL151" s="46">
        <f>SUMIFS('07导出'!$H$2:$H$1860,'07导出'!$A$2:$A$1860,A151,'07导出'!$D$2:$D$1860,"21305")</f>
        <v>0</v>
      </c>
      <c r="AM151" s="46">
        <f>SUMIFS('07导出'!$G$2:$G$1860,'07导出'!$A$2:$A$1860,A151,'07导出'!$C$2:$C$1860,"221")</f>
        <v>1600581.4</v>
      </c>
      <c r="AN151" s="46">
        <f>SUMIFS('07导出'!$H$2:$H$1860,'07导出'!$A$2:$A$1860,A151,'07导出'!$C$2:$C$1860,"221")</f>
        <v>1542994.44</v>
      </c>
      <c r="AO151" s="46">
        <f>SUMIFS('07导出'!$G$2:$G$1860,'07导出'!$A$2:$A$1860,A151,'07导出'!$D$2:$D$1860,"22102")</f>
        <v>1600581.4</v>
      </c>
      <c r="AP151" s="46">
        <f>SUMIFS('07导出'!$H$2:$H$1860,'07导出'!$A$2:$A$1860,A151,'07导出'!$D$2:$D$1860,"22102")</f>
        <v>1542994.44</v>
      </c>
    </row>
    <row r="152" spans="1:42">
      <c r="A152" s="43">
        <v>255192</v>
      </c>
      <c r="B152" s="44" t="s">
        <v>151</v>
      </c>
      <c r="C152" s="45">
        <f>SUMIFS('07导出'!$G$2:$G$1860,'07导出'!$A$2:$A$1860,A152,'07导出'!$C$2:$C$1860,"205")</f>
        <v>22080230.650000002</v>
      </c>
      <c r="D152" s="45">
        <f>SUMIFS('07导出'!$H$2:$H$1860,'07导出'!$A$2:$A$1860,A152,'07导出'!$C$2:$C$1860,"205")</f>
        <v>16477300.630000001</v>
      </c>
      <c r="E152" s="46">
        <f>SUMIFS('07导出'!$G$2:$G$1860,'07导出'!$A$2:$A$1860,A152,'07导出'!$D$2:$D$1860,"20502")</f>
        <v>21607961.120000001</v>
      </c>
      <c r="F152" s="46">
        <f>SUMIFS('07导出'!$H$2:$H$1860,'07导出'!$A$2:$A$1860,A152,'07导出'!$D$2:$D$1860,"20502")</f>
        <v>15953200.630000001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0</v>
      </c>
      <c r="N152" s="46">
        <f>SUMIFS('07导出'!$H$2:$H$1860,'07导出'!$A$2:$A$1860,A152,'07导出'!$D$2:$D$1860,"20508")</f>
        <v>48800</v>
      </c>
      <c r="O152" s="46">
        <f>SUMIFS('07导出'!$G$2:$G$1860,'07导出'!$A$2:$A$1860,A152,'07导出'!$D$2:$D$1860,"20509")</f>
        <v>472269.53</v>
      </c>
      <c r="P152" s="46">
        <f>SUMIFS('07导出'!$H$2:$H$1860,'07导出'!$A$2:$A$1860,A152,'07导出'!$D$2:$D$1860,"20509")</f>
        <v>475300</v>
      </c>
      <c r="Q152" s="46">
        <f>SUMIFS('07导出'!$G$2:$G$1860,'07导出'!$A$2:$A$1860,A152,'07导出'!$C$2:$C$1860,"206")</f>
        <v>0</v>
      </c>
      <c r="R152" s="46">
        <f>SUMIFS('07导出'!$H$2:$H$1860,'07导出'!$A$2:$A$1860,A152,'07导出'!$C$2:$C$1860,"206")</f>
        <v>0</v>
      </c>
      <c r="S152" s="46">
        <f>SUMIFS('07导出'!$G$2:$G$1860,'07导出'!$A$2:$A$1860,A152,'07导出'!$D$2:$D$1860,"20607")</f>
        <v>0</v>
      </c>
      <c r="T152" s="46">
        <f>SUMIFS('07导出'!$H$2:$H$1860,'07导出'!$A$2:$A$1860,A152,'07导出'!$D$2:$D$1860,"20607")</f>
        <v>0</v>
      </c>
      <c r="U152" s="46">
        <f>SUMIFS('07导出'!$G$2:$G$1860,'07导出'!$A$2:$A$1860,A152,'07导出'!$C$2:$C$1860,"208")</f>
        <v>2124253.58</v>
      </c>
      <c r="V152" s="46">
        <f>SUMIFS('07导出'!$H$2:$H$1860,'07导出'!$A$2:$A$1860,A152,'07导出'!$C$2:$C$1860,"208")</f>
        <v>1956903.42</v>
      </c>
      <c r="W152" s="46">
        <f>SUMIFS('07导出'!$G$2:$G$1860,'07导出'!$A$2:$A$1860,A152,'07导出'!$D$2:$D$1860,"20805")</f>
        <v>2124253.58</v>
      </c>
      <c r="X152" s="46">
        <f>SUMIFS('07导出'!$H$2:$H$1860,'07导出'!$A$2:$A$1860,A152,'07导出'!$D$2:$D$1860,"20805")</f>
        <v>1956903.42</v>
      </c>
      <c r="Y152" s="46">
        <f>SUMIFS('07导出'!$G$2:$G$1860,'07导出'!$A$2:$A$1860,A152,'07导出'!$D$2:$D$1860,"20808")</f>
        <v>0</v>
      </c>
      <c r="Z152" s="46">
        <f>SUMIFS('07导出'!$H$2:$H$1860,'07导出'!$A$2:$A$1860,A152,'07导出'!$D$2:$D$1860,"20808")</f>
        <v>0</v>
      </c>
      <c r="AA152" s="46">
        <f>SUMIFS('07导出'!$G$2:$G$1860,'07导出'!$A$2:$A$1860,A152,'07导出'!$C$2:$C$1860,"210")</f>
        <v>1178987.96</v>
      </c>
      <c r="AB152" s="46">
        <f>SUMIFS('07导出'!$H$2:$H$1860,'07导出'!$A$2:$A$1860,A152,'07导出'!$C$2:$C$1860,"210")</f>
        <v>1059989.3500000001</v>
      </c>
      <c r="AC152" s="46">
        <f>SUMIFS('07导出'!$G$2:$G$1860,'07导出'!$A$2:$A$1860,A152,'07导出'!$D$2:$D$1860,"21011")</f>
        <v>1178987.96</v>
      </c>
      <c r="AD152" s="46">
        <f>SUMIFS('07导出'!$H$2:$H$1860,'07导出'!$A$2:$A$1860,A152,'07导出'!$D$2:$D$1860,"21011")</f>
        <v>1059989.3500000001</v>
      </c>
      <c r="AE152" s="46">
        <f>SUMIFS('07导出'!$G$2:$G$1860,'07导出'!$A$2:$A$1860,A152,'07导出'!$C$2:$C$1860,"212")</f>
        <v>0</v>
      </c>
      <c r="AF152" s="46">
        <f>SUMIFS('07导出'!$H$2:$H$1860,'07导出'!$A$2:$A$1860,A152,'07导出'!$C$2:$C$1860,"212")</f>
        <v>0</v>
      </c>
      <c r="AG152" s="46">
        <f>SUMIFS('07导出'!$G$2:$G$1860,'07导出'!$A$2:$A$1860,A152,'07导出'!$D$2:$D$1860,"21203")</f>
        <v>0</v>
      </c>
      <c r="AH152" s="46">
        <f>SUMIFS('07导出'!$H$2:$H$1860,'07导出'!$A$2:$A$1860,A152,'07导出'!$D$2:$D$1860,"21203")</f>
        <v>0</v>
      </c>
      <c r="AI152" s="46">
        <f>SUMIFS('07导出'!$G$2:$G$1860,'07导出'!$A$2:$A$1860,A152,'07导出'!$C$2:$C$1860,"213")</f>
        <v>0</v>
      </c>
      <c r="AJ152" s="46">
        <f>SUMIFS('07导出'!$H$2:$H$1860,'07导出'!$A$2:$A$1860,A152,'07导出'!$C$2:$C$1860,"213")</f>
        <v>0</v>
      </c>
      <c r="AK152" s="46">
        <f>SUMIFS('07导出'!$G$2:$G$1860,'07导出'!$A$2:$A$1860,A152,'07导出'!$D$2:$D$1860,"21305")</f>
        <v>0</v>
      </c>
      <c r="AL152" s="46">
        <f>SUMIFS('07导出'!$H$2:$H$1860,'07导出'!$A$2:$A$1860,A152,'07导出'!$D$2:$D$1860,"21305")</f>
        <v>0</v>
      </c>
      <c r="AM152" s="46">
        <f>SUMIFS('07导出'!$G$2:$G$1860,'07导出'!$A$2:$A$1860,A152,'07导出'!$C$2:$C$1860,"221")</f>
        <v>2838032</v>
      </c>
      <c r="AN152" s="46">
        <f>SUMIFS('07导出'!$H$2:$H$1860,'07导出'!$A$2:$A$1860,A152,'07导出'!$C$2:$C$1860,"221")</f>
        <v>2942755.71</v>
      </c>
      <c r="AO152" s="46">
        <f>SUMIFS('07导出'!$G$2:$G$1860,'07导出'!$A$2:$A$1860,A152,'07导出'!$D$2:$D$1860,"22102")</f>
        <v>2838032</v>
      </c>
      <c r="AP152" s="46">
        <f>SUMIFS('07导出'!$H$2:$H$1860,'07导出'!$A$2:$A$1860,A152,'07导出'!$D$2:$D$1860,"22102")</f>
        <v>2942755.71</v>
      </c>
    </row>
    <row r="153" spans="1:42">
      <c r="A153" s="43">
        <v>255193</v>
      </c>
      <c r="B153" s="44" t="s">
        <v>152</v>
      </c>
      <c r="C153" s="45">
        <f>SUMIFS('07导出'!$G$2:$G$1860,'07导出'!$A$2:$A$1860,A153,'07导出'!$C$2:$C$1860,"205")</f>
        <v>16988202.489999998</v>
      </c>
      <c r="D153" s="45">
        <f>SUMIFS('07导出'!$H$2:$H$1860,'07导出'!$A$2:$A$1860,A153,'07导出'!$C$2:$C$1860,"205")</f>
        <v>14850596.85</v>
      </c>
      <c r="E153" s="46">
        <f>SUMIFS('07导出'!$G$2:$G$1860,'07导出'!$A$2:$A$1860,A153,'07导出'!$D$2:$D$1860,"20502")</f>
        <v>16859962.489999998</v>
      </c>
      <c r="F153" s="46">
        <f>SUMIFS('07导出'!$H$2:$H$1860,'07导出'!$A$2:$A$1860,A153,'07导出'!$D$2:$D$1860,"20502")</f>
        <v>14696356.85</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26000</v>
      </c>
      <c r="N153" s="46">
        <f>SUMIFS('07导出'!$H$2:$H$1860,'07导出'!$A$2:$A$1860,A153,'07导出'!$D$2:$D$1860,"20508")</f>
        <v>52000</v>
      </c>
      <c r="O153" s="46">
        <f>SUMIFS('07导出'!$G$2:$G$1860,'07导出'!$A$2:$A$1860,A153,'07导出'!$D$2:$D$1860,"20509")</f>
        <v>102240</v>
      </c>
      <c r="P153" s="46">
        <f>SUMIFS('07导出'!$H$2:$H$1860,'07导出'!$A$2:$A$1860,A153,'07导出'!$D$2:$D$1860,"20509")</f>
        <v>102240</v>
      </c>
      <c r="Q153" s="46">
        <f>SUMIFS('07导出'!$G$2:$G$1860,'07导出'!$A$2:$A$1860,A153,'07导出'!$C$2:$C$1860,"206")</f>
        <v>0</v>
      </c>
      <c r="R153" s="46">
        <f>SUMIFS('07导出'!$H$2:$H$1860,'07导出'!$A$2:$A$1860,A153,'07导出'!$C$2:$C$1860,"206")</f>
        <v>0</v>
      </c>
      <c r="S153" s="46">
        <f>SUMIFS('07导出'!$G$2:$G$1860,'07导出'!$A$2:$A$1860,A153,'07导出'!$D$2:$D$1860,"20607")</f>
        <v>0</v>
      </c>
      <c r="T153" s="46">
        <f>SUMIFS('07导出'!$H$2:$H$1860,'07导出'!$A$2:$A$1860,A153,'07导出'!$D$2:$D$1860,"20607")</f>
        <v>0</v>
      </c>
      <c r="U153" s="46">
        <f>SUMIFS('07导出'!$G$2:$G$1860,'07导出'!$A$2:$A$1860,A153,'07导出'!$C$2:$C$1860,"208")</f>
        <v>1733365.7599999998</v>
      </c>
      <c r="V153" s="46">
        <f>SUMIFS('07导出'!$H$2:$H$1860,'07导出'!$A$2:$A$1860,A153,'07导出'!$C$2:$C$1860,"208")</f>
        <v>1827975.11</v>
      </c>
      <c r="W153" s="46">
        <f>SUMIFS('07导出'!$G$2:$G$1860,'07导出'!$A$2:$A$1860,A153,'07导出'!$D$2:$D$1860,"20805")</f>
        <v>1733365.7599999998</v>
      </c>
      <c r="X153" s="46">
        <f>SUMIFS('07导出'!$H$2:$H$1860,'07导出'!$A$2:$A$1860,A153,'07导出'!$D$2:$D$1860,"20805")</f>
        <v>1827975.11</v>
      </c>
      <c r="Y153" s="46">
        <f>SUMIFS('07导出'!$G$2:$G$1860,'07导出'!$A$2:$A$1860,A153,'07导出'!$D$2:$D$1860,"20808")</f>
        <v>0</v>
      </c>
      <c r="Z153" s="46">
        <f>SUMIFS('07导出'!$H$2:$H$1860,'07导出'!$A$2:$A$1860,A153,'07导出'!$D$2:$D$1860,"20808")</f>
        <v>0</v>
      </c>
      <c r="AA153" s="46">
        <f>SUMIFS('07导出'!$G$2:$G$1860,'07导出'!$A$2:$A$1860,A153,'07导出'!$C$2:$C$1860,"210")</f>
        <v>998636.84</v>
      </c>
      <c r="AB153" s="46">
        <f>SUMIFS('07导出'!$H$2:$H$1860,'07导出'!$A$2:$A$1860,A153,'07导出'!$C$2:$C$1860,"210")</f>
        <v>982190.68</v>
      </c>
      <c r="AC153" s="46">
        <f>SUMIFS('07导出'!$G$2:$G$1860,'07导出'!$A$2:$A$1860,A153,'07导出'!$D$2:$D$1860,"21011")</f>
        <v>998636.84</v>
      </c>
      <c r="AD153" s="46">
        <f>SUMIFS('07导出'!$H$2:$H$1860,'07导出'!$A$2:$A$1860,A153,'07导出'!$D$2:$D$1860,"21011")</f>
        <v>982190.68</v>
      </c>
      <c r="AE153" s="46">
        <f>SUMIFS('07导出'!$G$2:$G$1860,'07导出'!$A$2:$A$1860,A153,'07导出'!$C$2:$C$1860,"212")</f>
        <v>0</v>
      </c>
      <c r="AF153" s="46">
        <f>SUMIFS('07导出'!$H$2:$H$1860,'07导出'!$A$2:$A$1860,A153,'07导出'!$C$2:$C$1860,"212")</f>
        <v>0</v>
      </c>
      <c r="AG153" s="46">
        <f>SUMIFS('07导出'!$G$2:$G$1860,'07导出'!$A$2:$A$1860,A153,'07导出'!$D$2:$D$1860,"21203")</f>
        <v>0</v>
      </c>
      <c r="AH153" s="46">
        <f>SUMIFS('07导出'!$H$2:$H$1860,'07导出'!$A$2:$A$1860,A153,'07导出'!$D$2:$D$1860,"21203")</f>
        <v>0</v>
      </c>
      <c r="AI153" s="46">
        <f>SUMIFS('07导出'!$G$2:$G$1860,'07导出'!$A$2:$A$1860,A153,'07导出'!$C$2:$C$1860,"213")</f>
        <v>0</v>
      </c>
      <c r="AJ153" s="46">
        <f>SUMIFS('07导出'!$H$2:$H$1860,'07导出'!$A$2:$A$1860,A153,'07导出'!$C$2:$C$1860,"213")</f>
        <v>0</v>
      </c>
      <c r="AK153" s="46">
        <f>SUMIFS('07导出'!$G$2:$G$1860,'07导出'!$A$2:$A$1860,A153,'07导出'!$D$2:$D$1860,"21305")</f>
        <v>0</v>
      </c>
      <c r="AL153" s="46">
        <f>SUMIFS('07导出'!$H$2:$H$1860,'07导出'!$A$2:$A$1860,A153,'07导出'!$D$2:$D$1860,"21305")</f>
        <v>0</v>
      </c>
      <c r="AM153" s="46">
        <f>SUMIFS('07导出'!$G$2:$G$1860,'07导出'!$A$2:$A$1860,A153,'07导出'!$C$2:$C$1860,"221")</f>
        <v>2650719</v>
      </c>
      <c r="AN153" s="46">
        <f>SUMIFS('07导出'!$H$2:$H$1860,'07导出'!$A$2:$A$1860,A153,'07导出'!$C$2:$C$1860,"221")</f>
        <v>2734753.56</v>
      </c>
      <c r="AO153" s="46">
        <f>SUMIFS('07导出'!$G$2:$G$1860,'07导出'!$A$2:$A$1860,A153,'07导出'!$D$2:$D$1860,"22102")</f>
        <v>2650719</v>
      </c>
      <c r="AP153" s="46">
        <f>SUMIFS('07导出'!$H$2:$H$1860,'07导出'!$A$2:$A$1860,A153,'07导出'!$D$2:$D$1860,"22102")</f>
        <v>2734753.56</v>
      </c>
    </row>
    <row r="154" spans="1:42">
      <c r="A154" s="43">
        <v>255194</v>
      </c>
      <c r="B154" s="44" t="s">
        <v>153</v>
      </c>
      <c r="C154" s="45">
        <f>SUMIFS('07导出'!$G$2:$G$1860,'07导出'!$A$2:$A$1860,A154,'07导出'!$C$2:$C$1860,"205")</f>
        <v>9104936.7100000009</v>
      </c>
      <c r="D154" s="45">
        <f>SUMIFS('07导出'!$H$2:$H$1860,'07导出'!$A$2:$A$1860,A154,'07导出'!$C$2:$C$1860,"205")</f>
        <v>6624055.8799999999</v>
      </c>
      <c r="E154" s="46">
        <f>SUMIFS('07导出'!$G$2:$G$1860,'07导出'!$A$2:$A$1860,A154,'07导出'!$D$2:$D$1860,"20502")</f>
        <v>8915686.7100000009</v>
      </c>
      <c r="F154" s="46">
        <f>SUMIFS('07导出'!$H$2:$H$1860,'07导出'!$A$2:$A$1860,A154,'07导出'!$D$2:$D$1860,"20502")</f>
        <v>6384405.8799999999</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12800</v>
      </c>
      <c r="N154" s="46">
        <f>SUMIFS('07导出'!$H$2:$H$1860,'07导出'!$A$2:$A$1860,A154,'07导出'!$D$2:$D$1860,"20508")</f>
        <v>25600</v>
      </c>
      <c r="O154" s="46">
        <f>SUMIFS('07导出'!$G$2:$G$1860,'07导出'!$A$2:$A$1860,A154,'07导出'!$D$2:$D$1860,"20509")</f>
        <v>176450</v>
      </c>
      <c r="P154" s="46">
        <f>SUMIFS('07导出'!$H$2:$H$1860,'07导出'!$A$2:$A$1860,A154,'07导出'!$D$2:$D$1860,"20509")</f>
        <v>214050</v>
      </c>
      <c r="Q154" s="46">
        <f>SUMIFS('07导出'!$G$2:$G$1860,'07导出'!$A$2:$A$1860,A154,'07导出'!$C$2:$C$1860,"206")</f>
        <v>0</v>
      </c>
      <c r="R154" s="46">
        <f>SUMIFS('07导出'!$H$2:$H$1860,'07导出'!$A$2:$A$1860,A154,'07导出'!$C$2:$C$1860,"206")</f>
        <v>0</v>
      </c>
      <c r="S154" s="46">
        <f>SUMIFS('07导出'!$G$2:$G$1860,'07导出'!$A$2:$A$1860,A154,'07导出'!$D$2:$D$1860,"20607")</f>
        <v>0</v>
      </c>
      <c r="T154" s="46">
        <f>SUMIFS('07导出'!$H$2:$H$1860,'07导出'!$A$2:$A$1860,A154,'07导出'!$D$2:$D$1860,"20607")</f>
        <v>0</v>
      </c>
      <c r="U154" s="46">
        <f>SUMIFS('07导出'!$G$2:$G$1860,'07导出'!$A$2:$A$1860,A154,'07导出'!$C$2:$C$1860,"208")</f>
        <v>905263.20000000007</v>
      </c>
      <c r="V154" s="46">
        <f>SUMIFS('07导出'!$H$2:$H$1860,'07导出'!$A$2:$A$1860,A154,'07导出'!$C$2:$C$1860,"208")</f>
        <v>649163.52000000002</v>
      </c>
      <c r="W154" s="46">
        <f>SUMIFS('07导出'!$G$2:$G$1860,'07导出'!$A$2:$A$1860,A154,'07导出'!$D$2:$D$1860,"20805")</f>
        <v>905263.20000000007</v>
      </c>
      <c r="X154" s="46">
        <f>SUMIFS('07导出'!$H$2:$H$1860,'07导出'!$A$2:$A$1860,A154,'07导出'!$D$2:$D$1860,"20805")</f>
        <v>649163.52000000002</v>
      </c>
      <c r="Y154" s="46">
        <f>SUMIFS('07导出'!$G$2:$G$1860,'07导出'!$A$2:$A$1860,A154,'07导出'!$D$2:$D$1860,"20808")</f>
        <v>0</v>
      </c>
      <c r="Z154" s="46">
        <f>SUMIFS('07导出'!$H$2:$H$1860,'07导出'!$A$2:$A$1860,A154,'07导出'!$D$2:$D$1860,"20808")</f>
        <v>0</v>
      </c>
      <c r="AA154" s="46">
        <f>SUMIFS('07导出'!$G$2:$G$1860,'07导出'!$A$2:$A$1860,A154,'07导出'!$C$2:$C$1860,"210")</f>
        <v>513539.14</v>
      </c>
      <c r="AB154" s="46">
        <f>SUMIFS('07导出'!$H$2:$H$1860,'07导出'!$A$2:$A$1860,A154,'07导出'!$C$2:$C$1860,"210")</f>
        <v>351630.24</v>
      </c>
      <c r="AC154" s="46">
        <f>SUMIFS('07导出'!$G$2:$G$1860,'07导出'!$A$2:$A$1860,A154,'07导出'!$D$2:$D$1860,"21011")</f>
        <v>513539.14</v>
      </c>
      <c r="AD154" s="46">
        <f>SUMIFS('07导出'!$H$2:$H$1860,'07导出'!$A$2:$A$1860,A154,'07导出'!$D$2:$D$1860,"21011")</f>
        <v>351630.24</v>
      </c>
      <c r="AE154" s="46">
        <f>SUMIFS('07导出'!$G$2:$G$1860,'07导出'!$A$2:$A$1860,A154,'07导出'!$C$2:$C$1860,"212")</f>
        <v>0</v>
      </c>
      <c r="AF154" s="46">
        <f>SUMIFS('07导出'!$H$2:$H$1860,'07导出'!$A$2:$A$1860,A154,'07导出'!$C$2:$C$1860,"212")</f>
        <v>0</v>
      </c>
      <c r="AG154" s="46">
        <f>SUMIFS('07导出'!$G$2:$G$1860,'07导出'!$A$2:$A$1860,A154,'07导出'!$D$2:$D$1860,"21203")</f>
        <v>0</v>
      </c>
      <c r="AH154" s="46">
        <f>SUMIFS('07导出'!$H$2:$H$1860,'07导出'!$A$2:$A$1860,A154,'07导出'!$D$2:$D$1860,"21203")</f>
        <v>0</v>
      </c>
      <c r="AI154" s="46">
        <f>SUMIFS('07导出'!$G$2:$G$1860,'07导出'!$A$2:$A$1860,A154,'07导出'!$C$2:$C$1860,"213")</f>
        <v>0</v>
      </c>
      <c r="AJ154" s="46">
        <f>SUMIFS('07导出'!$H$2:$H$1860,'07导出'!$A$2:$A$1860,A154,'07导出'!$C$2:$C$1860,"213")</f>
        <v>0</v>
      </c>
      <c r="AK154" s="46">
        <f>SUMIFS('07导出'!$G$2:$G$1860,'07导出'!$A$2:$A$1860,A154,'07导出'!$D$2:$D$1860,"21305")</f>
        <v>0</v>
      </c>
      <c r="AL154" s="46">
        <f>SUMIFS('07导出'!$H$2:$H$1860,'07导出'!$A$2:$A$1860,A154,'07导出'!$D$2:$D$1860,"21305")</f>
        <v>0</v>
      </c>
      <c r="AM154" s="46">
        <f>SUMIFS('07导出'!$G$2:$G$1860,'07导出'!$A$2:$A$1860,A154,'07导出'!$C$2:$C$1860,"221")</f>
        <v>1657438</v>
      </c>
      <c r="AN154" s="46">
        <f>SUMIFS('07导出'!$H$2:$H$1860,'07导出'!$A$2:$A$1860,A154,'07导出'!$C$2:$C$1860,"221")</f>
        <v>1052861.76</v>
      </c>
      <c r="AO154" s="46">
        <f>SUMIFS('07导出'!$G$2:$G$1860,'07导出'!$A$2:$A$1860,A154,'07导出'!$D$2:$D$1860,"22102")</f>
        <v>1657438</v>
      </c>
      <c r="AP154" s="46">
        <f>SUMIFS('07导出'!$H$2:$H$1860,'07导出'!$A$2:$A$1860,A154,'07导出'!$D$2:$D$1860,"22102")</f>
        <v>1052861.76</v>
      </c>
    </row>
    <row r="155" spans="1:42">
      <c r="A155" s="43">
        <v>255195</v>
      </c>
      <c r="B155" s="44" t="s">
        <v>154</v>
      </c>
      <c r="C155" s="45">
        <f>SUMIFS('07导出'!$G$2:$G$1860,'07导出'!$A$2:$A$1860,A155,'07导出'!$C$2:$C$1860,"205")</f>
        <v>8018393.4100000001</v>
      </c>
      <c r="D155" s="45">
        <f>SUMIFS('07导出'!$H$2:$H$1860,'07导出'!$A$2:$A$1860,A155,'07导出'!$C$2:$C$1860,"205")</f>
        <v>6060314.5599999996</v>
      </c>
      <c r="E155" s="46">
        <f>SUMIFS('07导出'!$G$2:$G$1860,'07导出'!$A$2:$A$1860,A155,'07导出'!$D$2:$D$1860,"20502")</f>
        <v>7823497.4100000001</v>
      </c>
      <c r="F155" s="46">
        <f>SUMIFS('07导出'!$H$2:$H$1860,'07导出'!$A$2:$A$1860,A155,'07导出'!$D$2:$D$1860,"20502")</f>
        <v>5721714.5599999996</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0</v>
      </c>
      <c r="N155" s="46">
        <f>SUMIFS('07导出'!$H$2:$H$1860,'07导出'!$A$2:$A$1860,A155,'07导出'!$D$2:$D$1860,"20508")</f>
        <v>21600</v>
      </c>
      <c r="O155" s="46">
        <f>SUMIFS('07导出'!$G$2:$G$1860,'07导出'!$A$2:$A$1860,A155,'07导出'!$D$2:$D$1860,"20509")</f>
        <v>194896</v>
      </c>
      <c r="P155" s="46">
        <f>SUMIFS('07导出'!$H$2:$H$1860,'07导出'!$A$2:$A$1860,A155,'07导出'!$D$2:$D$1860,"20509")</f>
        <v>317000</v>
      </c>
      <c r="Q155" s="46">
        <f>SUMIFS('07导出'!$G$2:$G$1860,'07导出'!$A$2:$A$1860,A155,'07导出'!$C$2:$C$1860,"206")</f>
        <v>0</v>
      </c>
      <c r="R155" s="46">
        <f>SUMIFS('07导出'!$H$2:$H$1860,'07导出'!$A$2:$A$1860,A155,'07导出'!$C$2:$C$1860,"206")</f>
        <v>0</v>
      </c>
      <c r="S155" s="46">
        <f>SUMIFS('07导出'!$G$2:$G$1860,'07导出'!$A$2:$A$1860,A155,'07导出'!$D$2:$D$1860,"20607")</f>
        <v>0</v>
      </c>
      <c r="T155" s="46">
        <f>SUMIFS('07导出'!$H$2:$H$1860,'07导出'!$A$2:$A$1860,A155,'07导出'!$D$2:$D$1860,"20607")</f>
        <v>0</v>
      </c>
      <c r="U155" s="46">
        <f>SUMIFS('07导出'!$G$2:$G$1860,'07导出'!$A$2:$A$1860,A155,'07导出'!$C$2:$C$1860,"208")</f>
        <v>794986.71</v>
      </c>
      <c r="V155" s="46">
        <f>SUMIFS('07导出'!$H$2:$H$1860,'07导出'!$A$2:$A$1860,A155,'07导出'!$C$2:$C$1860,"208")</f>
        <v>362494.16</v>
      </c>
      <c r="W155" s="46">
        <f>SUMIFS('07导出'!$G$2:$G$1860,'07导出'!$A$2:$A$1860,A155,'07导出'!$D$2:$D$1860,"20805")</f>
        <v>794986.71</v>
      </c>
      <c r="X155" s="46">
        <f>SUMIFS('07导出'!$H$2:$H$1860,'07导出'!$A$2:$A$1860,A155,'07导出'!$D$2:$D$1860,"20805")</f>
        <v>362494.16</v>
      </c>
      <c r="Y155" s="46">
        <f>SUMIFS('07导出'!$G$2:$G$1860,'07导出'!$A$2:$A$1860,A155,'07导出'!$D$2:$D$1860,"20808")</f>
        <v>0</v>
      </c>
      <c r="Z155" s="46">
        <f>SUMIFS('07导出'!$H$2:$H$1860,'07导出'!$A$2:$A$1860,A155,'07导出'!$D$2:$D$1860,"20808")</f>
        <v>0</v>
      </c>
      <c r="AA155" s="46">
        <f>SUMIFS('07导出'!$G$2:$G$1860,'07导出'!$A$2:$A$1860,A155,'07导出'!$C$2:$C$1860,"210")</f>
        <v>483193.17</v>
      </c>
      <c r="AB155" s="46">
        <f>SUMIFS('07导出'!$H$2:$H$1860,'07导出'!$A$2:$A$1860,A155,'07导出'!$C$2:$C$1860,"210")</f>
        <v>168300.86</v>
      </c>
      <c r="AC155" s="46">
        <f>SUMIFS('07导出'!$G$2:$G$1860,'07导出'!$A$2:$A$1860,A155,'07导出'!$D$2:$D$1860,"21011")</f>
        <v>483193.17</v>
      </c>
      <c r="AD155" s="46">
        <f>SUMIFS('07导出'!$H$2:$H$1860,'07导出'!$A$2:$A$1860,A155,'07导出'!$D$2:$D$1860,"21011")</f>
        <v>168300.86</v>
      </c>
      <c r="AE155" s="46">
        <f>SUMIFS('07导出'!$G$2:$G$1860,'07导出'!$A$2:$A$1860,A155,'07导出'!$C$2:$C$1860,"212")</f>
        <v>0</v>
      </c>
      <c r="AF155" s="46">
        <f>SUMIFS('07导出'!$H$2:$H$1860,'07导出'!$A$2:$A$1860,A155,'07导出'!$C$2:$C$1860,"212")</f>
        <v>0</v>
      </c>
      <c r="AG155" s="46">
        <f>SUMIFS('07导出'!$G$2:$G$1860,'07导出'!$A$2:$A$1860,A155,'07导出'!$D$2:$D$1860,"21203")</f>
        <v>0</v>
      </c>
      <c r="AH155" s="46">
        <f>SUMIFS('07导出'!$H$2:$H$1860,'07导出'!$A$2:$A$1860,A155,'07导出'!$D$2:$D$1860,"21203")</f>
        <v>0</v>
      </c>
      <c r="AI155" s="46">
        <f>SUMIFS('07导出'!$G$2:$G$1860,'07导出'!$A$2:$A$1860,A155,'07导出'!$C$2:$C$1860,"213")</f>
        <v>0</v>
      </c>
      <c r="AJ155" s="46">
        <f>SUMIFS('07导出'!$H$2:$H$1860,'07导出'!$A$2:$A$1860,A155,'07导出'!$C$2:$C$1860,"213")</f>
        <v>0</v>
      </c>
      <c r="AK155" s="46">
        <f>SUMIFS('07导出'!$G$2:$G$1860,'07导出'!$A$2:$A$1860,A155,'07导出'!$D$2:$D$1860,"21305")</f>
        <v>0</v>
      </c>
      <c r="AL155" s="46">
        <f>SUMIFS('07导出'!$H$2:$H$1860,'07导出'!$A$2:$A$1860,A155,'07导出'!$D$2:$D$1860,"21305")</f>
        <v>0</v>
      </c>
      <c r="AM155" s="46">
        <f>SUMIFS('07导出'!$G$2:$G$1860,'07导出'!$A$2:$A$1860,A155,'07导出'!$C$2:$C$1860,"221")</f>
        <v>1397270</v>
      </c>
      <c r="AN155" s="46">
        <f>SUMIFS('07导出'!$H$2:$H$1860,'07导出'!$A$2:$A$1860,A155,'07导出'!$C$2:$C$1860,"221")</f>
        <v>955382.64</v>
      </c>
      <c r="AO155" s="46">
        <f>SUMIFS('07导出'!$G$2:$G$1860,'07导出'!$A$2:$A$1860,A155,'07导出'!$D$2:$D$1860,"22102")</f>
        <v>1397270</v>
      </c>
      <c r="AP155" s="46">
        <f>SUMIFS('07导出'!$H$2:$H$1860,'07导出'!$A$2:$A$1860,A155,'07导出'!$D$2:$D$1860,"22102")</f>
        <v>955382.64</v>
      </c>
    </row>
    <row r="156" spans="1:42">
      <c r="A156" s="43">
        <v>255196</v>
      </c>
      <c r="B156" s="44" t="s">
        <v>155</v>
      </c>
      <c r="C156" s="45">
        <f>SUMIFS('07导出'!$G$2:$G$1860,'07导出'!$A$2:$A$1860,A156,'07导出'!$C$2:$C$1860,"205")</f>
        <v>6315645.1200000001</v>
      </c>
      <c r="D156" s="45">
        <f>SUMIFS('07导出'!$H$2:$H$1860,'07导出'!$A$2:$A$1860,A156,'07导出'!$C$2:$C$1860,"205")</f>
        <v>4591069.13</v>
      </c>
      <c r="E156" s="46">
        <f>SUMIFS('07导出'!$G$2:$G$1860,'07导出'!$A$2:$A$1860,A156,'07导出'!$D$2:$D$1860,"20502")</f>
        <v>6277120.1200000001</v>
      </c>
      <c r="F156" s="46">
        <f>SUMIFS('07导出'!$H$2:$H$1860,'07导出'!$A$2:$A$1860,A156,'07导出'!$D$2:$D$1860,"20502")</f>
        <v>4457869.13</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2475</v>
      </c>
      <c r="N156" s="46">
        <f>SUMIFS('07导出'!$H$2:$H$1860,'07导出'!$A$2:$A$1860,A156,'07导出'!$D$2:$D$1860,"20508")</f>
        <v>9600</v>
      </c>
      <c r="O156" s="46">
        <f>SUMIFS('07导出'!$G$2:$G$1860,'07导出'!$A$2:$A$1860,A156,'07导出'!$D$2:$D$1860,"20509")</f>
        <v>36050</v>
      </c>
      <c r="P156" s="46">
        <f>SUMIFS('07导出'!$H$2:$H$1860,'07导出'!$A$2:$A$1860,A156,'07导出'!$D$2:$D$1860,"20509")</f>
        <v>123600</v>
      </c>
      <c r="Q156" s="46">
        <f>SUMIFS('07导出'!$G$2:$G$1860,'07导出'!$A$2:$A$1860,A156,'07导出'!$C$2:$C$1860,"206")</f>
        <v>0</v>
      </c>
      <c r="R156" s="46">
        <f>SUMIFS('07导出'!$H$2:$H$1860,'07导出'!$A$2:$A$1860,A156,'07导出'!$C$2:$C$1860,"206")</f>
        <v>0</v>
      </c>
      <c r="S156" s="46">
        <f>SUMIFS('07导出'!$G$2:$G$1860,'07导出'!$A$2:$A$1860,A156,'07导出'!$D$2:$D$1860,"20607")</f>
        <v>0</v>
      </c>
      <c r="T156" s="46">
        <f>SUMIFS('07导出'!$H$2:$H$1860,'07导出'!$A$2:$A$1860,A156,'07导出'!$D$2:$D$1860,"20607")</f>
        <v>0</v>
      </c>
      <c r="U156" s="46">
        <f>SUMIFS('07导出'!$G$2:$G$1860,'07导出'!$A$2:$A$1860,A156,'07导出'!$C$2:$C$1860,"208")</f>
        <v>406010.88</v>
      </c>
      <c r="V156" s="46">
        <f>SUMIFS('07导出'!$H$2:$H$1860,'07导出'!$A$2:$A$1860,A156,'07导出'!$C$2:$C$1860,"208")</f>
        <v>212365.7</v>
      </c>
      <c r="W156" s="46">
        <f>SUMIFS('07导出'!$G$2:$G$1860,'07导出'!$A$2:$A$1860,A156,'07导出'!$D$2:$D$1860,"20805")</f>
        <v>406010.88</v>
      </c>
      <c r="X156" s="46">
        <f>SUMIFS('07导出'!$H$2:$H$1860,'07导出'!$A$2:$A$1860,A156,'07导出'!$D$2:$D$1860,"20805")</f>
        <v>212365.7</v>
      </c>
      <c r="Y156" s="46">
        <f>SUMIFS('07导出'!$G$2:$G$1860,'07导出'!$A$2:$A$1860,A156,'07导出'!$D$2:$D$1860,"20808")</f>
        <v>0</v>
      </c>
      <c r="Z156" s="46">
        <f>SUMIFS('07导出'!$H$2:$H$1860,'07导出'!$A$2:$A$1860,A156,'07导出'!$D$2:$D$1860,"20808")</f>
        <v>0</v>
      </c>
      <c r="AA156" s="46">
        <f>SUMIFS('07导出'!$G$2:$G$1860,'07导出'!$A$2:$A$1860,A156,'07导出'!$C$2:$C$1860,"210")</f>
        <v>226842.63</v>
      </c>
      <c r="AB156" s="46">
        <f>SUMIFS('07导出'!$H$2:$H$1860,'07导出'!$A$2:$A$1860,A156,'07导出'!$C$2:$C$1860,"210")</f>
        <v>115031.42</v>
      </c>
      <c r="AC156" s="46">
        <f>SUMIFS('07导出'!$G$2:$G$1860,'07导出'!$A$2:$A$1860,A156,'07导出'!$D$2:$D$1860,"21011")</f>
        <v>226842.63</v>
      </c>
      <c r="AD156" s="46">
        <f>SUMIFS('07导出'!$H$2:$H$1860,'07导出'!$A$2:$A$1860,A156,'07导出'!$D$2:$D$1860,"21011")</f>
        <v>115031.42</v>
      </c>
      <c r="AE156" s="46">
        <f>SUMIFS('07导出'!$G$2:$G$1860,'07导出'!$A$2:$A$1860,A156,'07导出'!$C$2:$C$1860,"212")</f>
        <v>0</v>
      </c>
      <c r="AF156" s="46">
        <f>SUMIFS('07导出'!$H$2:$H$1860,'07导出'!$A$2:$A$1860,A156,'07导出'!$C$2:$C$1860,"212")</f>
        <v>0</v>
      </c>
      <c r="AG156" s="46">
        <f>SUMIFS('07导出'!$G$2:$G$1860,'07导出'!$A$2:$A$1860,A156,'07导出'!$D$2:$D$1860,"21203")</f>
        <v>0</v>
      </c>
      <c r="AH156" s="46">
        <f>SUMIFS('07导出'!$H$2:$H$1860,'07导出'!$A$2:$A$1860,A156,'07导出'!$D$2:$D$1860,"21203")</f>
        <v>0</v>
      </c>
      <c r="AI156" s="46">
        <f>SUMIFS('07导出'!$G$2:$G$1860,'07导出'!$A$2:$A$1860,A156,'07导出'!$C$2:$C$1860,"213")</f>
        <v>0</v>
      </c>
      <c r="AJ156" s="46">
        <f>SUMIFS('07导出'!$H$2:$H$1860,'07导出'!$A$2:$A$1860,A156,'07导出'!$C$2:$C$1860,"213")</f>
        <v>0</v>
      </c>
      <c r="AK156" s="46">
        <f>SUMIFS('07导出'!$G$2:$G$1860,'07导出'!$A$2:$A$1860,A156,'07导出'!$D$2:$D$1860,"21305")</f>
        <v>0</v>
      </c>
      <c r="AL156" s="46">
        <f>SUMIFS('07导出'!$H$2:$H$1860,'07导出'!$A$2:$A$1860,A156,'07导出'!$D$2:$D$1860,"21305")</f>
        <v>0</v>
      </c>
      <c r="AM156" s="46">
        <f>SUMIFS('07导出'!$G$2:$G$1860,'07导出'!$A$2:$A$1860,A156,'07导出'!$C$2:$C$1860,"221")</f>
        <v>551628</v>
      </c>
      <c r="AN156" s="46">
        <f>SUMIFS('07导出'!$H$2:$H$1860,'07导出'!$A$2:$A$1860,A156,'07导出'!$C$2:$C$1860,"221")</f>
        <v>389922.85</v>
      </c>
      <c r="AO156" s="46">
        <f>SUMIFS('07导出'!$G$2:$G$1860,'07导出'!$A$2:$A$1860,A156,'07导出'!$D$2:$D$1860,"22102")</f>
        <v>551628</v>
      </c>
      <c r="AP156" s="46">
        <f>SUMIFS('07导出'!$H$2:$H$1860,'07导出'!$A$2:$A$1860,A156,'07导出'!$D$2:$D$1860,"22102")</f>
        <v>389922.85</v>
      </c>
    </row>
    <row r="157" spans="1:42">
      <c r="A157" s="43">
        <v>255197</v>
      </c>
      <c r="B157" s="44" t="s">
        <v>156</v>
      </c>
      <c r="C157" s="45">
        <f>SUMIFS('07导出'!$G$2:$G$1860,'07导出'!$A$2:$A$1860,A157,'07导出'!$C$2:$C$1860,"205")</f>
        <v>8057628.0099999998</v>
      </c>
      <c r="D157" s="45">
        <f>SUMIFS('07导出'!$H$2:$H$1860,'07导出'!$A$2:$A$1860,A157,'07导出'!$C$2:$C$1860,"205")</f>
        <v>6797171.9699999997</v>
      </c>
      <c r="E157" s="46">
        <f>SUMIFS('07导出'!$G$2:$G$1860,'07导出'!$A$2:$A$1860,A157,'07导出'!$D$2:$D$1860,"20502")</f>
        <v>8014948.0099999998</v>
      </c>
      <c r="F157" s="46">
        <f>SUMIFS('07导出'!$H$2:$H$1860,'07导出'!$A$2:$A$1860,A157,'07导出'!$D$2:$D$1860,"20502")</f>
        <v>6745691.9699999997</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8800</v>
      </c>
      <c r="N157" s="46">
        <f>SUMIFS('07导出'!$H$2:$H$1860,'07导出'!$A$2:$A$1860,A157,'07导出'!$D$2:$D$1860,"20508")</f>
        <v>17600</v>
      </c>
      <c r="O157" s="46">
        <f>SUMIFS('07导出'!$G$2:$G$1860,'07导出'!$A$2:$A$1860,A157,'07导出'!$D$2:$D$1860,"20509")</f>
        <v>33880</v>
      </c>
      <c r="P157" s="46">
        <f>SUMIFS('07导出'!$H$2:$H$1860,'07导出'!$A$2:$A$1860,A157,'07导出'!$D$2:$D$1860,"20509")</f>
        <v>33880</v>
      </c>
      <c r="Q157" s="46">
        <f>SUMIFS('07导出'!$G$2:$G$1860,'07导出'!$A$2:$A$1860,A157,'07导出'!$C$2:$C$1860,"206")</f>
        <v>0</v>
      </c>
      <c r="R157" s="46">
        <f>SUMIFS('07导出'!$H$2:$H$1860,'07导出'!$A$2:$A$1860,A157,'07导出'!$C$2:$C$1860,"206")</f>
        <v>0</v>
      </c>
      <c r="S157" s="46">
        <f>SUMIFS('07导出'!$G$2:$G$1860,'07导出'!$A$2:$A$1860,A157,'07导出'!$D$2:$D$1860,"20607")</f>
        <v>0</v>
      </c>
      <c r="T157" s="46">
        <f>SUMIFS('07导出'!$H$2:$H$1860,'07导出'!$A$2:$A$1860,A157,'07导出'!$D$2:$D$1860,"20607")</f>
        <v>0</v>
      </c>
      <c r="U157" s="46">
        <f>SUMIFS('07导出'!$G$2:$G$1860,'07导出'!$A$2:$A$1860,A157,'07导出'!$C$2:$C$1860,"208")</f>
        <v>589128</v>
      </c>
      <c r="V157" s="46">
        <f>SUMIFS('07导出'!$H$2:$H$1860,'07导出'!$A$2:$A$1860,A157,'07导出'!$C$2:$C$1860,"208")</f>
        <v>594145.44000000006</v>
      </c>
      <c r="W157" s="46">
        <f>SUMIFS('07导出'!$G$2:$G$1860,'07导出'!$A$2:$A$1860,A157,'07导出'!$D$2:$D$1860,"20805")</f>
        <v>589128</v>
      </c>
      <c r="X157" s="46">
        <f>SUMIFS('07导出'!$H$2:$H$1860,'07导出'!$A$2:$A$1860,A157,'07导出'!$D$2:$D$1860,"20805")</f>
        <v>594145.44000000006</v>
      </c>
      <c r="Y157" s="46">
        <f>SUMIFS('07导出'!$G$2:$G$1860,'07导出'!$A$2:$A$1860,A157,'07导出'!$D$2:$D$1860,"20808")</f>
        <v>0</v>
      </c>
      <c r="Z157" s="46">
        <f>SUMIFS('07导出'!$H$2:$H$1860,'07导出'!$A$2:$A$1860,A157,'07导出'!$D$2:$D$1860,"20808")</f>
        <v>0</v>
      </c>
      <c r="AA157" s="46">
        <f>SUMIFS('07导出'!$G$2:$G$1860,'07导出'!$A$2:$A$1860,A157,'07导出'!$C$2:$C$1860,"210")</f>
        <v>344701.45</v>
      </c>
      <c r="AB157" s="46">
        <f>SUMIFS('07导出'!$H$2:$H$1860,'07导出'!$A$2:$A$1860,A157,'07导出'!$C$2:$C$1860,"210")</f>
        <v>321828.78000000003</v>
      </c>
      <c r="AC157" s="46">
        <f>SUMIFS('07导出'!$G$2:$G$1860,'07导出'!$A$2:$A$1860,A157,'07导出'!$D$2:$D$1860,"21011")</f>
        <v>344701.45</v>
      </c>
      <c r="AD157" s="46">
        <f>SUMIFS('07导出'!$H$2:$H$1860,'07导出'!$A$2:$A$1860,A157,'07导出'!$D$2:$D$1860,"21011")</f>
        <v>321828.78000000003</v>
      </c>
      <c r="AE157" s="46">
        <f>SUMIFS('07导出'!$G$2:$G$1860,'07导出'!$A$2:$A$1860,A157,'07导出'!$C$2:$C$1860,"212")</f>
        <v>0</v>
      </c>
      <c r="AF157" s="46">
        <f>SUMIFS('07导出'!$H$2:$H$1860,'07导出'!$A$2:$A$1860,A157,'07导出'!$C$2:$C$1860,"212")</f>
        <v>0</v>
      </c>
      <c r="AG157" s="46">
        <f>SUMIFS('07导出'!$G$2:$G$1860,'07导出'!$A$2:$A$1860,A157,'07导出'!$D$2:$D$1860,"21203")</f>
        <v>0</v>
      </c>
      <c r="AH157" s="46">
        <f>SUMIFS('07导出'!$H$2:$H$1860,'07导出'!$A$2:$A$1860,A157,'07导出'!$D$2:$D$1860,"21203")</f>
        <v>0</v>
      </c>
      <c r="AI157" s="46">
        <f>SUMIFS('07导出'!$G$2:$G$1860,'07导出'!$A$2:$A$1860,A157,'07导出'!$C$2:$C$1860,"213")</f>
        <v>0</v>
      </c>
      <c r="AJ157" s="46">
        <f>SUMIFS('07导出'!$H$2:$H$1860,'07导出'!$A$2:$A$1860,A157,'07导出'!$C$2:$C$1860,"213")</f>
        <v>0</v>
      </c>
      <c r="AK157" s="46">
        <f>SUMIFS('07导出'!$G$2:$G$1860,'07导出'!$A$2:$A$1860,A157,'07导出'!$D$2:$D$1860,"21305")</f>
        <v>0</v>
      </c>
      <c r="AL157" s="46">
        <f>SUMIFS('07导出'!$H$2:$H$1860,'07导出'!$A$2:$A$1860,A157,'07导出'!$D$2:$D$1860,"21305")</f>
        <v>0</v>
      </c>
      <c r="AM157" s="46">
        <f>SUMIFS('07导出'!$G$2:$G$1860,'07导出'!$A$2:$A$1860,A157,'07导出'!$C$2:$C$1860,"221")</f>
        <v>980514</v>
      </c>
      <c r="AN157" s="46">
        <f>SUMIFS('07导出'!$H$2:$H$1860,'07导出'!$A$2:$A$1860,A157,'07导出'!$C$2:$C$1860,"221")</f>
        <v>775068.72</v>
      </c>
      <c r="AO157" s="46">
        <f>SUMIFS('07导出'!$G$2:$G$1860,'07导出'!$A$2:$A$1860,A157,'07导出'!$D$2:$D$1860,"22102")</f>
        <v>980514</v>
      </c>
      <c r="AP157" s="46">
        <f>SUMIFS('07导出'!$H$2:$H$1860,'07导出'!$A$2:$A$1860,A157,'07导出'!$D$2:$D$1860,"22102")</f>
        <v>775068.72</v>
      </c>
    </row>
    <row r="158" spans="1:42">
      <c r="A158" s="43">
        <v>255198</v>
      </c>
      <c r="B158" s="44" t="s">
        <v>157</v>
      </c>
      <c r="C158" s="45">
        <f>SUMIFS('07导出'!$G$2:$G$1860,'07导出'!$A$2:$A$1860,A158,'07导出'!$C$2:$C$1860,"205")</f>
        <v>1972671.84</v>
      </c>
      <c r="D158" s="45">
        <f>SUMIFS('07导出'!$H$2:$H$1860,'07导出'!$A$2:$A$1860,A158,'07导出'!$C$2:$C$1860,"205")</f>
        <v>2044272.66</v>
      </c>
      <c r="E158" s="46">
        <f>SUMIFS('07导出'!$G$2:$G$1860,'07导出'!$A$2:$A$1860,A158,'07导出'!$D$2:$D$1860,"20502")</f>
        <v>1969871.84</v>
      </c>
      <c r="F158" s="46">
        <f>SUMIFS('07导出'!$H$2:$H$1860,'07导出'!$A$2:$A$1860,A158,'07导出'!$D$2:$D$1860,"20502")</f>
        <v>2038672.66</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2800</v>
      </c>
      <c r="N158" s="46">
        <f>SUMIFS('07导出'!$H$2:$H$1860,'07导出'!$A$2:$A$1860,A158,'07导出'!$D$2:$D$1860,"20508")</f>
        <v>5600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SUMIFS('07导出'!$G$2:$G$1860,'07导出'!$A$2:$A$1860,A158,'07导出'!$D$2:$D$1860,"20607")</f>
        <v>0</v>
      </c>
      <c r="T158" s="46">
        <f>SUMIFS('07导出'!$H$2:$H$1860,'07导出'!$A$2:$A$1860,A158,'07导出'!$D$2:$D$1860,"20607")</f>
        <v>0</v>
      </c>
      <c r="U158" s="46">
        <f>SUMIFS('07导出'!$G$2:$G$1860,'07导出'!$A$2:$A$1860,A158,'07导出'!$C$2:$C$1860,"208")</f>
        <v>271380.24</v>
      </c>
      <c r="V158" s="46">
        <f>SUMIFS('07导出'!$H$2:$H$1860,'07导出'!$A$2:$A$1860,A158,'07导出'!$C$2:$C$1860,"208")</f>
        <v>271188</v>
      </c>
      <c r="W158" s="46">
        <f>SUMIFS('07导出'!$G$2:$G$1860,'07导出'!$A$2:$A$1860,A158,'07导出'!$D$2:$D$1860,"20805")</f>
        <v>271380.24</v>
      </c>
      <c r="X158" s="46">
        <f>SUMIFS('07导出'!$H$2:$H$1860,'07导出'!$A$2:$A$1860,A158,'07导出'!$D$2:$D$1860,"20805")</f>
        <v>271188</v>
      </c>
      <c r="Y158" s="46">
        <f>SUMIFS('07导出'!$G$2:$G$1860,'07导出'!$A$2:$A$1860,A158,'07导出'!$D$2:$D$1860,"20808")</f>
        <v>0</v>
      </c>
      <c r="Z158" s="46">
        <f>SUMIFS('07导出'!$H$2:$H$1860,'07导出'!$A$2:$A$1860,A158,'07导出'!$D$2:$D$1860,"20808")</f>
        <v>0</v>
      </c>
      <c r="AA158" s="46">
        <f>SUMIFS('07导出'!$G$2:$G$1860,'07导出'!$A$2:$A$1860,A158,'07导出'!$C$2:$C$1860,"210")</f>
        <v>149316.25</v>
      </c>
      <c r="AB158" s="46">
        <f>SUMIFS('07导出'!$H$2:$H$1860,'07导出'!$A$2:$A$1860,A158,'07导出'!$C$2:$C$1860,"210")</f>
        <v>146893.5</v>
      </c>
      <c r="AC158" s="46">
        <f>SUMIFS('07导出'!$G$2:$G$1860,'07导出'!$A$2:$A$1860,A158,'07导出'!$D$2:$D$1860,"21011")</f>
        <v>149316.25</v>
      </c>
      <c r="AD158" s="46">
        <f>SUMIFS('07导出'!$H$2:$H$1860,'07导出'!$A$2:$A$1860,A158,'07导出'!$D$2:$D$1860,"21011")</f>
        <v>146893.5</v>
      </c>
      <c r="AE158" s="46">
        <f>SUMIFS('07导出'!$G$2:$G$1860,'07导出'!$A$2:$A$1860,A158,'07导出'!$C$2:$C$1860,"212")</f>
        <v>0</v>
      </c>
      <c r="AF158" s="46">
        <f>SUMIFS('07导出'!$H$2:$H$1860,'07导出'!$A$2:$A$1860,A158,'07导出'!$C$2:$C$1860,"212")</f>
        <v>0</v>
      </c>
      <c r="AG158" s="46">
        <f>SUMIFS('07导出'!$G$2:$G$1860,'07导出'!$A$2:$A$1860,A158,'07导出'!$D$2:$D$1860,"21203")</f>
        <v>0</v>
      </c>
      <c r="AH158" s="46">
        <f>SUMIFS('07导出'!$H$2:$H$1860,'07导出'!$A$2:$A$1860,A158,'07导出'!$D$2:$D$1860,"21203")</f>
        <v>0</v>
      </c>
      <c r="AI158" s="46">
        <f>SUMIFS('07导出'!$G$2:$G$1860,'07导出'!$A$2:$A$1860,A158,'07导出'!$C$2:$C$1860,"213")</f>
        <v>0</v>
      </c>
      <c r="AJ158" s="46">
        <f>SUMIFS('07导出'!$H$2:$H$1860,'07导出'!$A$2:$A$1860,A158,'07导出'!$C$2:$C$1860,"213")</f>
        <v>0</v>
      </c>
      <c r="AK158" s="46">
        <f>SUMIFS('07导出'!$G$2:$G$1860,'07导出'!$A$2:$A$1860,A158,'07导出'!$D$2:$D$1860,"21305")</f>
        <v>0</v>
      </c>
      <c r="AL158" s="46">
        <f>SUMIFS('07导出'!$H$2:$H$1860,'07导出'!$A$2:$A$1860,A158,'07导出'!$D$2:$D$1860,"21305")</f>
        <v>0</v>
      </c>
      <c r="AM158" s="46">
        <f>SUMIFS('07导出'!$G$2:$G$1860,'07导出'!$A$2:$A$1860,A158,'07导出'!$C$2:$C$1860,"221")</f>
        <v>441807</v>
      </c>
      <c r="AN158" s="46">
        <f>SUMIFS('07导出'!$H$2:$H$1860,'07导出'!$A$2:$A$1860,A158,'07导出'!$C$2:$C$1860,"221")</f>
        <v>396066</v>
      </c>
      <c r="AO158" s="46">
        <f>SUMIFS('07导出'!$G$2:$G$1860,'07导出'!$A$2:$A$1860,A158,'07导出'!$D$2:$D$1860,"22102")</f>
        <v>441807</v>
      </c>
      <c r="AP158" s="46">
        <f>SUMIFS('07导出'!$H$2:$H$1860,'07导出'!$A$2:$A$1860,A158,'07导出'!$D$2:$D$1860,"22102")</f>
        <v>396066</v>
      </c>
    </row>
    <row r="159" spans="1:42">
      <c r="A159" s="43">
        <v>255200</v>
      </c>
      <c r="B159" s="44" t="s">
        <v>159</v>
      </c>
      <c r="C159" s="45">
        <f>SUMIFS('07导出'!$G$2:$G$1860,'07导出'!$A$2:$A$1860,A159,'07导出'!$C$2:$C$1860,"205")</f>
        <v>122491.4</v>
      </c>
      <c r="D159" s="45">
        <f>SUMIFS('07导出'!$H$2:$H$1860,'07导出'!$A$2:$A$1860,A159,'07导出'!$C$2:$C$1860,"205")</f>
        <v>0</v>
      </c>
      <c r="E159" s="46">
        <f>SUMIFS('07导出'!$G$2:$G$1860,'07导出'!$A$2:$A$1860,A159,'07导出'!$D$2:$D$1860,"20502")</f>
        <v>122491.4</v>
      </c>
      <c r="F159" s="46">
        <f>SUMIFS('07导出'!$H$2:$H$1860,'07导出'!$A$2:$A$1860,A159,'07导出'!$D$2:$D$1860,"20502")</f>
        <v>0</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0</v>
      </c>
      <c r="N159" s="46">
        <f>SUMIFS('07导出'!$H$2:$H$1860,'07导出'!$A$2:$A$1860,A159,'07导出'!$D$2:$D$1860,"20508")</f>
        <v>0</v>
      </c>
      <c r="O159" s="46">
        <f>SUMIFS('07导出'!$G$2:$G$1860,'07导出'!$A$2:$A$1860,A159,'07导出'!$D$2:$D$1860,"20509")</f>
        <v>0</v>
      </c>
      <c r="P159" s="46">
        <f>SUMIFS('07导出'!$H$2:$H$1860,'07导出'!$A$2:$A$1860,A159,'07导出'!$D$2:$D$1860,"20509")</f>
        <v>0</v>
      </c>
      <c r="Q159" s="46">
        <f>SUMIFS('07导出'!$G$2:$G$1860,'07导出'!$A$2:$A$1860,A159,'07导出'!$C$2:$C$1860,"206")</f>
        <v>0</v>
      </c>
      <c r="R159" s="46">
        <f>SUMIFS('07导出'!$H$2:$H$1860,'07导出'!$A$2:$A$1860,A159,'07导出'!$C$2:$C$1860,"206")</f>
        <v>0</v>
      </c>
      <c r="S159" s="46">
        <f>SUMIFS('07导出'!$G$2:$G$1860,'07导出'!$A$2:$A$1860,A159,'07导出'!$D$2:$D$1860,"20607")</f>
        <v>0</v>
      </c>
      <c r="T159" s="46">
        <f>SUMIFS('07导出'!$H$2:$H$1860,'07导出'!$A$2:$A$1860,A159,'07导出'!$D$2:$D$1860,"20607")</f>
        <v>0</v>
      </c>
      <c r="U159" s="46">
        <f>SUMIFS('07导出'!$G$2:$G$1860,'07导出'!$A$2:$A$1860,A159,'07导出'!$C$2:$C$1860,"208")</f>
        <v>7718.4000000000005</v>
      </c>
      <c r="V159" s="46">
        <f>SUMIFS('07导出'!$H$2:$H$1860,'07导出'!$A$2:$A$1860,A159,'07导出'!$C$2:$C$1860,"208")</f>
        <v>0</v>
      </c>
      <c r="W159" s="46">
        <f>SUMIFS('07导出'!$G$2:$G$1860,'07导出'!$A$2:$A$1860,A159,'07导出'!$D$2:$D$1860,"20805")</f>
        <v>7718.4000000000005</v>
      </c>
      <c r="X159" s="46">
        <f>SUMIFS('07导出'!$H$2:$H$1860,'07导出'!$A$2:$A$1860,A159,'07导出'!$D$2:$D$1860,"20805")</f>
        <v>0</v>
      </c>
      <c r="Y159" s="46">
        <f>SUMIFS('07导出'!$G$2:$G$1860,'07导出'!$A$2:$A$1860,A159,'07导出'!$D$2:$D$1860,"20808")</f>
        <v>0</v>
      </c>
      <c r="Z159" s="46">
        <f>SUMIFS('07导出'!$H$2:$H$1860,'07导出'!$A$2:$A$1860,A159,'07导出'!$D$2:$D$1860,"20808")</f>
        <v>0</v>
      </c>
      <c r="AA159" s="46">
        <f>SUMIFS('07导出'!$G$2:$G$1860,'07导出'!$A$2:$A$1860,A159,'07导出'!$C$2:$C$1860,"210")</f>
        <v>4921.08</v>
      </c>
      <c r="AB159" s="46">
        <f>SUMIFS('07导出'!$H$2:$H$1860,'07导出'!$A$2:$A$1860,A159,'07导出'!$C$2:$C$1860,"210")</f>
        <v>0</v>
      </c>
      <c r="AC159" s="46">
        <f>SUMIFS('07导出'!$G$2:$G$1860,'07导出'!$A$2:$A$1860,A159,'07导出'!$D$2:$D$1860,"21011")</f>
        <v>4921.08</v>
      </c>
      <c r="AD159" s="46">
        <f>SUMIFS('07导出'!$H$2:$H$1860,'07导出'!$A$2:$A$1860,A159,'07导出'!$D$2:$D$1860,"21011")</f>
        <v>0</v>
      </c>
      <c r="AE159" s="46">
        <f>SUMIFS('07导出'!$G$2:$G$1860,'07导出'!$A$2:$A$1860,A159,'07导出'!$C$2:$C$1860,"212")</f>
        <v>0</v>
      </c>
      <c r="AF159" s="46">
        <f>SUMIFS('07导出'!$H$2:$H$1860,'07导出'!$A$2:$A$1860,A159,'07导出'!$C$2:$C$1860,"212")</f>
        <v>0</v>
      </c>
      <c r="AG159" s="46">
        <f>SUMIFS('07导出'!$G$2:$G$1860,'07导出'!$A$2:$A$1860,A159,'07导出'!$D$2:$D$1860,"21203")</f>
        <v>0</v>
      </c>
      <c r="AH159" s="46">
        <f>SUMIFS('07导出'!$H$2:$H$1860,'07导出'!$A$2:$A$1860,A159,'07导出'!$D$2:$D$1860,"21203")</f>
        <v>0</v>
      </c>
      <c r="AI159" s="46">
        <f>SUMIFS('07导出'!$G$2:$G$1860,'07导出'!$A$2:$A$1860,A159,'07导出'!$C$2:$C$1860,"213")</f>
        <v>0</v>
      </c>
      <c r="AJ159" s="46">
        <f>SUMIFS('07导出'!$H$2:$H$1860,'07导出'!$A$2:$A$1860,A159,'07导出'!$C$2:$C$1860,"213")</f>
        <v>0</v>
      </c>
      <c r="AK159" s="46">
        <f>SUMIFS('07导出'!$G$2:$G$1860,'07导出'!$A$2:$A$1860,A159,'07导出'!$D$2:$D$1860,"21305")</f>
        <v>0</v>
      </c>
      <c r="AL159" s="46">
        <f>SUMIFS('07导出'!$H$2:$H$1860,'07导出'!$A$2:$A$1860,A159,'07导出'!$D$2:$D$1860,"21305")</f>
        <v>0</v>
      </c>
      <c r="AM159" s="46">
        <f>SUMIFS('07导出'!$G$2:$G$1860,'07导出'!$A$2:$A$1860,A159,'07导出'!$C$2:$C$1860,"221")</f>
        <v>11436</v>
      </c>
      <c r="AN159" s="46">
        <f>SUMIFS('07导出'!$H$2:$H$1860,'07导出'!$A$2:$A$1860,A159,'07导出'!$C$2:$C$1860,"221")</f>
        <v>0</v>
      </c>
      <c r="AO159" s="46">
        <f>SUMIFS('07导出'!$G$2:$G$1860,'07导出'!$A$2:$A$1860,A159,'07导出'!$D$2:$D$1860,"22102")</f>
        <v>11436</v>
      </c>
      <c r="AP159" s="46">
        <f>SUMIFS('07导出'!$H$2:$H$1860,'07导出'!$A$2:$A$1860,A159,'07导出'!$D$2:$D$1860,"22102")</f>
        <v>0</v>
      </c>
    </row>
    <row r="160" spans="1:42">
      <c r="A160" s="43">
        <v>255201</v>
      </c>
      <c r="B160" s="44" t="s">
        <v>158</v>
      </c>
      <c r="C160" s="45">
        <f>SUMIFS('07导出'!$G$2:$G$1860,'07导出'!$A$2:$A$1860,A160,'07导出'!$C$2:$C$1860,"205")</f>
        <v>3251671.48</v>
      </c>
      <c r="D160" s="45">
        <f>SUMIFS('07导出'!$H$2:$H$1860,'07导出'!$A$2:$A$1860,A160,'07导出'!$C$2:$C$1860,"205")</f>
        <v>2828613.91</v>
      </c>
      <c r="E160" s="46">
        <f>SUMIFS('07导出'!$G$2:$G$1860,'07导出'!$A$2:$A$1860,A160,'07导出'!$D$2:$D$1860,"20502")</f>
        <v>3186919.48</v>
      </c>
      <c r="F160" s="46">
        <f>SUMIFS('07导出'!$H$2:$H$1860,'07导出'!$A$2:$A$1860,A160,'07导出'!$D$2:$D$1860,"20502")</f>
        <v>2757333.91</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4800</v>
      </c>
      <c r="O160" s="46">
        <f>SUMIFS('07导出'!$G$2:$G$1860,'07导出'!$A$2:$A$1860,A160,'07导出'!$D$2:$D$1860,"20509")</f>
        <v>64752</v>
      </c>
      <c r="P160" s="46">
        <f>SUMIFS('07导出'!$H$2:$H$1860,'07导出'!$A$2:$A$1860,A160,'07导出'!$D$2:$D$1860,"20509")</f>
        <v>66480</v>
      </c>
      <c r="Q160" s="46">
        <f>SUMIFS('07导出'!$G$2:$G$1860,'07导出'!$A$2:$A$1860,A160,'07导出'!$C$2:$C$1860,"206")</f>
        <v>0</v>
      </c>
      <c r="R160" s="46">
        <f>SUMIFS('07导出'!$H$2:$H$1860,'07导出'!$A$2:$A$1860,A160,'07导出'!$C$2:$C$1860,"206")</f>
        <v>0</v>
      </c>
      <c r="S160" s="46">
        <f>SUMIFS('07导出'!$G$2:$G$1860,'07导出'!$A$2:$A$1860,A160,'07导出'!$D$2:$D$1860,"20607")</f>
        <v>0</v>
      </c>
      <c r="T160" s="46">
        <f>SUMIFS('07导出'!$H$2:$H$1860,'07导出'!$A$2:$A$1860,A160,'07导出'!$D$2:$D$1860,"20607")</f>
        <v>0</v>
      </c>
      <c r="U160" s="46">
        <f>SUMIFS('07导出'!$G$2:$G$1860,'07导出'!$A$2:$A$1860,A160,'07导出'!$C$2:$C$1860,"208")</f>
        <v>232106.77000000002</v>
      </c>
      <c r="V160" s="46">
        <f>SUMIFS('07导出'!$H$2:$H$1860,'07导出'!$A$2:$A$1860,A160,'07导出'!$C$2:$C$1860,"208")</f>
        <v>209888.16</v>
      </c>
      <c r="W160" s="46">
        <f>SUMIFS('07导出'!$G$2:$G$1860,'07导出'!$A$2:$A$1860,A160,'07导出'!$D$2:$D$1860,"20805")</f>
        <v>232106.77000000002</v>
      </c>
      <c r="X160" s="46">
        <f>SUMIFS('07导出'!$H$2:$H$1860,'07导出'!$A$2:$A$1860,A160,'07导出'!$D$2:$D$1860,"20805")</f>
        <v>209888.16</v>
      </c>
      <c r="Y160" s="46">
        <f>SUMIFS('07导出'!$G$2:$G$1860,'07导出'!$A$2:$A$1860,A160,'07导出'!$D$2:$D$1860,"20808")</f>
        <v>0</v>
      </c>
      <c r="Z160" s="46">
        <f>SUMIFS('07导出'!$H$2:$H$1860,'07导出'!$A$2:$A$1860,A160,'07导出'!$D$2:$D$1860,"20808")</f>
        <v>0</v>
      </c>
      <c r="AA160" s="46">
        <f>SUMIFS('07导出'!$G$2:$G$1860,'07导出'!$A$2:$A$1860,A160,'07导出'!$C$2:$C$1860,"210")</f>
        <v>177685.28</v>
      </c>
      <c r="AB160" s="46">
        <f>SUMIFS('07导出'!$H$2:$H$1860,'07导出'!$A$2:$A$1860,A160,'07导出'!$C$2:$C$1860,"210")</f>
        <v>113689.42</v>
      </c>
      <c r="AC160" s="46">
        <f>SUMIFS('07导出'!$G$2:$G$1860,'07导出'!$A$2:$A$1860,A160,'07导出'!$D$2:$D$1860,"21011")</f>
        <v>177685.28</v>
      </c>
      <c r="AD160" s="46">
        <f>SUMIFS('07导出'!$H$2:$H$1860,'07导出'!$A$2:$A$1860,A160,'07导出'!$D$2:$D$1860,"21011")</f>
        <v>113689.42</v>
      </c>
      <c r="AE160" s="46">
        <f>SUMIFS('07导出'!$G$2:$G$1860,'07导出'!$A$2:$A$1860,A160,'07导出'!$C$2:$C$1860,"212")</f>
        <v>0</v>
      </c>
      <c r="AF160" s="46">
        <f>SUMIFS('07导出'!$H$2:$H$1860,'07导出'!$A$2:$A$1860,A160,'07导出'!$C$2:$C$1860,"212")</f>
        <v>0</v>
      </c>
      <c r="AG160" s="46">
        <f>SUMIFS('07导出'!$G$2:$G$1860,'07导出'!$A$2:$A$1860,A160,'07导出'!$D$2:$D$1860,"21203")</f>
        <v>0</v>
      </c>
      <c r="AH160" s="46">
        <f>SUMIFS('07导出'!$H$2:$H$1860,'07导出'!$A$2:$A$1860,A160,'07导出'!$D$2:$D$1860,"21203")</f>
        <v>0</v>
      </c>
      <c r="AI160" s="46">
        <f>SUMIFS('07导出'!$G$2:$G$1860,'07导出'!$A$2:$A$1860,A160,'07导出'!$C$2:$C$1860,"213")</f>
        <v>0</v>
      </c>
      <c r="AJ160" s="46">
        <f>SUMIFS('07导出'!$H$2:$H$1860,'07导出'!$A$2:$A$1860,A160,'07导出'!$C$2:$C$1860,"213")</f>
        <v>0</v>
      </c>
      <c r="AK160" s="46">
        <f>SUMIFS('07导出'!$G$2:$G$1860,'07导出'!$A$2:$A$1860,A160,'07导出'!$D$2:$D$1860,"21305")</f>
        <v>0</v>
      </c>
      <c r="AL160" s="46">
        <f>SUMIFS('07导出'!$H$2:$H$1860,'07导出'!$A$2:$A$1860,A160,'07导出'!$D$2:$D$1860,"21305")</f>
        <v>0</v>
      </c>
      <c r="AM160" s="46">
        <f>SUMIFS('07导出'!$G$2:$G$1860,'07导出'!$A$2:$A$1860,A160,'07导出'!$C$2:$C$1860,"221")</f>
        <v>372704</v>
      </c>
      <c r="AN160" s="46">
        <f>SUMIFS('07导出'!$H$2:$H$1860,'07导出'!$A$2:$A$1860,A160,'07导出'!$C$2:$C$1860,"221")</f>
        <v>254056.08</v>
      </c>
      <c r="AO160" s="46">
        <f>SUMIFS('07导出'!$G$2:$G$1860,'07导出'!$A$2:$A$1860,A160,'07导出'!$D$2:$D$1860,"22102")</f>
        <v>372704</v>
      </c>
      <c r="AP160" s="46">
        <f>SUMIFS('07导出'!$H$2:$H$1860,'07导出'!$A$2:$A$1860,A160,'07导出'!$D$2:$D$1860,"22102")</f>
        <v>254056.08</v>
      </c>
    </row>
    <row r="161" spans="1:42">
      <c r="A161" s="43">
        <v>255203</v>
      </c>
      <c r="B161" s="44" t="s">
        <v>160</v>
      </c>
      <c r="C161" s="45">
        <f>SUMIFS('07导出'!$G$2:$G$1860,'07导出'!$A$2:$A$1860,A161,'07导出'!$C$2:$C$1860,"205")</f>
        <v>4372841.0600000005</v>
      </c>
      <c r="D161" s="45">
        <f>SUMIFS('07导出'!$H$2:$H$1860,'07导出'!$A$2:$A$1860,A161,'07导出'!$C$2:$C$1860,"205")</f>
        <v>3273890.03</v>
      </c>
      <c r="E161" s="46">
        <f>SUMIFS('07导出'!$G$2:$G$1860,'07导出'!$A$2:$A$1860,A161,'07导出'!$D$2:$D$1860,"20502")</f>
        <v>3797629.41</v>
      </c>
      <c r="F161" s="46">
        <f>SUMIFS('07导出'!$H$2:$H$1860,'07导出'!$A$2:$A$1860,A161,'07导出'!$D$2:$D$1860,"20502")</f>
        <v>2531390.0299999998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2400</v>
      </c>
      <c r="O161" s="46">
        <f>SUMIFS('07导出'!$G$2:$G$1860,'07导出'!$A$2:$A$1860,A161,'07导出'!$D$2:$D$1860,"20509")</f>
        <v>575211.65</v>
      </c>
      <c r="P161" s="46">
        <f>SUMIFS('07导出'!$H$2:$H$1860,'07导出'!$A$2:$A$1860,A161,'07导出'!$D$2:$D$1860,"20509")</f>
        <v>740100</v>
      </c>
      <c r="Q161" s="46">
        <f>SUMIFS('07导出'!$G$2:$G$1860,'07导出'!$A$2:$A$1860,A161,'07导出'!$C$2:$C$1860,"206")</f>
        <v>0</v>
      </c>
      <c r="R161" s="46">
        <f>SUMIFS('07导出'!$H$2:$H$1860,'07导出'!$A$2:$A$1860,A161,'07导出'!$C$2:$C$1860,"206")</f>
        <v>0</v>
      </c>
      <c r="S161" s="46">
        <f>SUMIFS('07导出'!$G$2:$G$1860,'07导出'!$A$2:$A$1860,A161,'07导出'!$D$2:$D$1860,"20607")</f>
        <v>0</v>
      </c>
      <c r="T161" s="46">
        <f>SUMIFS('07导出'!$H$2:$H$1860,'07导出'!$A$2:$A$1860,A161,'07导出'!$D$2:$D$1860,"20607")</f>
        <v>0</v>
      </c>
      <c r="U161" s="46">
        <f>SUMIFS('07导出'!$G$2:$G$1860,'07导出'!$A$2:$A$1860,A161,'07导出'!$C$2:$C$1860,"208")</f>
        <v>119607.36000000002</v>
      </c>
      <c r="V161" s="46">
        <f>SUMIFS('07导出'!$H$2:$H$1860,'07导出'!$A$2:$A$1860,A161,'07导出'!$C$2:$C$1860,"208")</f>
        <v>133467.84</v>
      </c>
      <c r="W161" s="46">
        <f>SUMIFS('07导出'!$G$2:$G$1860,'07导出'!$A$2:$A$1860,A161,'07导出'!$D$2:$D$1860,"20805")</f>
        <v>119607.36000000002</v>
      </c>
      <c r="X161" s="46">
        <f>SUMIFS('07导出'!$H$2:$H$1860,'07导出'!$A$2:$A$1860,A161,'07导出'!$D$2:$D$1860,"20805")</f>
        <v>133467.84</v>
      </c>
      <c r="Y161" s="46">
        <f>SUMIFS('07导出'!$G$2:$G$1860,'07导出'!$A$2:$A$1860,A161,'07导出'!$D$2:$D$1860,"20808")</f>
        <v>0</v>
      </c>
      <c r="Z161" s="46">
        <f>SUMIFS('07导出'!$H$2:$H$1860,'07导出'!$A$2:$A$1860,A161,'07导出'!$D$2:$D$1860,"20808")</f>
        <v>0</v>
      </c>
      <c r="AA161" s="46">
        <f>SUMIFS('07导出'!$G$2:$G$1860,'07导出'!$A$2:$A$1860,A161,'07导出'!$C$2:$C$1860,"210")</f>
        <v>75589.09</v>
      </c>
      <c r="AB161" s="46">
        <f>SUMIFS('07导出'!$H$2:$H$1860,'07导出'!$A$2:$A$1860,A161,'07导出'!$C$2:$C$1860,"210")</f>
        <v>72295.08</v>
      </c>
      <c r="AC161" s="46">
        <f>SUMIFS('07导出'!$G$2:$G$1860,'07导出'!$A$2:$A$1860,A161,'07导出'!$D$2:$D$1860,"21011")</f>
        <v>75589.09</v>
      </c>
      <c r="AD161" s="46">
        <f>SUMIFS('07导出'!$H$2:$H$1860,'07导出'!$A$2:$A$1860,A161,'07导出'!$D$2:$D$1860,"21011")</f>
        <v>72295.08</v>
      </c>
      <c r="AE161" s="46">
        <f>SUMIFS('07导出'!$G$2:$G$1860,'07导出'!$A$2:$A$1860,A161,'07导出'!$C$2:$C$1860,"212")</f>
        <v>0</v>
      </c>
      <c r="AF161" s="46">
        <f>SUMIFS('07导出'!$H$2:$H$1860,'07导出'!$A$2:$A$1860,A161,'07导出'!$C$2:$C$1860,"212")</f>
        <v>0</v>
      </c>
      <c r="AG161" s="46">
        <f>SUMIFS('07导出'!$G$2:$G$1860,'07导出'!$A$2:$A$1860,A161,'07导出'!$D$2:$D$1860,"21203")</f>
        <v>0</v>
      </c>
      <c r="AH161" s="46">
        <f>SUMIFS('07导出'!$H$2:$H$1860,'07导出'!$A$2:$A$1860,A161,'07导出'!$D$2:$D$1860,"21203")</f>
        <v>0</v>
      </c>
      <c r="AI161" s="46">
        <f>SUMIFS('07导出'!$G$2:$G$1860,'07导出'!$A$2:$A$1860,A161,'07导出'!$C$2:$C$1860,"213")</f>
        <v>0</v>
      </c>
      <c r="AJ161" s="46">
        <f>SUMIFS('07导出'!$H$2:$H$1860,'07导出'!$A$2:$A$1860,A161,'07导出'!$C$2:$C$1860,"213")</f>
        <v>0</v>
      </c>
      <c r="AK161" s="46">
        <f>SUMIFS('07导出'!$G$2:$G$1860,'07导出'!$A$2:$A$1860,A161,'07导出'!$D$2:$D$1860,"21305")</f>
        <v>0</v>
      </c>
      <c r="AL161" s="46">
        <f>SUMIFS('07导出'!$H$2:$H$1860,'07导出'!$A$2:$A$1860,A161,'07导出'!$D$2:$D$1860,"21305")</f>
        <v>0</v>
      </c>
      <c r="AM161" s="46">
        <f>SUMIFS('07导出'!$G$2:$G$1860,'07导出'!$A$2:$A$1860,A161,'07导出'!$C$2:$C$1860,"221")</f>
        <v>97514</v>
      </c>
      <c r="AN161" s="46">
        <f>SUMIFS('07导出'!$H$2:$H$1860,'07导出'!$A$2:$A$1860,A161,'07导出'!$C$2:$C$1860,"221")</f>
        <v>129181.92</v>
      </c>
      <c r="AO161" s="46">
        <f>SUMIFS('07导出'!$G$2:$G$1860,'07导出'!$A$2:$A$1860,A161,'07导出'!$D$2:$D$1860,"22102")</f>
        <v>97514</v>
      </c>
      <c r="AP161" s="46">
        <f>SUMIFS('07导出'!$H$2:$H$1860,'07导出'!$A$2:$A$1860,A161,'07导出'!$D$2:$D$1860,"22102")</f>
        <v>129181.92</v>
      </c>
    </row>
    <row r="162" spans="1:42">
      <c r="A162" s="43">
        <v>255</v>
      </c>
      <c r="B162" s="44" t="s">
        <v>445</v>
      </c>
      <c r="C162" s="45">
        <f>SUMIFS('07导出'!$G$2:$G$1860,'07导出'!$A$2:$A$1860,A162,'07导出'!$C$2:$C$1860,"205")</f>
        <v>7046640309.0100012</v>
      </c>
      <c r="D162" s="45">
        <f>SUMIFS('07导出'!$H$2:$H$1860,'07导出'!$A$2:$A$1860,A162,'07导出'!$C$2:$C$1860,"205")</f>
        <v>6558874532.0100002</v>
      </c>
      <c r="E162" s="46">
        <f>SUMIFS('07导出'!$G$2:$G$1860,'07导出'!$A$2:$A$1860,A162,'07导出'!$D$2:$D$1860,"20502")</f>
        <v>6182891553.5100002</v>
      </c>
      <c r="F162" s="46">
        <f>SUMIFS('07导出'!$H$2:$H$1860,'07导出'!$A$2:$A$1860,A162,'07导出'!$D$2:$D$1860,"20502")</f>
        <v>5573182805.9699993</v>
      </c>
      <c r="G162" s="46">
        <f>SUMIFS('07导出'!$G$2:$G$1860,'07导出'!$A$2:$A$1860,A162,'07导出'!$D$2:$D$1860,"20503")</f>
        <v>204513169.22</v>
      </c>
      <c r="H162" s="46">
        <f>SUMIFS('07导出'!$H$2:$H$1860,'07导出'!$A$2:$A$1860,A162,'07导出'!$D$2:$D$1860,"20503")</f>
        <v>185097433.36999997</v>
      </c>
      <c r="I162" s="46">
        <f>SUMIFS('07导出'!$G$2:$G$1860,'07导出'!$A$2:$A$1860,A162,'07导出'!$D$2:$D$1860,"20504")</f>
        <v>25134285.560000002</v>
      </c>
      <c r="J162" s="46">
        <f>SUMIFS('07导出'!$H$2:$H$1860,'07导出'!$A$2:$A$1860,A162,'07导出'!$D$2:$D$1860,"20504")</f>
        <v>23969886.880000003</v>
      </c>
      <c r="K162" s="46">
        <f>SUMIFS('07导出'!$G$2:$G$1860,'07导出'!$A$2:$A$1860,A162,'07导出'!$D$2:$D$1860,"20507")</f>
        <v>89989458.850000009</v>
      </c>
      <c r="L162" s="46">
        <f>SUMIFS('07导出'!$H$2:$H$1860,'07导出'!$A$2:$A$1860,A162,'07导出'!$D$2:$D$1860,"20507")</f>
        <v>73669797.109999999</v>
      </c>
      <c r="M162" s="46">
        <f>SUMIFS('07导出'!$G$2:$G$1860,'07导出'!$A$2:$A$1860,A162,'07导出'!$D$2:$D$1860,"20508")</f>
        <v>112056535.23</v>
      </c>
      <c r="N162" s="46">
        <f>SUMIFS('07导出'!$H$2:$H$1860,'07导出'!$A$2:$A$1860,A162,'07导出'!$D$2:$D$1860,"20508")</f>
        <v>132464637.72</v>
      </c>
      <c r="O162" s="46">
        <f>SUMIFS('07导出'!$G$2:$G$1860,'07导出'!$A$2:$A$1860,A162,'07导出'!$D$2:$D$1860,"20509")</f>
        <v>432055306.63999999</v>
      </c>
      <c r="P162" s="46">
        <f>SUMIFS('07导出'!$H$2:$H$1860,'07导出'!$A$2:$A$1860,A162,'07导出'!$D$2:$D$1860,"20509")</f>
        <v>570489970.96000004</v>
      </c>
      <c r="Q162" s="46">
        <f>SUMIFS('07导出'!$G$2:$G$1860,'07导出'!$A$2:$A$1860,A162,'07导出'!$C$2:$C$1860,"206")</f>
        <v>269739.40000000002</v>
      </c>
      <c r="R162" s="46">
        <f>SUMIFS('07导出'!$H$2:$H$1860,'07导出'!$A$2:$A$1860,A162,'07导出'!$C$2:$C$1860,"206")</f>
        <v>0</v>
      </c>
      <c r="S162" s="46">
        <f>SUMIFS('07导出'!$G$2:$G$1860,'07导出'!$A$2:$A$1860,A162,'07导出'!$D$2:$D$1860,"20607")</f>
        <v>269739.40000000002</v>
      </c>
      <c r="T162" s="46">
        <f>SUMIFS('07导出'!$H$2:$H$1860,'07导出'!$A$2:$A$1860,A162,'07导出'!$D$2:$D$1860,"20607")</f>
        <v>0</v>
      </c>
      <c r="U162" s="46">
        <f>SUMIFS('07导出'!$G$2:$G$1860,'07导出'!$A$2:$A$1860,A162,'07导出'!$C$2:$C$1860,"208")</f>
        <v>947083946.03999996</v>
      </c>
      <c r="V162" s="46">
        <f>SUMIFS('07导出'!$H$2:$H$1860,'07导出'!$A$2:$A$1860,A162,'07导出'!$C$2:$C$1860,"208")</f>
        <v>886862813.54999995</v>
      </c>
      <c r="W162" s="46">
        <f>SUMIFS('07导出'!$G$2:$G$1860,'07导出'!$A$2:$A$1860,A162,'07导出'!$D$2:$D$1860,"20805")</f>
        <v>944407000.03999996</v>
      </c>
      <c r="X162" s="46">
        <f>SUMIFS('07导出'!$H$2:$H$1860,'07导出'!$A$2:$A$1860,A162,'07导出'!$D$2:$D$1860,"20805")</f>
        <v>886862813.54999995</v>
      </c>
      <c r="Y162" s="46">
        <f>SUMIFS('07导出'!$G$2:$G$1860,'07导出'!$A$2:$A$1860,A162,'07导出'!$D$2:$D$1860,"20808")</f>
        <v>2676946</v>
      </c>
      <c r="Z162" s="46">
        <f>SUMIFS('07导出'!$H$2:$H$1860,'07导出'!$A$2:$A$1860,A162,'07导出'!$D$2:$D$1860,"20808")</f>
        <v>0</v>
      </c>
      <c r="AA162" s="46">
        <f>SUMIFS('07导出'!$G$2:$G$1860,'07导出'!$A$2:$A$1860,A162,'07导出'!$C$2:$C$1860,"210")</f>
        <v>392174626.88</v>
      </c>
      <c r="AB162" s="46">
        <f>SUMIFS('07导出'!$H$2:$H$1860,'07导出'!$A$2:$A$1860,A162,'07导出'!$C$2:$C$1860,"210")</f>
        <v>353225733.52999997</v>
      </c>
      <c r="AC162" s="46">
        <f>SUMIFS('07导出'!$G$2:$G$1860,'07导出'!$A$2:$A$1860,A162,'07导出'!$D$2:$D$1860,"21011")</f>
        <v>392174626.88</v>
      </c>
      <c r="AD162" s="46">
        <f>SUMIFS('07导出'!$H$2:$H$1860,'07导出'!$A$2:$A$1860,A162,'07导出'!$D$2:$D$1860,"21011")</f>
        <v>353225733.52999997</v>
      </c>
      <c r="AE162" s="46">
        <f>SUMIFS('07导出'!$G$2:$G$1860,'07导出'!$A$2:$A$1860,A162,'07导出'!$C$2:$C$1860,"212")</f>
        <v>18777526.809999999</v>
      </c>
      <c r="AF162" s="46">
        <f>SUMIFS('07导出'!$H$2:$H$1860,'07导出'!$A$2:$A$1860,A162,'07导出'!$C$2:$C$1860,"212")</f>
        <v>0</v>
      </c>
      <c r="AG162" s="46">
        <f>SUMIFS('07导出'!$G$2:$G$1860,'07导出'!$A$2:$A$1860,A162,'07导出'!$D$2:$D$1860,"21203")</f>
        <v>18777526.809999999</v>
      </c>
      <c r="AH162" s="46">
        <f>SUMIFS('07导出'!$H$2:$H$1860,'07导出'!$A$2:$A$1860,A162,'07导出'!$D$2:$D$1860,"21203")</f>
        <v>0</v>
      </c>
      <c r="AI162" s="46">
        <f>SUMIFS('07导出'!$G$2:$G$1860,'07导出'!$A$2:$A$1860,A162,'07导出'!$C$2:$C$1860,"213")</f>
        <v>75000</v>
      </c>
      <c r="AJ162" s="46">
        <f>SUMIFS('07导出'!$H$2:$H$1860,'07导出'!$A$2:$A$1860,A162,'07导出'!$C$2:$C$1860,"213")</f>
        <v>0</v>
      </c>
      <c r="AK162" s="46">
        <f>SUMIFS('07导出'!$G$2:$G$1860,'07导出'!$A$2:$A$1860,A162,'07导出'!$D$2:$D$1860,"21305")</f>
        <v>75000</v>
      </c>
      <c r="AL162" s="46">
        <f>SUMIFS('07导出'!$H$2:$H$1860,'07导出'!$A$2:$A$1860,A162,'07导出'!$D$2:$D$1860,"21305")</f>
        <v>0</v>
      </c>
      <c r="AM162" s="46">
        <f>SUMIFS('07导出'!$G$2:$G$1860,'07导出'!$A$2:$A$1860,A162,'07导出'!$C$2:$C$1860,"221")</f>
        <v>887803414.57999992</v>
      </c>
      <c r="AN162" s="46">
        <f>SUMIFS('07导出'!$H$2:$H$1860,'07导出'!$A$2:$A$1860,A162,'07导出'!$C$2:$C$1860,"221")</f>
        <v>844696892.49000001</v>
      </c>
      <c r="AO162" s="46">
        <f>SUMIFS('07导出'!$G$2:$G$1860,'07导出'!$A$2:$A$1860,A162,'07导出'!$D$2:$D$1860,"22102")</f>
        <v>887803414.57999992</v>
      </c>
      <c r="AP162" s="46">
        <f>SUMIFS('07导出'!$H$2:$H$1860,'07导出'!$A$2:$A$1860,A162,'07导出'!$D$2:$D$1860,"22102")</f>
        <v>844696892.49000001</v>
      </c>
    </row>
    <row r="163" spans="1:42" s="51" customFormat="1">
      <c r="A163" s="48">
        <v>255</v>
      </c>
      <c r="B163" s="49" t="s">
        <v>446</v>
      </c>
      <c r="C163" s="50">
        <f>C162/10000</f>
        <v>704664.03090100014</v>
      </c>
      <c r="D163" s="50">
        <f t="shared" ref="D163:AP163" si="0">D162/10000</f>
        <v>655887.453201</v>
      </c>
      <c r="E163" s="50">
        <f t="shared" si="0"/>
        <v>618289.15535100002</v>
      </c>
      <c r="F163" s="50">
        <f t="shared" si="0"/>
        <v>557318.28059699992</v>
      </c>
      <c r="G163" s="50">
        <f t="shared" si="0"/>
        <v>20451.316921999998</v>
      </c>
      <c r="H163" s="50">
        <f t="shared" si="0"/>
        <v>18509.743336999996</v>
      </c>
      <c r="I163" s="50">
        <f t="shared" si="0"/>
        <v>2513.4285560000003</v>
      </c>
      <c r="J163" s="50">
        <f t="shared" si="0"/>
        <v>2396.9886880000004</v>
      </c>
      <c r="K163" s="50">
        <f t="shared" si="0"/>
        <v>8998.945885000001</v>
      </c>
      <c r="L163" s="50">
        <f t="shared" si="0"/>
        <v>7366.979711</v>
      </c>
      <c r="M163" s="50">
        <f t="shared" si="0"/>
        <v>11205.653523000001</v>
      </c>
      <c r="N163" s="50">
        <f t="shared" si="0"/>
        <v>13246.463771999999</v>
      </c>
      <c r="O163" s="50">
        <f t="shared" si="0"/>
        <v>43205.530663999998</v>
      </c>
      <c r="P163" s="50">
        <f t="shared" si="0"/>
        <v>57048.997096000006</v>
      </c>
      <c r="Q163" s="50">
        <f t="shared" si="0"/>
        <v>26.973940000000002</v>
      </c>
      <c r="R163" s="50">
        <f t="shared" si="0"/>
        <v>0</v>
      </c>
      <c r="S163" s="50">
        <f t="shared" si="0"/>
        <v>26.973940000000002</v>
      </c>
      <c r="T163" s="50">
        <f t="shared" si="0"/>
        <v>0</v>
      </c>
      <c r="U163" s="50">
        <f t="shared" si="0"/>
        <v>94708.394604000001</v>
      </c>
      <c r="V163" s="50">
        <f t="shared" si="0"/>
        <v>88686.281354999999</v>
      </c>
      <c r="W163" s="50">
        <f t="shared" si="0"/>
        <v>94440.700003999998</v>
      </c>
      <c r="X163" s="50">
        <f t="shared" si="0"/>
        <v>88686.281354999999</v>
      </c>
      <c r="Y163" s="50">
        <f t="shared" si="0"/>
        <v>267.69459999999998</v>
      </c>
      <c r="Z163" s="50">
        <f t="shared" si="0"/>
        <v>0</v>
      </c>
      <c r="AA163" s="50">
        <f t="shared" si="0"/>
        <v>39217.462688</v>
      </c>
      <c r="AB163" s="50">
        <f t="shared" si="0"/>
        <v>35322.573353</v>
      </c>
      <c r="AC163" s="50">
        <f t="shared" si="0"/>
        <v>39217.462688</v>
      </c>
      <c r="AD163" s="50">
        <f t="shared" si="0"/>
        <v>35322.573353</v>
      </c>
      <c r="AE163" s="50">
        <f t="shared" si="0"/>
        <v>1877.7526809999999</v>
      </c>
      <c r="AF163" s="50">
        <f t="shared" si="0"/>
        <v>0</v>
      </c>
      <c r="AG163" s="50">
        <f t="shared" si="0"/>
        <v>1877.7526809999999</v>
      </c>
      <c r="AH163" s="50">
        <f t="shared" si="0"/>
        <v>0</v>
      </c>
      <c r="AI163" s="50">
        <f t="shared" si="0"/>
        <v>7.5</v>
      </c>
      <c r="AJ163" s="50">
        <f t="shared" si="0"/>
        <v>0</v>
      </c>
      <c r="AK163" s="50">
        <f t="shared" si="0"/>
        <v>7.5</v>
      </c>
      <c r="AL163" s="50">
        <f t="shared" si="0"/>
        <v>0</v>
      </c>
      <c r="AM163" s="50">
        <f t="shared" si="0"/>
        <v>88780.341457999995</v>
      </c>
      <c r="AN163" s="50">
        <f t="shared" si="0"/>
        <v>84469.689249000003</v>
      </c>
      <c r="AO163" s="50">
        <f t="shared" si="0"/>
        <v>88780.341457999995</v>
      </c>
      <c r="AP163" s="50">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DELL</cp:lastModifiedBy>
  <cp:lastPrinted>2021-09-07T06:03:28Z</cp:lastPrinted>
  <dcterms:created xsi:type="dcterms:W3CDTF">2021-08-26T09:47:38Z</dcterms:created>
  <dcterms:modified xsi:type="dcterms:W3CDTF">2021-09-07T06:20:38Z</dcterms:modified>
</cp:coreProperties>
</file>