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21 北京教育学院附属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A3" i="6"/>
  <c r="J55" i="5" l="1"/>
  <c r="E55" i="5"/>
  <c r="J53" i="5"/>
  <c r="E53" i="5"/>
  <c r="J50" i="5"/>
  <c r="E50" i="5"/>
  <c r="J48" i="5"/>
  <c r="E48" i="5"/>
  <c r="J45" i="5"/>
  <c r="E45" i="5"/>
  <c r="J43" i="5"/>
  <c r="E43" i="5"/>
  <c r="J40" i="5"/>
  <c r="E40" i="5"/>
  <c r="J37" i="5"/>
  <c r="E37" i="5"/>
  <c r="J34" i="5"/>
  <c r="E34" i="5"/>
  <c r="J32" i="5"/>
  <c r="E32" i="5"/>
  <c r="D30" i="5"/>
  <c r="A32" i="6"/>
  <c r="G31" i="6"/>
  <c r="M30" i="6"/>
  <c r="C30"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63" i="5"/>
  <c r="F26" i="5"/>
  <c r="D29" i="5"/>
  <c r="D28" i="5"/>
  <c r="D27" i="5"/>
  <c r="E22" i="5"/>
  <c r="K22" i="5" s="1"/>
  <c r="D20" i="5"/>
  <c r="D19" i="5"/>
  <c r="D18" i="5"/>
  <c r="D17" i="5"/>
  <c r="J17" i="5" s="1"/>
  <c r="D15" i="5"/>
  <c r="D14" i="5"/>
  <c r="D13" i="5"/>
  <c r="D12" i="5"/>
  <c r="D11" i="5"/>
  <c r="D10" i="5"/>
  <c r="D8" i="5"/>
  <c r="J8" i="5" s="1"/>
  <c r="K11" i="6" l="1"/>
  <c r="L11" i="6"/>
  <c r="H10" i="5"/>
  <c r="K10" i="5" s="1"/>
  <c r="J10" i="5"/>
  <c r="E5" i="6"/>
  <c r="D5" i="6"/>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<sst xmlns="http://schemas.openxmlformats.org/spreadsheetml/2006/main" count="4631" uniqueCount="456">
  <si>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</si>
  <si>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</si>
  <si>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</si>
  <si>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</si>
  <si>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</si>
  <si>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</si>
  <si>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</si>
  <si>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</si>
  <si>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</si>
  <si>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</si>
  <si>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</si>
  <si>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</si>
  <si>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</si>
  <si>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</si>
  <si>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</si>
  <si>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</si>
  <si>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</si>
  <si>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</si>
  <si>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</si>
  <si>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</si>
  <si>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</si>
  <si>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</si>
  <si>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</si>
  <si>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</si>
  <si>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</si>
  <si>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</si>
  <si>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</si>
  <si>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</si>
  <si>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</si>
  <si>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</si>
  <si>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</si>
  <si>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</si>
  <si>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</si>
  <si>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</si>
  <si>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</si>
  <si>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</si>
  <si>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</si>
  <si>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</si>
  <si>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</si>
  <si>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</si>
  <si>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</si>
  <si>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</si>
  <si>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</si>
  <si>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</si>
  <si>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</si>
  <si>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</si>
  <si>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</si>
  <si>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</si>
  <si>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</si>
  <si>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</si>
  <si>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</si>
  <si>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</si>
  <si>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</si>
  <si>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</si>
  <si>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</si>
  <si>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</si>
  <si>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</si>
  <si>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</si>
  <si>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</si>
  <si>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</si>
  <si>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</si>
  <si>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</si>
  <si>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</si>
  <si>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</si>
  <si>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</si>
  <si>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</si>
  <si>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</si>
  <si>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</si>
  <si>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</si>
  <si>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</si>
  <si>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</si>
  <si>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</si>
  <si>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</si>
  <si>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</si>
  <si>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</si>
  <si>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</si>
  <si>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</si>
  <si>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</si>
  <si>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</si>
  <si>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</si>
  <si>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</si>
  <si>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</si>
  <si>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</si>
  <si>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</si>
  <si>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</si>
  <si>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</si>
  <si>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</si>
  <si>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</si>
  <si>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</si>
  <si>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</si>
  <si>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</si>
  <si>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</si>
  <si>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</si>
  <si>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</si>
  <si>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</si>
  <si>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</si>
  <si>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</si>
  <si>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</si>
  <si>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</si>
  <si>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</si>
  <si>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</si>
  <si>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</si>
  <si>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</si>
  <si>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</si>
  <si>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</si>
  <si>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</si>
  <si>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</si>
  <si>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</si>
  <si>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</si>
  <si>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</si>
  <si>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</si>
  <si>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</si>
  <si>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</si>
  <si>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</si>
  <si>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</si>
  <si>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</si>
  <si>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</si>
  <si>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</si>
  <si>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</si>
  <si>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</si>
  <si>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</si>
  <si>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</si>
  <si>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</si>
  <si>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</si>
  <si>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</si>
  <si>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</si>
  <si>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</si>
  <si>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</si>
  <si>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</si>
  <si>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</si>
  <si>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</si>
  <si>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</si>
  <si>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</si>
  <si>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</si>
  <si>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</si>
  <si>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</si>
  <si>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</si>
  <si>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</si>
  <si>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</si>
  <si>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</si>
  <si>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</si>
  <si>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</si>
  <si>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</si>
  <si>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</si>
  <si>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</si>
  <si>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</si>
  <si>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</si>
  <si>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</si>
  <si>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</si>
  <si>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</si>
  <si>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</si>
  <si>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</si>
  <si>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</si>
  <si>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</si>
  <si>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</si>
  <si>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</si>
  <si>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</si>
  <si>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</si>
  <si>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</si>
  <si>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</si>
  <si>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</si>
  <si>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</si>
  <si>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</si>
  <si>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</si>
  <si>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</si>
  <si>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</si>
  <si>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</si>
  <si>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</si>
  <si>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</si>
  <si>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</si>
  <si>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</si>
  <si>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</si>
  <si>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</si>
  <si>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</si>
  <si>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</si>
  <si>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</si>
  <si>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</si>
  <si>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</si>
  <si>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</si>
  <si>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</si>
  <si>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</si>
  <si>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</si>
  <si>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</si>
  <si>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</si>
  <si>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</si>
  <si>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</si>
  <si>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</si>
  <si>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</si>
  <si>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</si>
  <si>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</si>
  <si>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</si>
  <si>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</si>
  <si>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</si>
  <si>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</si>
  <si>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</si>
  <si>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</si>
  <si>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</si>
  <si>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</si>
  <si>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</si>
  <si>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</si>
  <si>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</si>
  <si>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</si>
  <si>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</si>
  <si>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</si>
  <si>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</si>
  <si>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</si>
  <si>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</si>
  <si>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</si>
  <si>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</si>
  <si>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</si>
  <si>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</si>
  <si>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</si>
  <si>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</si>
  <si>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</si>
  <si>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</si>
  <si>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</si>
  <si>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</si>
  <si>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</si>
  <si>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</si>
  <si>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</si>
  <si>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</si>
  <si>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</si>
  <si>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</si>
  <si>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</si>
  <si>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</si>
  <si>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</si>
  <si>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</si>
  <si>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</si>
  <si>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</si>
  <si>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</si>
  <si>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</si>
  <si>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</si>
  <si>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</si>
  <si>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</si>
  <si>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</si>
  <si>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</si>
  <si>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</si>
  <si>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</si>
  <si>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</si>
  <si>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</si>
  <si>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</si>
  <si>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</si>
  <si>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</si>
  <si>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</si>
  <si>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</si>
  <si>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</si>
  <si>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</si>
  <si>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</si>
  <si>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</si>
  <si>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</si>
  <si>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</si>
  <si>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</si>
  <si>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</si>
  <si>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</si>
  <si>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</si>
  <si>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</si>
  <si>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</si>
  <si>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</si>
  <si>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</si>
  <si>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</si>
  <si>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</si>
  <si>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</si>
  <si>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</si>
  <si>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</si>
  <si>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</si>
  <si>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</si>
  <si>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</si>
  <si>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</si>
  <si>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</si>
  <si>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</si>
  <si>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</si>
  <si>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</si>
  <si>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</si>
  <si>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</si>
  <si>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</si>
  <si>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</si>
  <si>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</si>
  <si>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</si>
  <si>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</si>
  <si>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</si>
  <si>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</si>
  <si>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</si>
  <si>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</si>
  <si>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</si>
  <si>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</si>
  <si>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</si>
  <si>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</si>
  <si>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</si>
  <si>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</si>
  <si>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</si>
  <si>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</si>
  <si>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</si>
  <si>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</si>
  <si>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</si>
  <si>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</si>
  <si>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</si>
  <si>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</si>
  <si>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</si>
  <si>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</si>
  <si>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</si>
  <si>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</si>
  <si>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</si>
  <si>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</si>
  <si>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</si>
  <si>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</si>
  <si>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</si>
  <si>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</si>
  <si>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</si>
  <si>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</si>
  <si>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</si>
  <si>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</si>
  <si>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</si>
  <si>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</si>
  <si>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</si>
  <si>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</si>
  <si>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</si>
  <si>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</si>
  <si>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</si>
  <si>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</si>
  <si>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</si>
  <si>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</si>
  <si>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</si>
  <si>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</si>
  <si>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</si>
  <si>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</si>
  <si>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</si>
  <si>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</si>
  <si>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</si>
  <si>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</si>
  <si>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</si>
  <si>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</si>
  <si>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</si>
  <si>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</si>
  <si>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</si>
  <si>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</si>
  <si>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</si>
  <si>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</si>
  <si>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</si>
  <si>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</si>
  <si>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</si>
  <si>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</si>
  <si>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</si>
  <si>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</si>
  <si>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</si>
  <si>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</si>
  <si>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</si>
  <si>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</si>
  <si>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</si>
  <si>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</si>
  <si>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</si>
  <si>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</si>
  <si>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</si>
  <si>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</si>
  <si>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</si>
  <si>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</si>
  <si>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</si>
  <si>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</si>
  <si>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</si>
  <si>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</si>
  <si>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</si>
  <si>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</si>
  <si>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</si>
  <si>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</si>
  <si>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</si>
  <si>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</si>
  <si>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</si>
  <si>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</si>
  <si>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</si>
  <si>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</si>
  <si>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</si>
  <si>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</si>
  <si>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</si>
  <si>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</si>
  <si>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</si>
  <si>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</si>
  <si>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</si>
  <si>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</si>
  <si>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</si>
  <si>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</si>
  <si>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</si>
  <si>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</si>
  <si>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</si>
  <si>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</si>
  <si>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</si>
  <si>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</si>
  <si>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</si>
  <si>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</si>
  <si>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</si>
  <si>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</si>
  <si>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</si>
  <si>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</si>
  <si>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</si>
  <si>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</si>
  <si>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</si>
  <si>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</si>
  <si>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</si>
  <si>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</si>
  <si>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</si>
  <si>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</si>
  <si>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</si>
  <si>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</si>
  <si>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</si>
  <si>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</si>
  <si>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</si>
  <si>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</si>
  <si>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</si>
  <si>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</si>
  <si>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</si>
  <si>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</si>
  <si>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</si>
  <si>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</si>
  <si>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</si>
  <si>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</si>
  <si>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</si>
  <si>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</si>
  <si>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</si>
  <si>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</si>
  <si>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</si>
  <si>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</si>
  <si>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</si>
  <si>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</si>
  <si>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</si>
  <si>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</si>
  <si>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</si>
  <si>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</si>
  <si>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</si>
  <si>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</si>
  <si>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</si>
  <si>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</si>
  <si>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</si>
  <si>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</si>
  <si>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</si>
  <si>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</si>
  <si>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</si>
  <si>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</si>
  <si>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</si>
  <si>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</si>
  <si>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</si>
  <si>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</si>
  <si>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</si>
  <si>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</si>
  <si>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</si>
  <si>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</si>
  <si>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</si>
  <si>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</si>
  <si>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北京教育学院附属中学是经西城区人民政府批准，由西城区教育委员会和北京教育学院共同签署合作协议，创办的一所全日制完全中学。学校是由原西城区两所完全中学（北京市丰盛中学、北京教育学院西城分院附属中学）于2008年合并组建而成。下设党政办公室、教学处、德育处、教科研室、总务处等五个部门。</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</si>
  <si>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</si>
  <si>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主要原因是受疫情影响，项目数量减少，从而导致财政拨款收支减少。</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</si>
  <si>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</si>
  <si>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</si>
  <si>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</si>
  <si>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主要原因是人员支出增加导致。</t>
    <phoneticPr fontId="3" type="noConversion"/>
  </si>
  <si>
    <t xml:space="preserve">北京教育学院附属中学对2020年度部门项目支出实施绩效评价，评价项目2个，占项目总数的10%，涉及金额108.93万元。评价结果（概括评价总体情况）。
一、绩效跟踪工作组织实施情况
我校根据《北京市人民政府办公厅关于推进本市预算绩效管理的意见》、《北京市预算绩效管理办法（试行）》、《北京市市级财政支出绩效跟踪管理办法》等文件规定，建立了预算项目管理制度和必要的实施方案。
二、年度预算执行情况
严格按照预算计划执行。我校全年预算项目总金额3233042元，截止到本年12月31日共完成支出3087202元，完成全年预算项目金额比例95.49%。
三、绩效目标情况及分析
今年，我校部分项目因受疫情影响，支出进度较慢，教学活动正常化后，我校加快了支出进度，基本上完成了全年预算指标，完成比例达到95.49%
四、预计社会效益实现情况
本年预算项目全面完成后，可以整体提升学校的教学及办公条件，提高教学质量，改善学生的学习环境，为学生提供更多参与社会活动的机会，开拓视野，达到学生、家长及教师多方满意的效果。
</t>
    <phoneticPr fontId="3" type="noConversion"/>
  </si>
  <si>
    <t>主要原因是因疫情影响，按财政要求进行调减。</t>
    <phoneticPr fontId="3" type="noConversion"/>
  </si>
  <si>
    <t>主要原因是严格遵守采购流程，本着节约的原则，实际支出时比预算优惠110元。</t>
    <phoneticPr fontId="3" type="noConversion"/>
  </si>
  <si>
    <t>主要原因是人员支出增加导致。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</si>
</sst>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6" t="s">
        <v>0</v>
      </c>
      <c r="B1" s="27">
        <v>255021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北京教育学院附属中学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350</v>
      </c>
      <c r="B1" s="21" t="s">
        <v>279</v>
      </c>
      <c r="C1" s="36" t="s">
        <v>351</v>
      </c>
      <c r="D1" s="36" t="s">
        <v>352</v>
      </c>
      <c r="E1" s="37" t="s">
        <v>353</v>
      </c>
      <c r="F1" s="21" t="s">
        <v>354</v>
      </c>
      <c r="G1" s="21" t="s">
        <v>355</v>
      </c>
      <c r="H1" s="21" t="s">
        <v>356</v>
      </c>
    </row>
    <row r="2" spans="1:8">
      <c r="A2" s="23">
        <v>255001</v>
      </c>
      <c r="B2" s="24" t="s">
        <v>330</v>
      </c>
      <c r="C2" s="38" t="str">
        <f>LEFT(D2,3)</f>
        <v>205</v>
      </c>
      <c r="D2" s="38" t="str">
        <f>LEFT(E2,5)</f>
        <v>20502</v>
      </c>
      <c r="E2" s="38">
        <f>IF(ISNA(VLOOKUP(F2,'2020功能科目'!A:B,2,FALSE)),"",VLOOKUP(F2,'2020功能科目'!A:B,2,FALSE))</f>
        <v>2050201</v>
      </c>
      <c r="F2" s="24" t="s">
        <v>357</v>
      </c>
      <c r="G2" s="25">
        <v>91486047.549999997</v>
      </c>
      <c r="H2" s="25">
        <v>117849170.55</v>
      </c>
    </row>
    <row r="3" spans="1:8">
      <c r="A3" s="23">
        <v>255001</v>
      </c>
      <c r="B3" s="24" t="s">
        <v>330</v>
      </c>
      <c r="C3" s="38" t="str">
        <f t="shared" ref="C3:C66" si="0">LEFT(D3,3)</f>
        <v>205</v>
      </c>
      <c r="D3" s="38" t="str">
        <f t="shared" ref="D3:D66" si="1">LEFT(E3,5)</f>
        <v>20502</v>
      </c>
      <c r="E3" s="38">
        <f>IF(ISNA(VLOOKUP(F3,'2020功能科目'!A:B,2,FALSE)),"",VLOOKUP(F3,'2020功能科目'!A:B,2,FALSE))</f>
        <v>2050202</v>
      </c>
      <c r="F3" s="24" t="s">
        <v>358</v>
      </c>
      <c r="G3" s="25">
        <v>250000</v>
      </c>
      <c r="H3" s="25">
        <v>250000</v>
      </c>
    </row>
    <row r="4" spans="1:8">
      <c r="A4" s="23">
        <v>255001</v>
      </c>
      <c r="B4" s="24" t="s">
        <v>330</v>
      </c>
      <c r="C4" s="38" t="str">
        <f t="shared" si="0"/>
        <v>205</v>
      </c>
      <c r="D4" s="38" t="str">
        <f t="shared" si="1"/>
        <v>20502</v>
      </c>
      <c r="E4" s="38">
        <f>IF(ISNA(VLOOKUP(F4,'2020功能科目'!A:B,2,FALSE)),"",VLOOKUP(F4,'2020功能科目'!A:B,2,FALSE))</f>
        <v>2050204</v>
      </c>
      <c r="F4" s="24" t="s">
        <v>359</v>
      </c>
      <c r="G4" s="25">
        <v>1439000</v>
      </c>
      <c r="H4" s="25">
        <v>1439888.15</v>
      </c>
    </row>
    <row r="5" spans="1:8">
      <c r="A5" s="23">
        <v>255001</v>
      </c>
      <c r="B5" s="24" t="s">
        <v>330</v>
      </c>
      <c r="C5" s="38" t="str">
        <f t="shared" si="0"/>
        <v>205</v>
      </c>
      <c r="D5" s="38" t="str">
        <f t="shared" si="1"/>
        <v>20502</v>
      </c>
      <c r="E5" s="38">
        <f>IF(ISNA(VLOOKUP(F5,'2020功能科目'!A:B,2,FALSE)),"",VLOOKUP(F5,'2020功能科目'!A:B,2,FALSE))</f>
        <v>2050299</v>
      </c>
      <c r="F5" s="24" t="s">
        <v>360</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359</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360</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361</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362</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363</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364</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365</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366</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367</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368</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369</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370</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371</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372</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359</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360</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361</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362</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363</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364</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365</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366</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368</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369</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370</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371</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372</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359</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360</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361</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363</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364</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365</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366</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368</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369</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370</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371</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372</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359</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360</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361</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362</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363</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364</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365</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366</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368</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369</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370</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371</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372</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359</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361</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362</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363</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364</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365</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366</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368</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369</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370</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371</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372</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359</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362</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363</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364</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365</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366</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368</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369</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370</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371</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372</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359</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360</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361</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362</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363</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364</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365</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366</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367</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368</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369</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370</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371</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372</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359</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360</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361</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362</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363</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364</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365</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366</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368</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369</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370</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371</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372</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359</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360</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361</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362</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363</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364</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365</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366</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368</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369</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370</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371</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372</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359</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361</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362</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363</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364</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365</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366</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368</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369</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370</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371</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372</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359</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361</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362</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363</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364</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365</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366</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368</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369</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370</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371</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372</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359</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363</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364</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365</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366</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368</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369</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370</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371</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372</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359</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360</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361</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362</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363</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364</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365</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366</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368</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369</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370</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371</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372</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373</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360</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361</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362</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363</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364</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365</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366</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368</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369</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370</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371</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372</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359</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361</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362</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364</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365</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366</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368</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370</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371</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372</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359</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360</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361</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362</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363</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364</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365</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366</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368</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369</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370</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371</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372</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359</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360</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361</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362</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363</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364</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365</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366</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368</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369</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370</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371</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372</v>
      </c>
      <c r="G216" s="25">
        <v>4290503</v>
      </c>
      <c r="H216" s="25">
        <v>4304412</v>
      </c>
    </row>
    <row r="217" spans="1:8">
      <c r="A217" s="23">
        <v>255022</v>
      </c>
      <c r="B217" s="24" t="s">
        <v>331</v>
      </c>
      <c r="C217" s="38" t="str">
        <f t="shared" si="6"/>
        <v>205</v>
      </c>
      <c r="D217" s="38" t="str">
        <f t="shared" si="7"/>
        <v>20502</v>
      </c>
      <c r="E217" s="38">
        <f>IF(ISNA(VLOOKUP(F217,'2020功能科目'!A:B,2,FALSE)),"",VLOOKUP(F217,'2020功能科目'!A:B,2,FALSE))</f>
        <v>2050203</v>
      </c>
      <c r="F217" s="24" t="s">
        <v>373</v>
      </c>
      <c r="G217" s="25">
        <v>26873070.100000001</v>
      </c>
      <c r="H217" s="25">
        <v>22704196.510000002</v>
      </c>
    </row>
    <row r="218" spans="1:8">
      <c r="A218" s="23">
        <v>255022</v>
      </c>
      <c r="B218" s="24" t="s">
        <v>331</v>
      </c>
      <c r="C218" s="38" t="str">
        <f t="shared" si="6"/>
        <v>205</v>
      </c>
      <c r="D218" s="38" t="str">
        <f t="shared" si="7"/>
        <v>20502</v>
      </c>
      <c r="E218" s="38">
        <f>IF(ISNA(VLOOKUP(F218,'2020功能科目'!A:B,2,FALSE)),"",VLOOKUP(F218,'2020功能科目'!A:B,2,FALSE))</f>
        <v>2050204</v>
      </c>
      <c r="F218" s="24" t="s">
        <v>359</v>
      </c>
      <c r="G218" s="25">
        <v>46564</v>
      </c>
      <c r="H218" s="25">
        <v>51629</v>
      </c>
    </row>
    <row r="219" spans="1:8">
      <c r="A219" s="23">
        <v>255022</v>
      </c>
      <c r="B219" s="24" t="s">
        <v>331</v>
      </c>
      <c r="C219" s="38" t="str">
        <f t="shared" si="6"/>
        <v>205</v>
      </c>
      <c r="D219" s="38" t="str">
        <f t="shared" si="7"/>
        <v>20502</v>
      </c>
      <c r="E219" s="38">
        <f>IF(ISNA(VLOOKUP(F219,'2020功能科目'!A:B,2,FALSE)),"",VLOOKUP(F219,'2020功能科目'!A:B,2,FALSE))</f>
        <v>2050299</v>
      </c>
      <c r="F219" s="24" t="s">
        <v>360</v>
      </c>
      <c r="G219" s="25">
        <v>279.2</v>
      </c>
      <c r="H219" s="25">
        <v>0</v>
      </c>
    </row>
    <row r="220" spans="1:8">
      <c r="A220" s="23">
        <v>255022</v>
      </c>
      <c r="B220" s="24" t="s">
        <v>331</v>
      </c>
      <c r="C220" s="38" t="str">
        <f t="shared" si="6"/>
        <v>205</v>
      </c>
      <c r="D220" s="38" t="str">
        <f t="shared" si="7"/>
        <v>20508</v>
      </c>
      <c r="E220" s="38">
        <f>IF(ISNA(VLOOKUP(F220,'2020功能科目'!A:B,2,FALSE)),"",VLOOKUP(F220,'2020功能科目'!A:B,2,FALSE))</f>
        <v>2050803</v>
      </c>
      <c r="F220" s="24" t="s">
        <v>361</v>
      </c>
      <c r="G220" s="25">
        <v>36800</v>
      </c>
      <c r="H220" s="25">
        <v>73600</v>
      </c>
    </row>
    <row r="221" spans="1:8">
      <c r="A221" s="23">
        <v>255022</v>
      </c>
      <c r="B221" s="24" t="s">
        <v>331</v>
      </c>
      <c r="C221" s="38" t="str">
        <f t="shared" si="6"/>
        <v>205</v>
      </c>
      <c r="D221" s="38" t="str">
        <f t="shared" si="7"/>
        <v>20509</v>
      </c>
      <c r="E221" s="38">
        <f>IF(ISNA(VLOOKUP(F221,'2020功能科目'!A:B,2,FALSE)),"",VLOOKUP(F221,'2020功能科目'!A:B,2,FALSE))</f>
        <v>2050903</v>
      </c>
      <c r="F221" s="24" t="s">
        <v>362</v>
      </c>
      <c r="G221" s="25">
        <v>138743.4</v>
      </c>
      <c r="H221" s="25">
        <v>140000</v>
      </c>
    </row>
    <row r="222" spans="1:8">
      <c r="A222" s="23">
        <v>255022</v>
      </c>
      <c r="B222" s="24" t="s">
        <v>331</v>
      </c>
      <c r="C222" s="38" t="str">
        <f t="shared" si="6"/>
        <v>205</v>
      </c>
      <c r="D222" s="38" t="str">
        <f t="shared" si="7"/>
        <v>20509</v>
      </c>
      <c r="E222" s="38">
        <f>IF(ISNA(VLOOKUP(F222,'2020功能科目'!A:B,2,FALSE)),"",VLOOKUP(F222,'2020功能科目'!A:B,2,FALSE))</f>
        <v>2050904</v>
      </c>
      <c r="F222" s="24" t="s">
        <v>363</v>
      </c>
      <c r="G222" s="25">
        <v>1246675.0900000001</v>
      </c>
      <c r="H222" s="25">
        <v>1261160</v>
      </c>
    </row>
    <row r="223" spans="1:8">
      <c r="A223" s="23">
        <v>255022</v>
      </c>
      <c r="B223" s="24" t="s">
        <v>331</v>
      </c>
      <c r="C223" s="38" t="str">
        <f t="shared" si="6"/>
        <v>208</v>
      </c>
      <c r="D223" s="38" t="str">
        <f t="shared" si="7"/>
        <v>20805</v>
      </c>
      <c r="E223" s="38">
        <f>IF(ISNA(VLOOKUP(F223,'2020功能科目'!A:B,2,FALSE)),"",VLOOKUP(F223,'2020功能科目'!A:B,2,FALSE))</f>
        <v>2080502</v>
      </c>
      <c r="F223" s="24" t="s">
        <v>364</v>
      </c>
      <c r="G223" s="25">
        <v>2701675.56</v>
      </c>
      <c r="H223" s="25">
        <v>2070473.15</v>
      </c>
    </row>
    <row r="224" spans="1:8">
      <c r="A224" s="23">
        <v>255022</v>
      </c>
      <c r="B224" s="24" t="s">
        <v>331</v>
      </c>
      <c r="C224" s="38" t="str">
        <f t="shared" si="6"/>
        <v>208</v>
      </c>
      <c r="D224" s="38" t="str">
        <f t="shared" si="7"/>
        <v>20805</v>
      </c>
      <c r="E224" s="38">
        <f>IF(ISNA(VLOOKUP(F224,'2020功能科目'!A:B,2,FALSE)),"",VLOOKUP(F224,'2020功能科目'!A:B,2,FALSE))</f>
        <v>2080505</v>
      </c>
      <c r="F224" s="24" t="s">
        <v>365</v>
      </c>
      <c r="G224" s="25">
        <v>1964071.04</v>
      </c>
      <c r="H224" s="25">
        <v>2098399.36</v>
      </c>
    </row>
    <row r="225" spans="1:8">
      <c r="A225" s="23">
        <v>255022</v>
      </c>
      <c r="B225" s="24" t="s">
        <v>331</v>
      </c>
      <c r="C225" s="38" t="str">
        <f t="shared" si="6"/>
        <v>208</v>
      </c>
      <c r="D225" s="38" t="str">
        <f t="shared" si="7"/>
        <v>20805</v>
      </c>
      <c r="E225" s="38">
        <f>IF(ISNA(VLOOKUP(F225,'2020功能科目'!A:B,2,FALSE)),"",VLOOKUP(F225,'2020功能科目'!A:B,2,FALSE))</f>
        <v>2080506</v>
      </c>
      <c r="F225" s="24" t="s">
        <v>366</v>
      </c>
      <c r="G225" s="25">
        <v>982035.52</v>
      </c>
      <c r="H225" s="25">
        <v>1049199.68</v>
      </c>
    </row>
    <row r="226" spans="1:8">
      <c r="A226" s="23">
        <v>255022</v>
      </c>
      <c r="B226" s="24" t="s">
        <v>331</v>
      </c>
      <c r="C226" s="38" t="str">
        <f t="shared" si="6"/>
        <v>210</v>
      </c>
      <c r="D226" s="38" t="str">
        <f t="shared" si="7"/>
        <v>21011</v>
      </c>
      <c r="E226" s="38">
        <f>IF(ISNA(VLOOKUP(F226,'2020功能科目'!A:B,2,FALSE)),"",VLOOKUP(F226,'2020功能科目'!A:B,2,FALSE))</f>
        <v>2101102</v>
      </c>
      <c r="F226" s="24" t="s">
        <v>368</v>
      </c>
      <c r="G226" s="25">
        <v>2132507.06</v>
      </c>
      <c r="H226" s="25">
        <v>1704949.48</v>
      </c>
    </row>
    <row r="227" spans="1:8">
      <c r="A227" s="23">
        <v>255022</v>
      </c>
      <c r="B227" s="24" t="s">
        <v>331</v>
      </c>
      <c r="C227" s="38" t="str">
        <f t="shared" si="6"/>
        <v>210</v>
      </c>
      <c r="D227" s="38" t="str">
        <f t="shared" si="7"/>
        <v>21011</v>
      </c>
      <c r="E227" s="38">
        <f>IF(ISNA(VLOOKUP(F227,'2020功能科目'!A:B,2,FALSE)),"",VLOOKUP(F227,'2020功能科目'!A:B,2,FALSE))</f>
        <v>2101199</v>
      </c>
      <c r="F227" s="24" t="s">
        <v>369</v>
      </c>
      <c r="G227" s="25">
        <v>180000</v>
      </c>
      <c r="H227" s="25">
        <v>360000</v>
      </c>
    </row>
    <row r="228" spans="1:8">
      <c r="A228" s="23">
        <v>255022</v>
      </c>
      <c r="B228" s="24" t="s">
        <v>331</v>
      </c>
      <c r="C228" s="38" t="str">
        <f t="shared" si="6"/>
        <v>221</v>
      </c>
      <c r="D228" s="38" t="str">
        <f t="shared" si="7"/>
        <v>22102</v>
      </c>
      <c r="E228" s="38">
        <f>IF(ISNA(VLOOKUP(F228,'2020功能科目'!A:B,2,FALSE)),"",VLOOKUP(F228,'2020功能科目'!A:B,2,FALSE))</f>
        <v>2210201</v>
      </c>
      <c r="F228" s="24" t="s">
        <v>370</v>
      </c>
      <c r="G228" s="25">
        <v>2537027</v>
      </c>
      <c r="H228" s="25">
        <v>2125799.52</v>
      </c>
    </row>
    <row r="229" spans="1:8">
      <c r="A229" s="23">
        <v>255022</v>
      </c>
      <c r="B229" s="24" t="s">
        <v>331</v>
      </c>
      <c r="C229" s="38" t="str">
        <f t="shared" si="6"/>
        <v>221</v>
      </c>
      <c r="D229" s="38" t="str">
        <f t="shared" si="7"/>
        <v>22102</v>
      </c>
      <c r="E229" s="38">
        <f>IF(ISNA(VLOOKUP(F229,'2020功能科目'!A:B,2,FALSE)),"",VLOOKUP(F229,'2020功能科目'!A:B,2,FALSE))</f>
        <v>2210202</v>
      </c>
      <c r="F229" s="24" t="s">
        <v>371</v>
      </c>
      <c r="G229" s="25">
        <v>215560</v>
      </c>
      <c r="H229" s="25">
        <v>217920</v>
      </c>
    </row>
    <row r="230" spans="1:8">
      <c r="A230" s="23">
        <v>255022</v>
      </c>
      <c r="B230" s="24" t="s">
        <v>331</v>
      </c>
      <c r="C230" s="38" t="str">
        <f t="shared" si="6"/>
        <v>221</v>
      </c>
      <c r="D230" s="38" t="str">
        <f t="shared" si="7"/>
        <v>22102</v>
      </c>
      <c r="E230" s="38">
        <f>IF(ISNA(VLOOKUP(F230,'2020功能科目'!A:B,2,FALSE)),"",VLOOKUP(F230,'2020功能科目'!A:B,2,FALSE))</f>
        <v>2210203</v>
      </c>
      <c r="F230" s="24" t="s">
        <v>372</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359</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360</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361</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362</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363</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364</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365</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366</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368</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369</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370</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371</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372</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373</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360</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361</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362</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363</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364</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365</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366</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368</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369</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370</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371</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372</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373</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360</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361</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362</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363</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364</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365</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366</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368</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369</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370</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371</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372</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373</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359</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360</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361</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363</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364</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365</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366</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368</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369</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370</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371</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372</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373</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360</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361</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362</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363</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364</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365</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366</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368</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369</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370</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371</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372</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374</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375</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361</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376</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364</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365</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366</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367</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368</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369</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370</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371</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372</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360</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374</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361</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363</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376</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364</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365</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366</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368</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369</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370</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371</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372</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358</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359</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360</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361</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363</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364</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365</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366</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367</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368</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369</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370</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371</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372</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358</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360</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361</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363</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364</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365</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366</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368</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369</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370</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371</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372</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358</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360</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361</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363</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364</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365</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366</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368</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370</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371</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372</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358</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360</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361</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363</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364</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365</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366</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368</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370</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371</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372</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358</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360</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361</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363</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364</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365</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366</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368</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370</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371</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372</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358</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360</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361</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362</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363</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364</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365</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366</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368</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370</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371</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372</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358</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360</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361</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362</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363</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364</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365</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366</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368</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370</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371</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372</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358</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360</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361</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363</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364</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365</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366</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368</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370</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371</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372</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358</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360</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361</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362</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363</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364</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365</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366</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368</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370</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371</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372</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358</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360</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361</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362</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363</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364</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365</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366</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368</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369</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370</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371</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372</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358</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360</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361</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363</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364</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365</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366</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368</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370</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371</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372</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358</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360</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361</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362</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363</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364</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365</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366</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368</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369</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370</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371</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372</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358</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360</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361</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363</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364</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365</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366</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368</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370</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371</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372</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358</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360</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361</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362</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363</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364</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365</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366</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368</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369</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370</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371</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372</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358</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360</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361</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362</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363</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364</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365</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366</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368</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369</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370</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371</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372</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358</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360</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361</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362</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363</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364</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365</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366</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368</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370</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371</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372</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358</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360</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361</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362</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363</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364</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365</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366</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368</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369</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370</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371</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372</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358</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360</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361</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362</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363</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364</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365</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366</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368</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370</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371</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372</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358</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360</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361</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363</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364</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365</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366</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368</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370</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371</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372</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358</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360</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361</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362</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363</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364</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365</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366</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368</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370</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371</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372</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358</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360</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361</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362</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363</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364</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365</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366</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368</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369</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370</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371</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372</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358</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360</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361</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362</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363</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364</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365</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366</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368</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370</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371</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372</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358</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360</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361</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362</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363</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364</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365</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366</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368</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369</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370</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371</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372</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358</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360</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361</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362</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363</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364</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365</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366</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368</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370</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371</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372</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358</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360</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361</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362</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363</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377</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364</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365</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366</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367</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368</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370</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371</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372</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358</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360</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361</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363</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364</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365</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366</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368</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369</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370</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371</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372</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358</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360</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361</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362</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363</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364</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365</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366</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368</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369</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370</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371</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372</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358</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360</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361</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362</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363</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364</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365</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366</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368</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369</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370</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371</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372</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358</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360</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361</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363</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364</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365</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366</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368</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369</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370</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371</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372</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358</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360</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361</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362</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363</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364</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365</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366</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368</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369</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370</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371</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372</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358</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360</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361</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362</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363</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364</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365</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366</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368</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369</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370</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371</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372</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358</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360</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361</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363</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364</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365</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366</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368</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370</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371</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372</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358</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360</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361</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362</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363</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364</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365</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366</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368</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369</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370</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371</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372</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358</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360</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361</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362</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363</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364</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365</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366</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368</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369</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370</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371</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372</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357</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361</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377</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364</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365</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366</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368</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369</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370</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371</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372</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357</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361</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377</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364</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365</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366</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368</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369</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370</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371</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372</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357</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361</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377</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364</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365</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366</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368</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369</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370</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371</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372</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357</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361</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377</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364</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365</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366</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368</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370</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371</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372</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357</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361</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377</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364</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365</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366</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368</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370</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371</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372</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357</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361</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377</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364</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365</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366</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368</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369</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370</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371</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372</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357</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361</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377</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364</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365</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366</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368</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370</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371</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372</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357</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361</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377</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364</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365</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366</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368</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370</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371</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372</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364</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371</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357</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359</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360</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378</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361</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362</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363</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364</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365</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366</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368</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370</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371</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372</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357</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360</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378</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379</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361</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362</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363</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364</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365</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366</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368</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370</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371</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372</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360</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380</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361</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363</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364</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365</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366</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367</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368</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370</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371</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372</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360</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361</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377</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364</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365</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366</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368</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369</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370</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371</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372</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360</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361</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377</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381</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364</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365</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366</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368</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369</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370</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371</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372</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360</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361</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377</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364</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365</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366</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368</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370</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371</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372</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360</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361</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377</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364</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365</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366</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368</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370</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371</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372</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360</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361</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377</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364</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365</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366</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368</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370</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371</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372</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360</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361</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377</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364</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365</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366</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368</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370</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371</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372</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360</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361</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377</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364</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365</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366</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368</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370</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371</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372</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360</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382</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361</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377</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364</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365</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366</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368</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369</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370</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371</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372</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360</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361</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377</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364</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365</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366</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368</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370</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371</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372</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360</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361</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377</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364</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365</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366</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367</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368</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370</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371</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372</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360</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382</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361</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377</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364</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365</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366</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368</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370</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371</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372</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360</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361</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377</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364</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365</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366</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368</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370</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371</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372</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360</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361</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364</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365</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366</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368</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370</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371</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372</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360</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361</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365</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366</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368</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370</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371</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372</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360</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361</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377</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364</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365</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366</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368</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370</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371</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372</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360</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377</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364</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365</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366</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368</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370</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371</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372</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357</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361</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377</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364</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365</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366</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368</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370</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371</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372</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358</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360</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361</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362</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363</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364</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365</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366</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368</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370</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371</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372</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360</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361</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364</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365</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366</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368</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370</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371</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372</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359</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360</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361</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362</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363</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364</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365</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366</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368</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369</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370</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371</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372</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359</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360</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361</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362</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363</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364</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365</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366</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368</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369</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370</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371</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372</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359</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360</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361</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363</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364</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365</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366</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368</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369</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370</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371</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372</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359</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361</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362</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363</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364</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365</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366</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368</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369</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370</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371</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372</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359</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360</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361</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362</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363</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364</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365</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366</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368</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369</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370</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371</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372</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360</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374</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375</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361</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376</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364</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365</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366</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368</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369</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383</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370</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371</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372</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359</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361</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364</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365</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366</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368</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369</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370</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371</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372</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359</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360</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361</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362</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363</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364</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365</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366</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368</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369</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370</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371</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372</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359</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360</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361</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363</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364</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365</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366</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368</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369</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370</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371</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372</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359</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360</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361</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362</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363</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364</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365</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366</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368</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369</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370</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371</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372</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358</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360</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361</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362</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363</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364</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365</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366</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368</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369</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370</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371</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372</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358</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360</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361</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362</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363</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364</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365</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366</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368</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369</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370</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371</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372</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358</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360</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361</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362</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363</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364</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365</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366</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368</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370</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371</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372</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358</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360</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361</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362</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363</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364</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365</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366</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368</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369</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370</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371</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372</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358</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360</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361</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362</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363</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364</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365</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366</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367</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368</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369</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370</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371</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372</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358</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360</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361</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362</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363</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364</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365</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366</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368</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370</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371</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372</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358</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360</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361</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363</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364</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365</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366</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368</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370</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371</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372</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358</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360</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361</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362</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363</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364</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365</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366</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368</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370</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371</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372</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358</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360</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361</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363</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364</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365</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366</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368</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369</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370</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371</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372</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358</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360</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361</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362</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363</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364</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365</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366</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368</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369</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370</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371</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372</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358</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361</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363</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364</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365</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366</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368</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369</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370</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371</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372</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358</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360</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361</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362</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363</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364</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365</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366</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367</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368</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370</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371</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372</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358</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360</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361</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362</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363</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364</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365</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366</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368</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369</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370</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371</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372</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358</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360</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361</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362</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363</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364</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365</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366</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368</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370</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371</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372</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358</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360</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361</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362</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363</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364</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365</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366</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368</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369</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370</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371</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372</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358</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360</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361</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362</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363</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364</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365</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366</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368</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370</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371</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372</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358</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361</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362</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363</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364</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365</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366</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368</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369</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370</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371</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372</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358</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360</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361</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362</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363</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364</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365</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366</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368</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370</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371</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372</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358</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361</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362</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363</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364</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365</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366</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368</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370</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371</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372</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358</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360</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361</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363</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364</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365</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366</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368</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370</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371</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372</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358</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360</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361</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362</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363</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364</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365</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366</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368</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370</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371</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372</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358</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360</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361</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362</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363</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364</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365</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366</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368</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370</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371</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372</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357</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361</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377</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364</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365</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366</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368</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370</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371</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372</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357</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361</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377</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364</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365</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366</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368</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369</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370</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371</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372</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357</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361</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377</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364</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365</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366</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368</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369</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370</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371</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372</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357</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361</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364</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365</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366</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368</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370</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371</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372</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357</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361</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377</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364</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365</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366</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368</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370</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371</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372</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357</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361</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377</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364</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365</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366</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368</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370</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371</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372</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357</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361</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377</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364</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365</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366</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368</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370</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371</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372</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357</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361</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364</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365</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366</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368</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370</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371</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372</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357</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361</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377</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364</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365</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366</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368</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370</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371</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372</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357</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361</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377</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364</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365</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366</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368</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369</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370</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371</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372</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357</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361</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377</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364</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365</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366</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368</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370</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371</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372</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357</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361</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377</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364</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365</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366</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368</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370</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371</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372</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357</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361</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377</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364</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365</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366</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368</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370</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371</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372</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384</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361</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377</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364</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365</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366</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368</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369</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370</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371</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372</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385</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361</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377</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364</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365</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366</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368</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370</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371</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372</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360</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382</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361</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377</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364</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365</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366</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368</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369</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370</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371</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372</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360</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361</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377</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364</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365</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366</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368</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369</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370</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371</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372</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360</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361</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377</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381</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364</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365</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366</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368</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370</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371</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372</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360</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361</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377</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364</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365</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366</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368</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370</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371</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372</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360</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361</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364</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365</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366</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367</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368</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370</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371</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372</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357</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358</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373</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359</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360</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361</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362</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377</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364</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365</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366</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367</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368</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369</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386</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370</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371</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372</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360</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374</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375</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361</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376</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364</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365</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366</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368</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369</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370</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371</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372</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359</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360</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361</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362</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363</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364</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365</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366</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368</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369</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370</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371</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372</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359</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360</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361</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362</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363</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364</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365</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366</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368</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370</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371</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372</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360</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361</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377</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364</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365</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366</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368</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370</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371</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372</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357</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361</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377</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365</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366</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368</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370</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371</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372</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357</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361</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377</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365</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366</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368</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370</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371</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372</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358</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360</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361</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362</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363</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365</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366</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368</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370</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371</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372</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357</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361</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377</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364</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365</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366</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368</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370</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371</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372</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357</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361</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377</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365</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366</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368</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370</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371</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372</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357</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361</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377</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365</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366</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368</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370</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371</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372</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357</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361</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377</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365</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366</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368</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370</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371</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372</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357</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361</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377</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365</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366</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368</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370</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371</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372</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360</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361</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365</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366</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368</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370</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371</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372</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360</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365</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366</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368</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370</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360</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361</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377</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365</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366</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368</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370</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371</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372</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358</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361</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363</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365</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366</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368</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370</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371</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372</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357</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358</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373</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359</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360</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374</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375</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384</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385</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378</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380</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379</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382</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361</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362</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363</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376</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377</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381</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364</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365</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366</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367</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368</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369</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386</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383</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370</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371</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372</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430</v>
      </c>
      <c r="B1" s="51" t="s">
        <v>431</v>
      </c>
    </row>
    <row r="2" spans="1:2">
      <c r="A2" s="53" t="s">
        <v>432</v>
      </c>
      <c r="B2" s="51">
        <v>2050101</v>
      </c>
    </row>
    <row r="3" spans="1:2">
      <c r="A3" s="53" t="s">
        <v>433</v>
      </c>
      <c r="B3" s="51">
        <v>2050102</v>
      </c>
    </row>
    <row r="4" spans="1:2">
      <c r="A4" s="53" t="s">
        <v>357</v>
      </c>
      <c r="B4" s="51">
        <v>2050201</v>
      </c>
    </row>
    <row r="5" spans="1:2">
      <c r="A5" s="53" t="s">
        <v>358</v>
      </c>
      <c r="B5" s="51">
        <v>2050202</v>
      </c>
    </row>
    <row r="6" spans="1:2">
      <c r="A6" s="53" t="s">
        <v>373</v>
      </c>
      <c r="B6" s="51">
        <v>2050203</v>
      </c>
    </row>
    <row r="7" spans="1:2">
      <c r="A7" s="53" t="s">
        <v>359</v>
      </c>
      <c r="B7" s="51">
        <v>2050204</v>
      </c>
    </row>
    <row r="8" spans="1:2">
      <c r="A8" s="53" t="s">
        <v>360</v>
      </c>
      <c r="B8" s="51">
        <v>2050299</v>
      </c>
    </row>
    <row r="9" spans="1:2">
      <c r="A9" s="53" t="s">
        <v>374</v>
      </c>
      <c r="B9" s="51">
        <v>2050302</v>
      </c>
    </row>
    <row r="10" spans="1:2">
      <c r="A10" s="53" t="s">
        <v>434</v>
      </c>
      <c r="B10" s="51">
        <v>2050304</v>
      </c>
    </row>
    <row r="11" spans="1:2">
      <c r="A11" s="53" t="s">
        <v>375</v>
      </c>
      <c r="B11" s="51">
        <v>2050399</v>
      </c>
    </row>
    <row r="12" spans="1:2">
      <c r="A12" s="53" t="s">
        <v>384</v>
      </c>
      <c r="B12" s="51">
        <v>2050403</v>
      </c>
    </row>
    <row r="13" spans="1:2">
      <c r="A13" s="53" t="s">
        <v>385</v>
      </c>
      <c r="B13" s="51">
        <v>2050404</v>
      </c>
    </row>
    <row r="14" spans="1:2">
      <c r="A14" s="53" t="s">
        <v>378</v>
      </c>
      <c r="B14" s="51">
        <v>2050701</v>
      </c>
    </row>
    <row r="15" spans="1:2">
      <c r="A15" s="53" t="s">
        <v>380</v>
      </c>
      <c r="B15" s="51">
        <v>2050702</v>
      </c>
    </row>
    <row r="16" spans="1:2">
      <c r="A16" s="53" t="s">
        <v>379</v>
      </c>
      <c r="B16" s="51">
        <v>2050799</v>
      </c>
    </row>
    <row r="17" spans="1:2">
      <c r="A17" s="53" t="s">
        <v>382</v>
      </c>
      <c r="B17" s="51">
        <v>2050801</v>
      </c>
    </row>
    <row r="18" spans="1:2">
      <c r="A18" s="53" t="s">
        <v>361</v>
      </c>
      <c r="B18" s="51">
        <v>2050803</v>
      </c>
    </row>
    <row r="19" spans="1:2">
      <c r="A19" s="53" t="s">
        <v>362</v>
      </c>
      <c r="B19" s="51">
        <v>2050903</v>
      </c>
    </row>
    <row r="20" spans="1:2">
      <c r="A20" s="53" t="s">
        <v>363</v>
      </c>
      <c r="B20" s="51">
        <v>2050904</v>
      </c>
    </row>
    <row r="21" spans="1:2">
      <c r="A21" s="53" t="s">
        <v>376</v>
      </c>
      <c r="B21" s="51">
        <v>2050905</v>
      </c>
    </row>
    <row r="22" spans="1:2">
      <c r="A22" s="53" t="s">
        <v>377</v>
      </c>
      <c r="B22" s="51">
        <v>2050999</v>
      </c>
    </row>
    <row r="23" spans="1:2">
      <c r="A23" s="53" t="s">
        <v>381</v>
      </c>
      <c r="B23" s="51">
        <v>2060702</v>
      </c>
    </row>
    <row r="24" spans="1:2">
      <c r="A24" s="53" t="s">
        <v>435</v>
      </c>
      <c r="B24" s="51">
        <v>2080501</v>
      </c>
    </row>
    <row r="25" spans="1:2">
      <c r="A25" s="53" t="s">
        <v>364</v>
      </c>
      <c r="B25" s="51">
        <v>2080502</v>
      </c>
    </row>
    <row r="26" spans="1:2">
      <c r="A26" s="53" t="s">
        <v>365</v>
      </c>
      <c r="B26" s="51">
        <v>2080505</v>
      </c>
    </row>
    <row r="27" spans="1:2">
      <c r="A27" s="53" t="s">
        <v>366</v>
      </c>
      <c r="B27" s="51">
        <v>2080506</v>
      </c>
    </row>
    <row r="28" spans="1:2">
      <c r="A28" s="53" t="s">
        <v>367</v>
      </c>
      <c r="B28" s="51">
        <v>2080801</v>
      </c>
    </row>
    <row r="29" spans="1:2">
      <c r="A29" s="53" t="s">
        <v>436</v>
      </c>
      <c r="B29" s="51">
        <v>2101101</v>
      </c>
    </row>
    <row r="30" spans="1:2">
      <c r="A30" s="53" t="s">
        <v>368</v>
      </c>
      <c r="B30" s="51">
        <v>2101102</v>
      </c>
    </row>
    <row r="31" spans="1:2">
      <c r="A31" s="53" t="s">
        <v>369</v>
      </c>
      <c r="B31" s="51">
        <v>2101199</v>
      </c>
    </row>
    <row r="32" spans="1:2">
      <c r="A32" s="53" t="s">
        <v>386</v>
      </c>
      <c r="B32" s="51">
        <v>2120399</v>
      </c>
    </row>
    <row r="33" spans="1:2">
      <c r="A33" s="53" t="s">
        <v>370</v>
      </c>
      <c r="B33" s="51">
        <v>2210201</v>
      </c>
    </row>
    <row r="34" spans="1:2">
      <c r="A34" s="53" t="s">
        <v>371</v>
      </c>
      <c r="B34" s="51">
        <v>2210202</v>
      </c>
    </row>
    <row r="35" spans="1:2">
      <c r="A35" s="53" t="s">
        <v>372</v>
      </c>
      <c r="B35" s="51">
        <v>2210203</v>
      </c>
    </row>
    <row r="36" spans="1:2">
      <c r="A36" s="53" t="s">
        <v>437</v>
      </c>
      <c r="B36" s="51">
        <v>2296003</v>
      </c>
    </row>
    <row r="37" spans="1:2">
      <c r="A37" s="53" t="s">
        <v>438</v>
      </c>
      <c r="B37" s="51">
        <v>2340201</v>
      </c>
    </row>
    <row r="38" spans="1:2">
      <c r="A38" s="53" t="s">
        <v>383</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442</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zoomScaleNormal="100" workbookViewId="0">
      <selection activeCell="A27" sqref="A27:C27"/>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66" customHeight="1">
      <c r="A4" s="65" t="s">
        <v>445</v>
      </c>
      <c r="B4" s="65"/>
      <c r="C4" s="65"/>
      <c r="D4" s="65"/>
      <c r="E4" s="65"/>
      <c r="F4" s="65"/>
      <c r="G4" s="65"/>
      <c r="H4" s="65"/>
      <c r="I4" s="65"/>
      <c r="J4" s="65"/>
      <c r="K4" s="65"/>
      <c r="L4" s="65"/>
      <c r="M4" s="65"/>
      <c r="N4" s="18"/>
    </row>
    <row r="5" spans="1:14" ht="18" customHeight="1">
      <c r="A5" s="7" t="s">
        <v>183</v>
      </c>
    </row>
    <row r="6" spans="1:14" ht="18" customHeight="1">
      <c r="A6" s="61" t="s">
        <v>273</v>
      </c>
      <c r="B6" s="61"/>
      <c r="C6" s="10">
        <v>168</v>
      </c>
      <c r="D6" s="10" t="s">
        <v>275</v>
      </c>
      <c r="E6" s="8">
        <f>_xlfn.IFNA(VLOOKUP(封面!B1,'2020决算导出'!A:C,3,FALSE),"")</f>
        <v>154</v>
      </c>
      <c r="F6" s="10" t="s">
        <v>276</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73169216.890000001</v>
      </c>
      <c r="E8" s="7" t="s">
        <v>187</v>
      </c>
      <c r="F8" s="19" t="s">
        <v>277</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929182.81000000238</v>
      </c>
      <c r="I8" s="15" t="s">
        <v>187</v>
      </c>
      <c r="J8" s="29" t="str">
        <f>IF(ISNA(VLOOKUP(封面!B1,'2019决算导出'!A:C,3,FALSE)),"",IF(D8-VLOOKUP(封面!B1,'2019决算导出'!A:C,3,FALSE)&gt;0,"增长","下降"))</f>
        <v>下降</v>
      </c>
      <c r="K8" s="30">
        <f>IF(ISNA(VLOOKUP(封面!B1,'2019决算导出'!A:C,3,FALSE)),"",H8/VLOOKUP(封面!B1,'2019决算导出'!A:C,3,FALSE))</f>
        <v>1.2539849899079566E-2</v>
      </c>
      <c r="L8" s="7" t="s">
        <v>341</v>
      </c>
    </row>
    <row r="9" spans="1:14" ht="18" customHeight="1">
      <c r="A9" s="7" t="s">
        <v>188</v>
      </c>
      <c r="G9" s="31"/>
      <c r="H9" s="31"/>
      <c r="I9" s="31"/>
      <c r="J9" s="31"/>
      <c r="K9" s="31"/>
    </row>
    <row r="10" spans="1:14" ht="18" customHeight="1">
      <c r="A10" s="61" t="s">
        <v>189</v>
      </c>
      <c r="B10" s="61"/>
      <c r="C10" s="61"/>
      <c r="D10" s="13">
        <f>_xlfn.IFNA(VLOOKUP(封面!B1,'2020决算导出'!A:E,5,FALSE),"")</f>
        <v>72682389.269999996</v>
      </c>
      <c r="E10" s="7" t="s">
        <v>187</v>
      </c>
      <c r="F10" s="19" t="s">
        <v>277</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1253868.3400000036</v>
      </c>
      <c r="I10" s="15" t="s">
        <v>187</v>
      </c>
      <c r="J10" s="29" t="str">
        <f>IF(ISNA(VLOOKUP(封面!B1,'2019决算导出'!A:D,4,FALSE)),"",IF(D10-VLOOKUP(封面!B1,'2019决算导出'!A:D,4,FALSE)&gt;0,"增长","下降"))</f>
        <v>下降</v>
      </c>
      <c r="K10" s="30">
        <f>IF(ISNA(VLOOKUP(封面!B1,'2019决算导出'!A:D,4,FALSE)),"",H10/VLOOKUP(封面!B1,'2019决算导出'!A:D,4,FALSE))</f>
        <v>1.6958774768043111E-2</v>
      </c>
      <c r="L10" s="7" t="s">
        <v>342</v>
      </c>
    </row>
    <row r="11" spans="1:14" ht="18" customHeight="1">
      <c r="A11" s="61" t="s">
        <v>190</v>
      </c>
      <c r="B11" s="61"/>
      <c r="C11" s="61"/>
      <c r="D11" s="13">
        <f>_xlfn.IFNA(VLOOKUP(封面!B1,'2020决算导出'!A:F,6,FALSE),"")</f>
        <v>72522089.269999996</v>
      </c>
      <c r="E11" s="7" t="s">
        <v>187</v>
      </c>
      <c r="F11" s="61" t="s">
        <v>191</v>
      </c>
      <c r="G11" s="61"/>
      <c r="H11" s="28">
        <f>D11/$D$10</f>
        <v>0.99779451388967799</v>
      </c>
      <c r="I11" s="7" t="s">
        <v>343</v>
      </c>
    </row>
    <row r="12" spans="1:14" ht="18" customHeight="1">
      <c r="A12" s="61" t="s">
        <v>192</v>
      </c>
      <c r="B12" s="61"/>
      <c r="C12" s="61"/>
      <c r="D12" s="13">
        <f>_xlfn.IFNA(VLOOKUP(封面!B1,'2020决算导出'!A:G,7,FALSE),"")</f>
        <v>160300</v>
      </c>
      <c r="E12" s="7" t="s">
        <v>187</v>
      </c>
      <c r="F12" s="61" t="s">
        <v>191</v>
      </c>
      <c r="G12" s="61"/>
      <c r="H12" s="28">
        <f t="shared" ref="H12:H15" si="0">D12/$D$10</f>
        <v>2.2054861103219759E-3</v>
      </c>
      <c r="I12" s="7" t="s">
        <v>343</v>
      </c>
    </row>
    <row r="13" spans="1:14" ht="18" customHeight="1">
      <c r="A13" s="61" t="s">
        <v>193</v>
      </c>
      <c r="B13" s="61"/>
      <c r="C13" s="61"/>
      <c r="D13" s="13">
        <f>_xlfn.IFNA(VLOOKUP(封面!B1,'2020决算导出'!A:H,8,FALSE),"")</f>
        <v>0</v>
      </c>
      <c r="E13" s="7" t="s">
        <v>187</v>
      </c>
      <c r="F13" s="61" t="s">
        <v>191</v>
      </c>
      <c r="G13" s="61"/>
      <c r="H13" s="28">
        <f t="shared" si="0"/>
        <v>0</v>
      </c>
      <c r="I13" s="7" t="s">
        <v>343</v>
      </c>
    </row>
    <row r="14" spans="1:14" ht="18" customHeight="1">
      <c r="A14" s="61" t="s">
        <v>194</v>
      </c>
      <c r="B14" s="61"/>
      <c r="C14" s="61"/>
      <c r="D14" s="13">
        <f>_xlfn.IFNA(VLOOKUP(封面!B1,'2020决算导出'!A:I,9,FALSE),"")</f>
        <v>0</v>
      </c>
      <c r="E14" s="7" t="s">
        <v>187</v>
      </c>
      <c r="F14" s="61" t="s">
        <v>191</v>
      </c>
      <c r="G14" s="61"/>
      <c r="H14" s="28">
        <f t="shared" si="0"/>
        <v>0</v>
      </c>
      <c r="I14" s="7" t="s">
        <v>343</v>
      </c>
    </row>
    <row r="15" spans="1:14" ht="18" customHeight="1">
      <c r="A15" s="61" t="s">
        <v>195</v>
      </c>
      <c r="B15" s="61"/>
      <c r="C15" s="61"/>
      <c r="D15" s="13">
        <f>_xlfn.IFNA(VLOOKUP(封面!B1,'2020决算导出'!A:J,10,FALSE),"")</f>
        <v>0</v>
      </c>
      <c r="E15" s="7" t="s">
        <v>187</v>
      </c>
      <c r="F15" s="61" t="s">
        <v>191</v>
      </c>
      <c r="G15" s="61"/>
      <c r="H15" s="28">
        <f t="shared" si="0"/>
        <v>0</v>
      </c>
      <c r="I15" s="7" t="s">
        <v>344</v>
      </c>
    </row>
    <row r="16" spans="1:14" ht="18" customHeight="1">
      <c r="A16" s="7" t="s">
        <v>196</v>
      </c>
    </row>
    <row r="17" spans="1:13" ht="18" customHeight="1">
      <c r="A17" s="61" t="s">
        <v>197</v>
      </c>
      <c r="B17" s="61"/>
      <c r="C17" s="61"/>
      <c r="D17" s="13">
        <f>_xlfn.IFNA(VLOOKUP(封面!B1,'2020决算导出'!A:K,11,FALSE),"")</f>
        <v>73169216.890000001</v>
      </c>
      <c r="E17" s="7" t="s">
        <v>187</v>
      </c>
      <c r="F17" s="19" t="s">
        <v>277</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424293.37999999523</v>
      </c>
      <c r="I17" s="7" t="s">
        <v>187</v>
      </c>
      <c r="J17" s="29" t="str">
        <f>IF(ISNA(VLOOKUP(封面!B1,'2019决算导出'!A:E,5,FALSE)),"",IF(D17-VLOOKUP(封面!B1,'2019决算导出'!A:E,5,FALSE)&gt;0,"增长","下降"))</f>
        <v>下降</v>
      </c>
      <c r="K17" s="30">
        <f>IF(ISNA(VLOOKUP(封面!B1,'2019决算导出'!A:E,5,FALSE)),"",H17/VLOOKUP(封面!B1,'2019决算导出'!A:E,5,FALSE))</f>
        <v>5.7653640714153591E-3</v>
      </c>
      <c r="L17" s="7" t="s">
        <v>345</v>
      </c>
    </row>
    <row r="18" spans="1:13" ht="18" customHeight="1">
      <c r="A18" s="61" t="s">
        <v>198</v>
      </c>
      <c r="B18" s="61"/>
      <c r="C18" s="61"/>
      <c r="D18" s="13">
        <f>_xlfn.IFNA(VLOOKUP(封面!B1,'2020决算导出'!A:L,12,FALSE),"")</f>
        <v>68815762.489999995</v>
      </c>
      <c r="E18" s="7" t="s">
        <v>187</v>
      </c>
      <c r="F18" s="61" t="s">
        <v>199</v>
      </c>
      <c r="G18" s="61"/>
      <c r="H18" s="28">
        <f>D18/$D$17</f>
        <v>0.94050155809997482</v>
      </c>
      <c r="I18" s="7" t="s">
        <v>343</v>
      </c>
    </row>
    <row r="19" spans="1:13" ht="18" customHeight="1">
      <c r="A19" s="61" t="s">
        <v>200</v>
      </c>
      <c r="B19" s="61"/>
      <c r="C19" s="61"/>
      <c r="D19" s="13">
        <f>_xlfn.IFNA(VLOOKUP(封面!B1,'2020决算导出'!A:M,13,FALSE),"")</f>
        <v>4353454.4000000004</v>
      </c>
      <c r="E19" s="7" t="s">
        <v>187</v>
      </c>
      <c r="F19" s="61" t="s">
        <v>199</v>
      </c>
      <c r="G19" s="61"/>
      <c r="H19" s="28">
        <f t="shared" ref="H19:H20" si="1">D19/$D$17</f>
        <v>5.9498441900025102E-2</v>
      </c>
      <c r="I19" s="7" t="s">
        <v>343</v>
      </c>
    </row>
    <row r="20" spans="1:13" ht="18" customHeight="1">
      <c r="A20" s="61" t="s">
        <v>201</v>
      </c>
      <c r="B20" s="61"/>
      <c r="C20" s="61"/>
      <c r="D20" s="13">
        <f>_xlfn.IFNA(VLOOKUP(封面!B1,'2020决算导出'!A:N,14,FALSE),"")</f>
        <v>0</v>
      </c>
      <c r="E20" s="7" t="s">
        <v>187</v>
      </c>
      <c r="F20" s="61" t="s">
        <v>199</v>
      </c>
      <c r="G20" s="61"/>
      <c r="H20" s="28">
        <f t="shared" si="1"/>
        <v>0</v>
      </c>
      <c r="I20" s="7" t="s">
        <v>344</v>
      </c>
    </row>
    <row r="21" spans="1:13" ht="18" customHeight="1">
      <c r="A21" s="6" t="s">
        <v>202</v>
      </c>
    </row>
    <row r="22" spans="1:13" ht="18" customHeight="1">
      <c r="A22" s="61" t="s">
        <v>203</v>
      </c>
      <c r="B22" s="61"/>
      <c r="C22" s="61"/>
      <c r="D22" s="61"/>
      <c r="E22" s="63">
        <f>_xlfn.IFNA(VLOOKUP(封面!B1,'2020决算导出'!A:O,15,FALSE),"")</f>
        <v>73008916.890000001</v>
      </c>
      <c r="F22" s="63"/>
      <c r="G22" s="14" t="s">
        <v>277</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769082.70000000298</v>
      </c>
      <c r="J22" s="7" t="s">
        <v>187</v>
      </c>
      <c r="K22" s="29" t="str">
        <f>IF(ISNA(VLOOKUP(封面!B1,'2019决算导出'!A:F,6,FALSE)),"",IF(E22-VLOOKUP(封面!B1,'2019决算导出'!A:F,6,FALSE)&gt;0,"增长","下降"))</f>
        <v>下降</v>
      </c>
      <c r="L22" s="30">
        <f>IF(ISNA(VLOOKUP(封面!B1,'2019决算导出'!A:F,6,FALSE)),"",I22/VLOOKUP(封面!B1,'2019决算导出'!A:F,6,FALSE))</f>
        <v>1.0424282364308583E-2</v>
      </c>
      <c r="M22" s="7" t="s">
        <v>341</v>
      </c>
    </row>
    <row r="23" spans="1:13" ht="17.399999999999999">
      <c r="B23" s="62" t="s">
        <v>447</v>
      </c>
      <c r="C23" s="62"/>
      <c r="D23" s="62"/>
      <c r="E23" s="62"/>
      <c r="F23" s="62"/>
      <c r="G23" s="62"/>
      <c r="H23" s="62"/>
      <c r="I23" s="62"/>
      <c r="J23" s="62"/>
      <c r="K23" s="62"/>
      <c r="L23" s="62"/>
      <c r="M23" s="62"/>
    </row>
    <row r="24" spans="1:13" ht="18" customHeight="1">
      <c r="A24" s="6" t="s">
        <v>204</v>
      </c>
    </row>
    <row r="25" spans="1:13" ht="18" customHeight="1">
      <c r="A25" s="7" t="s">
        <v>205</v>
      </c>
    </row>
    <row r="26" spans="1:13" ht="18" customHeight="1">
      <c r="A26" s="61" t="s">
        <v>206</v>
      </c>
      <c r="B26" s="61"/>
      <c r="C26" s="61"/>
      <c r="D26" s="61"/>
      <c r="E26" s="61"/>
      <c r="F26" s="63">
        <f>_xlfn.IFNA(VLOOKUP(封面!B1,'2020决算导出'!A:P,16,FALSE),"")</f>
        <v>73008916.890000001</v>
      </c>
      <c r="G26" s="63"/>
      <c r="H26" s="7" t="s">
        <v>187</v>
      </c>
      <c r="I26" s="10" t="s">
        <v>207</v>
      </c>
      <c r="J26" s="10"/>
      <c r="K26" s="10"/>
      <c r="L26" s="10"/>
      <c r="M26" s="10"/>
    </row>
    <row r="27" spans="1:13" ht="18" customHeight="1">
      <c r="A27" s="61" t="s">
        <v>210</v>
      </c>
      <c r="B27" s="61"/>
      <c r="C27" s="61"/>
      <c r="D27" s="63">
        <f>_xlfn.IFNA(VLOOKUP(封面!B1,'2020决算导出'!A:Q,17,FALSE),"")</f>
        <v>48292199.310000002</v>
      </c>
      <c r="E27" s="63"/>
      <c r="F27" s="7" t="s">
        <v>187</v>
      </c>
      <c r="G27" s="64" t="s">
        <v>209</v>
      </c>
      <c r="H27" s="64"/>
      <c r="I27" s="28">
        <f>D27/$F$26</f>
        <v>0.66145618052052713</v>
      </c>
      <c r="J27" s="7" t="s">
        <v>343</v>
      </c>
      <c r="K27" s="9"/>
      <c r="L27" s="9"/>
      <c r="M27" s="9"/>
    </row>
    <row r="28" spans="1:13" ht="18" customHeight="1">
      <c r="A28" s="61" t="s">
        <v>208</v>
      </c>
      <c r="B28" s="61"/>
      <c r="C28" s="61"/>
      <c r="D28" s="63">
        <f>_xlfn.IFNA(VLOOKUP(封面!B1,'2020决算导出'!A:S,19,FALSE),"")</f>
        <v>11760406.9</v>
      </c>
      <c r="E28" s="63"/>
      <c r="F28" s="7" t="s">
        <v>187</v>
      </c>
      <c r="G28" s="64" t="s">
        <v>209</v>
      </c>
      <c r="H28" s="64"/>
      <c r="I28" s="28">
        <f t="shared" ref="I28:I30" si="2">D28/$F$26</f>
        <v>0.16108178837550757</v>
      </c>
      <c r="J28" s="7" t="s">
        <v>343</v>
      </c>
    </row>
    <row r="29" spans="1:13" ht="18" customHeight="1">
      <c r="A29" s="61" t="s">
        <v>211</v>
      </c>
      <c r="B29" s="61"/>
      <c r="C29" s="61"/>
      <c r="D29" s="63">
        <f>_xlfn.IFNA(VLOOKUP(封面!B1,'2020决算导出'!A:T,20,FALSE),"")</f>
        <v>3838890.68</v>
      </c>
      <c r="E29" s="63"/>
      <c r="F29" s="7" t="s">
        <v>187</v>
      </c>
      <c r="G29" s="64" t="s">
        <v>209</v>
      </c>
      <c r="H29" s="64"/>
      <c r="I29" s="28">
        <f t="shared" si="2"/>
        <v>5.2581120820952919E-2</v>
      </c>
      <c r="J29" s="7" t="s">
        <v>343</v>
      </c>
    </row>
    <row r="30" spans="1:13" ht="18" customHeight="1">
      <c r="A30" s="61" t="s">
        <v>212</v>
      </c>
      <c r="B30" s="61"/>
      <c r="C30" s="61"/>
      <c r="D30" s="63">
        <f>_xlfn.IFNA(VLOOKUP(封面!B1,'2020决算导出'!A:W,23,FALSE),"")</f>
        <v>9117420</v>
      </c>
      <c r="E30" s="63"/>
      <c r="F30" s="7" t="s">
        <v>187</v>
      </c>
      <c r="G30" s="64" t="s">
        <v>209</v>
      </c>
      <c r="H30" s="64"/>
      <c r="I30" s="28">
        <f t="shared" si="2"/>
        <v>0.12488091028301242</v>
      </c>
      <c r="J30" s="7" t="s">
        <v>344</v>
      </c>
    </row>
    <row r="31" spans="1:13" ht="18" customHeight="1">
      <c r="A31" s="7" t="s">
        <v>213</v>
      </c>
    </row>
    <row r="32" spans="1:13" ht="18" customHeight="1">
      <c r="A32" s="66" t="s">
        <v>444</v>
      </c>
      <c r="B32" s="66"/>
      <c r="C32" s="66"/>
      <c r="D32" s="66"/>
      <c r="E32" s="63">
        <f>_xlfn.IFNA(VLOOKUP(封面!B1,一般公共预算财政拨款支出决算具体情况!A:C,3,FALSE),"")</f>
        <v>48292199.310000002</v>
      </c>
      <c r="F32" s="63"/>
      <c r="G32" s="7" t="s">
        <v>187</v>
      </c>
      <c r="H32" s="64" t="s">
        <v>214</v>
      </c>
      <c r="I32" s="64"/>
      <c r="J32" s="63">
        <f>_xlfn.IFNA(VLOOKUP(封面!B1,一般公共预算财政拨款支出决算具体情况!A:D,4,FALSE),"")</f>
        <v>40974346.890000001</v>
      </c>
      <c r="K32" s="63"/>
      <c r="L32" s="11" t="s">
        <v>186</v>
      </c>
    </row>
    <row r="33" spans="1:12" ht="18" customHeight="1">
      <c r="B33" s="14" t="str">
        <f>IF(E32&gt;J32,"增加","减少")</f>
        <v>增加</v>
      </c>
      <c r="C33" s="63">
        <f>ABS(E32-J32)</f>
        <v>7317852.4200000018</v>
      </c>
      <c r="D33" s="63"/>
      <c r="E33" s="7" t="s">
        <v>187</v>
      </c>
      <c r="F33" s="14" t="str">
        <f>IF(E32&gt;J32,"增长","下降")</f>
        <v>增长</v>
      </c>
      <c r="G33" s="33">
        <f>C33/J32</f>
        <v>0.17859595028190581</v>
      </c>
      <c r="H33" s="7" t="s">
        <v>344</v>
      </c>
      <c r="I33" s="11" t="s">
        <v>215</v>
      </c>
    </row>
    <row r="34" spans="1:12" ht="18" customHeight="1">
      <c r="A34" s="61" t="s">
        <v>216</v>
      </c>
      <c r="B34" s="61"/>
      <c r="C34" s="61"/>
      <c r="D34" s="61"/>
      <c r="E34" s="63">
        <f>_xlfn.IFNA(VLOOKUP(封面!B1,一般公共预算财政拨款支出决算具体情况!A:E,5,FALSE),"")</f>
        <v>46317207.310000002</v>
      </c>
      <c r="F34" s="63"/>
      <c r="G34" s="7" t="s">
        <v>187</v>
      </c>
      <c r="H34" s="64" t="s">
        <v>214</v>
      </c>
      <c r="I34" s="64"/>
      <c r="J34" s="63">
        <f>_xlfn.IFNA(VLOOKUP(封面!B1,一般公共预算财政拨款支出决算具体情况!A:F,6,FALSE),"")</f>
        <v>38906044.890000001</v>
      </c>
      <c r="K34" s="63"/>
      <c r="L34" s="11" t="s">
        <v>186</v>
      </c>
    </row>
    <row r="35" spans="1:12" ht="18" customHeight="1">
      <c r="A35" s="14"/>
      <c r="B35" s="14" t="str">
        <f>IF(E34&gt;J34,"增加","减少")</f>
        <v>增加</v>
      </c>
      <c r="C35" s="63">
        <f>ABS(E34-J34)</f>
        <v>7411162.4200000018</v>
      </c>
      <c r="D35" s="63"/>
      <c r="E35" s="7" t="s">
        <v>187</v>
      </c>
      <c r="F35" s="14" t="str">
        <f>IF(E34&gt;J34,"增长","下降")</f>
        <v>增长</v>
      </c>
      <c r="G35" s="33">
        <f>C35/J34</f>
        <v>0.19048871302528336</v>
      </c>
      <c r="H35" s="7" t="s">
        <v>344</v>
      </c>
    </row>
    <row r="36" spans="1:12" ht="17.399999999999999">
      <c r="B36" s="65" t="s">
        <v>451</v>
      </c>
      <c r="C36" s="65"/>
      <c r="D36" s="65"/>
      <c r="E36" s="65"/>
      <c r="F36" s="65"/>
      <c r="G36" s="65"/>
      <c r="H36" s="65"/>
      <c r="I36" s="65"/>
      <c r="J36" s="65"/>
      <c r="K36" s="65"/>
      <c r="L36" s="65"/>
    </row>
    <row r="37" spans="1:12" ht="18" customHeight="1">
      <c r="A37" s="61" t="s">
        <v>217</v>
      </c>
      <c r="B37" s="61"/>
      <c r="C37" s="61"/>
      <c r="D37" s="61"/>
      <c r="E37" s="63">
        <f>_xlfn.IFNA(VLOOKUP(封面!B1,一般公共预算财政拨款支出决算具体情况!A:M,13,FALSE),"")</f>
        <v>33200</v>
      </c>
      <c r="F37" s="63"/>
      <c r="G37" s="7" t="s">
        <v>187</v>
      </c>
      <c r="H37" s="64" t="s">
        <v>214</v>
      </c>
      <c r="I37" s="64"/>
      <c r="J37" s="63">
        <f>_xlfn.IFNA(VLOOKUP(封面!B1,一般公共预算财政拨款支出决算具体情况!A:N,14,FALSE),"")</f>
        <v>126400</v>
      </c>
      <c r="K37" s="63"/>
      <c r="L37" s="11" t="s">
        <v>186</v>
      </c>
    </row>
    <row r="38" spans="1:12" ht="18" customHeight="1">
      <c r="A38" s="14"/>
      <c r="B38" s="14" t="str">
        <f>IF(E37&gt;J37,"增加","减少")</f>
        <v>减少</v>
      </c>
      <c r="C38" s="63">
        <f>ABS(E37-J37)</f>
        <v>93200</v>
      </c>
      <c r="D38" s="63"/>
      <c r="E38" s="7" t="s">
        <v>187</v>
      </c>
      <c r="F38" s="14" t="str">
        <f>IF(E37&gt;J37,"增长","下降")</f>
        <v>下降</v>
      </c>
      <c r="G38" s="33">
        <f>C38/J37</f>
        <v>0.73734177215189878</v>
      </c>
      <c r="H38" s="7" t="s">
        <v>344</v>
      </c>
    </row>
    <row r="39" spans="1:12" ht="17.399999999999999">
      <c r="B39" s="65" t="s">
        <v>453</v>
      </c>
      <c r="C39" s="65"/>
      <c r="D39" s="65"/>
      <c r="E39" s="65"/>
      <c r="F39" s="65"/>
      <c r="G39" s="65"/>
      <c r="H39" s="65"/>
      <c r="I39" s="65"/>
      <c r="J39" s="65"/>
      <c r="K39" s="65"/>
      <c r="L39" s="65"/>
    </row>
    <row r="40" spans="1:12" ht="18" customHeight="1">
      <c r="A40" s="67" t="s">
        <v>218</v>
      </c>
      <c r="B40" s="67"/>
      <c r="C40" s="67"/>
      <c r="D40" s="67"/>
      <c r="E40" s="63">
        <f>_xlfn.IFNA(VLOOKUP(封面!B1,一般公共预算财政拨款支出决算具体情况!A:O,15,FALSE),"")</f>
        <v>1941792</v>
      </c>
      <c r="F40" s="63"/>
      <c r="G40" s="7" t="s">
        <v>187</v>
      </c>
      <c r="H40" s="64" t="s">
        <v>214</v>
      </c>
      <c r="I40" s="64"/>
      <c r="J40" s="63">
        <f>_xlfn.IFNA(VLOOKUP(封面!B1,一般公共预算财政拨款支出决算具体情况!A:P,16,FALSE),"")</f>
        <v>1941902</v>
      </c>
      <c r="K40" s="63"/>
      <c r="L40" s="11" t="s">
        <v>186</v>
      </c>
    </row>
    <row r="41" spans="1:12" ht="18" customHeight="1">
      <c r="A41" s="14"/>
      <c r="B41" s="14" t="str">
        <f>IF(E40&gt;J40,"增加","减少")</f>
        <v>减少</v>
      </c>
      <c r="C41" s="63">
        <f>ABS(E40-J40)</f>
        <v>110</v>
      </c>
      <c r="D41" s="63"/>
      <c r="E41" s="7" t="s">
        <v>187</v>
      </c>
      <c r="F41" s="14" t="str">
        <f>IF(E40&gt;J40,"增长","下降")</f>
        <v>下降</v>
      </c>
      <c r="G41" s="33">
        <f>C41/J40</f>
        <v>5.6645494983783938E-5</v>
      </c>
      <c r="H41" s="7" t="s">
        <v>344</v>
      </c>
    </row>
    <row r="42" spans="1:12" ht="17.399999999999999">
      <c r="B42" s="65" t="s">
        <v>454</v>
      </c>
      <c r="C42" s="65"/>
      <c r="D42" s="65"/>
      <c r="E42" s="65"/>
      <c r="F42" s="65"/>
      <c r="G42" s="65"/>
      <c r="H42" s="65"/>
      <c r="I42" s="65"/>
      <c r="J42" s="65"/>
      <c r="K42" s="65"/>
      <c r="L42" s="65"/>
    </row>
    <row r="43" spans="1:12" ht="18" customHeight="1">
      <c r="A43" s="68" t="s">
        <v>448</v>
      </c>
      <c r="B43" s="68"/>
      <c r="C43" s="68"/>
      <c r="D43" s="68"/>
      <c r="E43" s="63">
        <f>_xlfn.IFNA(VLOOKUP(封面!B1,一般公共预算财政拨款支出决算具体情况!A:U,21,FALSE),"")</f>
        <v>11760406.899999999</v>
      </c>
      <c r="F43" s="63"/>
      <c r="G43" s="7" t="s">
        <v>187</v>
      </c>
      <c r="H43" s="64" t="s">
        <v>214</v>
      </c>
      <c r="I43" s="64"/>
      <c r="J43" s="63">
        <f>_xlfn.IFNA(VLOOKUP(封面!B1,一般公共预算财政拨款支出决算具体情况!A:V,22,FALSE),"")</f>
        <v>11425315.4</v>
      </c>
      <c r="K43" s="63"/>
      <c r="L43" s="11" t="s">
        <v>186</v>
      </c>
    </row>
    <row r="44" spans="1:12" ht="18" customHeight="1">
      <c r="B44" s="14" t="str">
        <f>IF(E43&gt;J43,"增加","减少")</f>
        <v>增加</v>
      </c>
      <c r="C44" s="63">
        <f>ABS(E43-J43)</f>
        <v>335091.49999999814</v>
      </c>
      <c r="D44" s="63"/>
      <c r="E44" s="7" t="s">
        <v>187</v>
      </c>
      <c r="F44" s="14" t="str">
        <f>IF(E43&gt;J43,"增长","下降")</f>
        <v>增长</v>
      </c>
      <c r="G44" s="33">
        <f>C44/J43</f>
        <v>2.932886211613888E-2</v>
      </c>
      <c r="H44" s="7" t="s">
        <v>344</v>
      </c>
      <c r="I44" s="11" t="s">
        <v>215</v>
      </c>
    </row>
    <row r="45" spans="1:12" ht="18" customHeight="1">
      <c r="A45" s="67" t="s">
        <v>219</v>
      </c>
      <c r="B45" s="67"/>
      <c r="C45" s="67"/>
      <c r="D45" s="67"/>
      <c r="E45" s="63">
        <f>_xlfn.IFNA(VLOOKUP(封面!B1,一般公共预算财政拨款支出决算具体情况!A:W,23,FALSE),"")</f>
        <v>11760406.899999999</v>
      </c>
      <c r="F45" s="63"/>
      <c r="G45" s="7" t="s">
        <v>187</v>
      </c>
      <c r="H45" s="64" t="s">
        <v>214</v>
      </c>
      <c r="I45" s="64"/>
      <c r="J45" s="63">
        <f>_xlfn.IFNA(VLOOKUP(封面!B1,一般公共预算财政拨款支出决算具体情况!A:X,24,FALSE),"")</f>
        <v>11425315.4</v>
      </c>
      <c r="K45" s="63"/>
      <c r="L45" s="11" t="s">
        <v>186</v>
      </c>
    </row>
    <row r="46" spans="1:12" ht="18" customHeight="1">
      <c r="A46" s="14"/>
      <c r="B46" s="14" t="str">
        <f>IF(E45&gt;J45,"增加","减少")</f>
        <v>增加</v>
      </c>
      <c r="C46" s="63">
        <f>ABS(E45-J45)</f>
        <v>335091.49999999814</v>
      </c>
      <c r="D46" s="63"/>
      <c r="E46" s="7" t="s">
        <v>187</v>
      </c>
      <c r="F46" s="14" t="str">
        <f>IF(E45&gt;J45,"增长","下降")</f>
        <v>增长</v>
      </c>
      <c r="G46" s="33">
        <f>C46/J45</f>
        <v>2.932886211613888E-2</v>
      </c>
      <c r="H46" s="7" t="s">
        <v>344</v>
      </c>
    </row>
    <row r="47" spans="1:12" ht="17.399999999999999">
      <c r="B47" s="65" t="s">
        <v>455</v>
      </c>
      <c r="C47" s="65"/>
      <c r="D47" s="65"/>
      <c r="E47" s="65"/>
      <c r="F47" s="65"/>
      <c r="G47" s="65"/>
      <c r="H47" s="65"/>
      <c r="I47" s="65"/>
      <c r="J47" s="65"/>
      <c r="K47" s="65"/>
      <c r="L47" s="65"/>
    </row>
    <row r="48" spans="1:12" ht="18" customHeight="1">
      <c r="A48" s="68" t="s">
        <v>449</v>
      </c>
      <c r="B48" s="68"/>
      <c r="C48" s="68"/>
      <c r="D48" s="68"/>
      <c r="E48" s="63">
        <f>_xlfn.IFNA(VLOOKUP(封面!B1,一般公共预算财政拨款支出决算具体情况!A:AA,27,FALSE),"")</f>
        <v>3838890.68</v>
      </c>
      <c r="F48" s="63"/>
      <c r="G48" s="7" t="s">
        <v>187</v>
      </c>
      <c r="H48" s="64" t="s">
        <v>214</v>
      </c>
      <c r="I48" s="64"/>
      <c r="J48" s="63">
        <f>_xlfn.IFNA(VLOOKUP(封面!B1,一般公共预算财政拨款支出决算具体情况!A:AB,28,FALSE),"")</f>
        <v>3723575.5</v>
      </c>
      <c r="K48" s="63"/>
      <c r="L48" s="11" t="s">
        <v>186</v>
      </c>
    </row>
    <row r="49" spans="1:13" ht="18" customHeight="1">
      <c r="B49" s="14" t="str">
        <f>IF(E48&gt;J48,"增加","减少")</f>
        <v>增加</v>
      </c>
      <c r="C49" s="63">
        <f>ABS(E48-J48)</f>
        <v>115315.18000000017</v>
      </c>
      <c r="D49" s="63"/>
      <c r="E49" s="7" t="s">
        <v>187</v>
      </c>
      <c r="F49" s="14" t="str">
        <f>IF(E48&gt;J48,"增长","下降")</f>
        <v>增长</v>
      </c>
      <c r="G49" s="33">
        <f>C49/J48</f>
        <v>3.0968938322856666E-2</v>
      </c>
      <c r="H49" s="7" t="s">
        <v>344</v>
      </c>
      <c r="I49" s="11" t="s">
        <v>215</v>
      </c>
    </row>
    <row r="50" spans="1:13" ht="18" customHeight="1">
      <c r="A50" s="67" t="s">
        <v>220</v>
      </c>
      <c r="B50" s="67"/>
      <c r="C50" s="67"/>
      <c r="D50" s="67"/>
      <c r="E50" s="63">
        <f>_xlfn.IFNA(VLOOKUP(封面!B1,一般公共预算财政拨款支出决算具体情况!A:AC,29,FALSE),"")</f>
        <v>3838890.68</v>
      </c>
      <c r="F50" s="63"/>
      <c r="G50" s="7" t="s">
        <v>187</v>
      </c>
      <c r="H50" s="64" t="s">
        <v>214</v>
      </c>
      <c r="I50" s="64"/>
      <c r="J50" s="63">
        <f>_xlfn.IFNA(VLOOKUP(封面!B1,一般公共预算财政拨款支出决算具体情况!A:AD,30,FALSE),"")</f>
        <v>3723575.5</v>
      </c>
      <c r="K50" s="63"/>
      <c r="L50" s="11" t="s">
        <v>186</v>
      </c>
    </row>
    <row r="51" spans="1:13" ht="18" customHeight="1">
      <c r="A51" s="14"/>
      <c r="B51" s="14" t="str">
        <f>IF(E50&gt;J50,"增加","减少")</f>
        <v>增加</v>
      </c>
      <c r="C51" s="63">
        <f>ABS(E50-J50)</f>
        <v>115315.18000000017</v>
      </c>
      <c r="D51" s="63"/>
      <c r="E51" s="7" t="s">
        <v>187</v>
      </c>
      <c r="F51" s="14" t="str">
        <f>IF(E50&gt;J50,"增长","下降")</f>
        <v>增长</v>
      </c>
      <c r="G51" s="33">
        <f>C51/J50</f>
        <v>3.0968938322856666E-2</v>
      </c>
      <c r="H51" s="7" t="s">
        <v>344</v>
      </c>
    </row>
    <row r="52" spans="1:13" ht="17.399999999999999">
      <c r="B52" s="65" t="s">
        <v>455</v>
      </c>
      <c r="C52" s="65"/>
      <c r="D52" s="65"/>
      <c r="E52" s="65"/>
      <c r="F52" s="65"/>
      <c r="G52" s="65"/>
      <c r="H52" s="65"/>
      <c r="I52" s="65"/>
      <c r="J52" s="65"/>
      <c r="K52" s="65"/>
      <c r="L52" s="65"/>
    </row>
    <row r="53" spans="1:13" ht="18" customHeight="1">
      <c r="A53" s="68" t="s">
        <v>450</v>
      </c>
      <c r="B53" s="68"/>
      <c r="C53" s="68"/>
      <c r="D53" s="68"/>
      <c r="E53" s="63">
        <f>_xlfn.IFNA(VLOOKUP(封面!B1,一般公共预算财政拨款支出决算具体情况!A:AM,39,FALSE),"")</f>
        <v>9117420</v>
      </c>
      <c r="F53" s="63"/>
      <c r="G53" s="7" t="s">
        <v>187</v>
      </c>
      <c r="H53" s="64" t="s">
        <v>214</v>
      </c>
      <c r="I53" s="64"/>
      <c r="J53" s="63">
        <f>_xlfn.IFNA(VLOOKUP(封面!B1,一般公共预算财政拨款支出决算具体情况!A:AN,40,FALSE),"")</f>
        <v>8819694</v>
      </c>
      <c r="K53" s="63"/>
      <c r="L53" s="11" t="s">
        <v>186</v>
      </c>
    </row>
    <row r="54" spans="1:13" ht="18" customHeight="1">
      <c r="B54" s="14" t="str">
        <f>IF(E53&gt;J53,"增加","减少")</f>
        <v>增加</v>
      </c>
      <c r="C54" s="63">
        <f>ABS(E53-J53)</f>
        <v>297726</v>
      </c>
      <c r="D54" s="63"/>
      <c r="E54" s="7" t="s">
        <v>187</v>
      </c>
      <c r="F54" s="14" t="str">
        <f>IF(E53&gt;J53,"增长","下降")</f>
        <v>增长</v>
      </c>
      <c r="G54" s="33">
        <f>C54/J53</f>
        <v>3.3756953472535441E-2</v>
      </c>
      <c r="H54" s="7" t="s">
        <v>344</v>
      </c>
      <c r="I54" s="11" t="s">
        <v>215</v>
      </c>
    </row>
    <row r="55" spans="1:13" ht="18" customHeight="1">
      <c r="A55" s="67" t="s">
        <v>221</v>
      </c>
      <c r="B55" s="67"/>
      <c r="C55" s="67"/>
      <c r="D55" s="67"/>
      <c r="E55" s="63">
        <f>_xlfn.IFNA(VLOOKUP(封面!B1,一般公共预算财政拨款支出决算具体情况!A:AO,41,FALSE),"")</f>
        <v>9117420</v>
      </c>
      <c r="F55" s="63"/>
      <c r="G55" s="7" t="s">
        <v>187</v>
      </c>
      <c r="H55" s="64" t="s">
        <v>214</v>
      </c>
      <c r="I55" s="64"/>
      <c r="J55" s="63">
        <f>_xlfn.IFNA(VLOOKUP(封面!B1,一般公共预算财政拨款支出决算具体情况!A:AP,42,FALSE),"")</f>
        <v>8819694</v>
      </c>
      <c r="K55" s="63"/>
      <c r="L55" s="11" t="s">
        <v>186</v>
      </c>
    </row>
    <row r="56" spans="1:13" ht="18" customHeight="1">
      <c r="A56" s="14"/>
      <c r="B56" s="14" t="str">
        <f>IF(E55&gt;J55,"增加","减少")</f>
        <v>增加</v>
      </c>
      <c r="C56" s="63">
        <f>ABS(E55-J55)</f>
        <v>297726</v>
      </c>
      <c r="D56" s="63"/>
      <c r="E56" s="7" t="s">
        <v>187</v>
      </c>
      <c r="F56" s="14" t="str">
        <f>IF(E55&gt;J55,"增长","下降")</f>
        <v>增长</v>
      </c>
      <c r="G56" s="33">
        <f>C56/J55</f>
        <v>3.3756953472535441E-2</v>
      </c>
      <c r="H56" s="7" t="s">
        <v>344</v>
      </c>
    </row>
    <row r="57" spans="1:13" ht="17.399999999999999">
      <c r="B57" s="65" t="s">
        <v>455</v>
      </c>
      <c r="C57" s="65"/>
      <c r="D57" s="65"/>
      <c r="E57" s="65"/>
      <c r="F57" s="65"/>
      <c r="G57" s="65"/>
      <c r="H57" s="65"/>
      <c r="I57" s="65"/>
      <c r="J57" s="65"/>
      <c r="K57" s="65"/>
      <c r="L57" s="65"/>
    </row>
    <row r="58" spans="1:13" ht="18" customHeight="1">
      <c r="A58" s="6" t="s">
        <v>222</v>
      </c>
    </row>
    <row r="59" spans="1:13" ht="18" customHeight="1">
      <c r="A59" s="7" t="str">
        <f>IF(_xlfn.IFNA(VLOOKUP(封面!B1,'2020决算导出'!A:X,24,FALSE),"")=0,"本年度无此项支出。","")</f>
        <v>本年度无此项支出。</v>
      </c>
    </row>
    <row r="60" spans="1:13" ht="18" customHeight="1">
      <c r="A60" s="6" t="s">
        <v>223</v>
      </c>
    </row>
    <row r="61" spans="1:13" ht="18" customHeight="1">
      <c r="A61" s="7" t="s">
        <v>224</v>
      </c>
    </row>
    <row r="62" spans="1:13" ht="18" customHeight="1">
      <c r="A62" s="6" t="s">
        <v>225</v>
      </c>
    </row>
    <row r="63" spans="1:13" ht="18" customHeight="1">
      <c r="A63" s="7" t="s">
        <v>226</v>
      </c>
      <c r="G63" s="63">
        <f>_xlfn.IFNA(VLOOKUP(封面!B1,'2020决算导出'!A:AA,27,FALSE),"")</f>
        <v>68815762.489999995</v>
      </c>
      <c r="H63" s="63"/>
      <c r="I63" s="11" t="s">
        <v>187</v>
      </c>
    </row>
    <row r="64" spans="1:13" ht="130.19999999999999" customHeight="1">
      <c r="A64" s="65" t="s">
        <v>227</v>
      </c>
      <c r="B64" s="65"/>
      <c r="C64" s="65"/>
      <c r="D64" s="65"/>
      <c r="E64" s="65"/>
      <c r="F64" s="65"/>
      <c r="G64" s="65"/>
      <c r="H64" s="65"/>
      <c r="I64" s="65"/>
      <c r="J64" s="65"/>
      <c r="K64" s="65"/>
      <c r="L64" s="65"/>
      <c r="M64" s="65"/>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G63:H63"/>
    <mergeCell ref="A64:M64"/>
    <mergeCell ref="A4:M4"/>
    <mergeCell ref="B57:L57"/>
    <mergeCell ref="C54:D54"/>
    <mergeCell ref="A55:D55"/>
    <mergeCell ref="E55:F55"/>
    <mergeCell ref="H55:I55"/>
    <mergeCell ref="J55:K55"/>
    <mergeCell ref="C56:D56"/>
    <mergeCell ref="A53:D53"/>
    <mergeCell ref="E53:F53"/>
    <mergeCell ref="H53:I53"/>
    <mergeCell ref="J53:K53"/>
    <mergeCell ref="A50:D50"/>
    <mergeCell ref="E50:F50"/>
    <mergeCell ref="H50:I50"/>
    <mergeCell ref="J50:K50"/>
    <mergeCell ref="C51:D51"/>
    <mergeCell ref="B52:L52"/>
    <mergeCell ref="A48:D48"/>
    <mergeCell ref="E48:F48"/>
    <mergeCell ref="H48:I48"/>
    <mergeCell ref="J48:K48"/>
    <mergeCell ref="C49:D49"/>
    <mergeCell ref="B47:L47"/>
    <mergeCell ref="A43:D43"/>
    <mergeCell ref="E43:F43"/>
    <mergeCell ref="H43:I43"/>
    <mergeCell ref="J43:K43"/>
    <mergeCell ref="C44:D44"/>
    <mergeCell ref="A45:D45"/>
    <mergeCell ref="E45:F45"/>
    <mergeCell ref="H45:I45"/>
    <mergeCell ref="J45:K45"/>
    <mergeCell ref="C46:D46"/>
    <mergeCell ref="C41:D41"/>
    <mergeCell ref="B42:L42"/>
    <mergeCell ref="C38:D38"/>
    <mergeCell ref="B39:L39"/>
    <mergeCell ref="A40:D40"/>
    <mergeCell ref="E40:F40"/>
    <mergeCell ref="H40:I40"/>
    <mergeCell ref="J40:K40"/>
    <mergeCell ref="A37:D37"/>
    <mergeCell ref="E37:F37"/>
    <mergeCell ref="H37:I37"/>
    <mergeCell ref="J37:K37"/>
    <mergeCell ref="B36:L36"/>
    <mergeCell ref="C33:D33"/>
    <mergeCell ref="C35:D35"/>
    <mergeCell ref="A34:D34"/>
    <mergeCell ref="E34:F34"/>
    <mergeCell ref="H34:I34"/>
    <mergeCell ref="J34:K34"/>
    <mergeCell ref="A32:D32"/>
    <mergeCell ref="E32:F32"/>
    <mergeCell ref="H32:I32"/>
    <mergeCell ref="J32:K32"/>
    <mergeCell ref="A30:C30"/>
    <mergeCell ref="D30:E30"/>
    <mergeCell ref="G30:H30"/>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7" workbookViewId="0">
      <selection activeCell="Q18" sqref="Q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271</v>
      </c>
      <c r="B1" s="59"/>
      <c r="C1" s="59"/>
      <c r="D1" s="59"/>
      <c r="E1" s="59"/>
      <c r="F1" s="59"/>
      <c r="G1" s="59"/>
      <c r="H1" s="59"/>
      <c r="I1" s="59"/>
      <c r="J1" s="59"/>
      <c r="K1" s="59"/>
      <c r="L1" s="59"/>
      <c r="M1" s="59"/>
      <c r="N1" s="59"/>
    </row>
    <row r="2" spans="1:14" ht="18" customHeight="1">
      <c r="A2" s="6" t="s">
        <v>228</v>
      </c>
    </row>
    <row r="3" spans="1:14" ht="18" customHeight="1">
      <c r="A3" s="15" t="str">
        <f>IF(_xlfn.IFNA(VLOOKUP(封面!B1,'2020决算导出'!A:AB,28,FALSE),"")=0,"本年度无此项支出。","")</f>
        <v/>
      </c>
    </row>
    <row r="4" spans="1:14" ht="18" customHeight="1">
      <c r="A4" s="7" t="s">
        <v>229</v>
      </c>
      <c r="F4" s="63">
        <f>_xlfn.IFNA(VLOOKUP(封面!B1,'2020决算导出'!A:AB,28,FALSE),"")</f>
        <v>17774.45</v>
      </c>
      <c r="G4" s="63"/>
      <c r="H4" s="7" t="s">
        <v>187</v>
      </c>
      <c r="I4" s="7" t="s">
        <v>230</v>
      </c>
    </row>
    <row r="5" spans="1:14" ht="18" customHeight="1">
      <c r="A5" s="70">
        <f>_xlfn.IFNA(VLOOKUP(封面!B1,'2020决算导出'!A:AC,29,FALSE),"")</f>
        <v>27000</v>
      </c>
      <c r="B5" s="70"/>
      <c r="C5" s="7" t="s">
        <v>186</v>
      </c>
      <c r="D5" s="29" t="str">
        <f>IF(F4&gt;A5,"增加","减少")</f>
        <v>减少</v>
      </c>
      <c r="E5" s="70">
        <f>ABS(F4-A5)</f>
        <v>9225.5499999999993</v>
      </c>
      <c r="F5" s="70"/>
      <c r="G5" s="7" t="s">
        <v>232</v>
      </c>
    </row>
    <row r="6" spans="1:14" ht="18" customHeight="1">
      <c r="A6" s="7" t="s">
        <v>233</v>
      </c>
    </row>
    <row r="7" spans="1:14" ht="18" customHeight="1">
      <c r="A7" s="55" t="s">
        <v>443</v>
      </c>
      <c r="B7" s="18"/>
      <c r="C7" s="18"/>
      <c r="D7" s="18"/>
      <c r="E7" s="18"/>
      <c r="F7" s="18"/>
      <c r="G7" s="18"/>
      <c r="H7" s="18"/>
      <c r="I7" s="18"/>
      <c r="J7" s="18"/>
      <c r="K7" s="18"/>
      <c r="L7" s="18"/>
      <c r="M7" s="18"/>
      <c r="N7" s="18"/>
    </row>
    <row r="8" spans="1:14" ht="18" customHeight="1">
      <c r="A8" s="7" t="s">
        <v>235</v>
      </c>
    </row>
    <row r="9" spans="1:14" ht="39" customHeight="1">
      <c r="A9" s="69" t="s">
        <v>236</v>
      </c>
      <c r="B9" s="69"/>
      <c r="C9" s="69"/>
      <c r="D9" s="69"/>
      <c r="E9" s="69"/>
      <c r="F9" s="69"/>
      <c r="G9" s="69"/>
      <c r="H9" s="69"/>
      <c r="I9" s="69"/>
      <c r="J9" s="69"/>
      <c r="K9" s="69"/>
      <c r="L9" s="69"/>
      <c r="M9" s="69"/>
      <c r="N9" s="69"/>
    </row>
    <row r="10" spans="1:14" ht="18" customHeight="1">
      <c r="A10" s="7" t="s">
        <v>237</v>
      </c>
    </row>
    <row r="11" spans="1:14" ht="18" customHeight="1">
      <c r="A11" s="61" t="s">
        <v>234</v>
      </c>
      <c r="B11" s="61"/>
      <c r="C11" s="34">
        <f>_xlfn.IFNA(VLOOKUP(封面!B1,'2020决算导出'!A:AI,35,FALSE),"")</f>
        <v>17774.45</v>
      </c>
      <c r="D11" s="7" t="s">
        <v>187</v>
      </c>
      <c r="E11" s="61" t="s">
        <v>238</v>
      </c>
      <c r="F11" s="61"/>
      <c r="G11" s="61"/>
      <c r="H11" s="70">
        <f>_xlfn.IFNA(VLOOKUP(封面!B1,'2020决算导出'!A:AJ,36,FALSE),"")</f>
        <v>27000</v>
      </c>
      <c r="I11" s="70"/>
      <c r="J11" s="15" t="s">
        <v>186</v>
      </c>
      <c r="K11" s="29" t="str">
        <f>IF(C11&gt;H11,"增加","减少")</f>
        <v>减少</v>
      </c>
      <c r="L11" s="70">
        <f>ABS(C11-H11)</f>
        <v>9225.5499999999993</v>
      </c>
      <c r="M11" s="70"/>
      <c r="N11" s="7" t="s">
        <v>231</v>
      </c>
    </row>
    <row r="12" spans="1:14" ht="18" customHeight="1">
      <c r="A12" s="61" t="s">
        <v>239</v>
      </c>
      <c r="B12" s="61"/>
      <c r="C12" s="61"/>
      <c r="D12" s="61"/>
      <c r="E12" s="61"/>
      <c r="F12" s="70">
        <f>_xlfn.IFNA(VLOOKUP(封面!B1,'2020决算导出'!A:AK,37,FALSE),"")</f>
        <v>0</v>
      </c>
      <c r="G12" s="70"/>
      <c r="H12" s="16" t="s">
        <v>187</v>
      </c>
      <c r="I12" s="61" t="s">
        <v>238</v>
      </c>
      <c r="J12" s="61"/>
      <c r="K12" s="61"/>
      <c r="L12" s="70">
        <f>_xlfn.IFNA(VLOOKUP(封面!B1,'2020决算导出'!A:AL,38,FALSE),"")</f>
        <v>0</v>
      </c>
      <c r="M12" s="70"/>
      <c r="N12" s="7" t="s">
        <v>186</v>
      </c>
    </row>
    <row r="13" spans="1:14" ht="18" customHeight="1">
      <c r="A13" s="14" t="str">
        <f>IF(F12&gt;L12,"增加","减少")</f>
        <v>减少</v>
      </c>
      <c r="B13" s="70">
        <f>ABS(F12-L12)</f>
        <v>0</v>
      </c>
      <c r="C13" s="70"/>
      <c r="D13" s="7" t="s">
        <v>231</v>
      </c>
      <c r="H13" s="70"/>
      <c r="I13" s="70"/>
      <c r="J13" s="15"/>
    </row>
    <row r="14" spans="1:14" ht="36" customHeight="1">
      <c r="A14" s="65" t="s">
        <v>446</v>
      </c>
      <c r="B14" s="65"/>
      <c r="C14" s="65"/>
      <c r="D14" s="65"/>
      <c r="E14" s="65"/>
      <c r="F14" s="65"/>
      <c r="G14" s="65"/>
      <c r="H14" s="65"/>
      <c r="I14" s="65"/>
      <c r="J14" s="65"/>
      <c r="K14" s="65"/>
      <c r="L14" s="65"/>
      <c r="M14" s="65"/>
      <c r="N14" s="65"/>
    </row>
    <row r="15" spans="1:14" ht="18" customHeight="1">
      <c r="A15" s="61" t="s">
        <v>240</v>
      </c>
      <c r="B15" s="61"/>
      <c r="C15" s="61"/>
      <c r="D15" s="8">
        <f>_xlfn.IFNA(VLOOKUP(封面!B1,'2020决算导出'!A:AM,39,FALSE),"")</f>
        <v>0</v>
      </c>
      <c r="E15" s="7" t="s">
        <v>241</v>
      </c>
      <c r="F15" s="61" t="s">
        <v>242</v>
      </c>
      <c r="G15" s="61"/>
      <c r="H15" s="70">
        <f>IF(D15=0,0,F12/D15)</f>
        <v>0</v>
      </c>
      <c r="I15" s="70"/>
      <c r="J15" s="7" t="s">
        <v>231</v>
      </c>
    </row>
    <row r="16" spans="1:14" ht="18" customHeight="1">
      <c r="A16" s="64" t="s">
        <v>243</v>
      </c>
      <c r="B16" s="64"/>
      <c r="C16" s="64"/>
      <c r="D16" s="64"/>
      <c r="E16" s="64"/>
      <c r="F16" s="70">
        <f>_xlfn.IFNA(VLOOKUP(封面!B1,'2020决算导出'!A:AO,41,FALSE),"")</f>
        <v>17774.45</v>
      </c>
      <c r="G16" s="70" t="s">
        <v>187</v>
      </c>
      <c r="H16" s="7" t="s">
        <v>187</v>
      </c>
      <c r="I16" s="7" t="s">
        <v>238</v>
      </c>
      <c r="L16" s="70">
        <f>_xlfn.IFNA(VLOOKUP(封面!B1,'2020决算导出'!A:AP,42,FALSE),"")</f>
        <v>27000</v>
      </c>
      <c r="M16" s="70" t="s">
        <v>187</v>
      </c>
      <c r="N16" s="7" t="s">
        <v>187</v>
      </c>
    </row>
    <row r="17" spans="1:14" ht="18" customHeight="1">
      <c r="A17" s="14" t="str">
        <f>IF(F16&gt;L16,"增加","减少")</f>
        <v>减少</v>
      </c>
      <c r="B17" s="70">
        <f>ABS(F16-L16)</f>
        <v>9225.5499999999993</v>
      </c>
      <c r="C17" s="70"/>
      <c r="D17" s="7" t="s">
        <v>231</v>
      </c>
    </row>
    <row r="18" spans="1:14" ht="36" customHeight="1">
      <c r="A18" s="65" t="s">
        <v>446</v>
      </c>
      <c r="B18" s="65"/>
      <c r="C18" s="65"/>
      <c r="D18" s="65"/>
      <c r="E18" s="65"/>
      <c r="F18" s="65"/>
      <c r="G18" s="65"/>
      <c r="H18" s="65"/>
      <c r="I18" s="65"/>
      <c r="J18" s="65"/>
      <c r="K18" s="65"/>
      <c r="L18" s="65"/>
      <c r="M18" s="65"/>
      <c r="N18" s="65"/>
    </row>
    <row r="19" spans="1:14" ht="18" customHeight="1">
      <c r="A19" s="61" t="s">
        <v>244</v>
      </c>
      <c r="B19" s="61"/>
      <c r="C19" s="61"/>
      <c r="D19" s="61"/>
      <c r="E19" s="61"/>
      <c r="F19" s="61"/>
      <c r="G19" s="70">
        <f>_xlfn.IFNA(VLOOKUP(封面!B1,'2020决算导出'!A:AQ,43,FALSE),"")</f>
        <v>12000</v>
      </c>
      <c r="H19" s="70" t="s">
        <v>187</v>
      </c>
      <c r="I19" s="7" t="s">
        <v>187</v>
      </c>
      <c r="J19" s="7" t="s">
        <v>245</v>
      </c>
      <c r="L19" s="70">
        <f>_xlfn.IFNA(VLOOKUP(封面!B1,'2020决算导出'!A:AR,44,FALSE),"")</f>
        <v>0</v>
      </c>
      <c r="M19" s="70" t="s">
        <v>187</v>
      </c>
      <c r="N19" s="7" t="s">
        <v>187</v>
      </c>
    </row>
    <row r="20" spans="1:14" ht="18" customHeight="1">
      <c r="A20" s="61" t="s">
        <v>246</v>
      </c>
      <c r="B20" s="61"/>
      <c r="C20" s="70">
        <f>_xlfn.IFNA(VLOOKUP(封面!B1,'2020决算导出'!A:AS,45,FALSE),"")</f>
        <v>3522.15</v>
      </c>
      <c r="D20" s="70" t="s">
        <v>187</v>
      </c>
      <c r="E20" s="7" t="s">
        <v>187</v>
      </c>
      <c r="F20" s="61" t="s">
        <v>247</v>
      </c>
      <c r="G20" s="61"/>
      <c r="H20" s="61"/>
      <c r="I20" s="70">
        <f>_xlfn.IFNA(VLOOKUP(封面!B1,'2020决算导出'!A:AT,46,FALSE),"")</f>
        <v>2252.3000000000002</v>
      </c>
      <c r="J20" s="70" t="s">
        <v>187</v>
      </c>
      <c r="K20" s="7" t="s">
        <v>231</v>
      </c>
    </row>
    <row r="21" spans="1:14" ht="18" customHeight="1">
      <c r="A21" s="61" t="s">
        <v>248</v>
      </c>
      <c r="B21" s="61"/>
      <c r="C21" s="61"/>
      <c r="D21" s="8">
        <f>_xlfn.IFNA(VLOOKUP(封面!B1,'2020决算导出'!A:AU,47,FALSE),"")</f>
        <v>1</v>
      </c>
      <c r="E21" s="66" t="s">
        <v>439</v>
      </c>
      <c r="F21" s="66"/>
      <c r="G21" s="66"/>
      <c r="H21" s="66"/>
      <c r="I21" s="66"/>
      <c r="J21" s="66"/>
      <c r="K21" s="66"/>
      <c r="L21" s="66"/>
      <c r="M21" s="54">
        <f>F16/D21</f>
        <v>17774.45</v>
      </c>
      <c r="N21" s="7" t="s">
        <v>231</v>
      </c>
    </row>
    <row r="22" spans="1:14" ht="18" customHeight="1">
      <c r="A22" s="6" t="s">
        <v>249</v>
      </c>
    </row>
    <row r="23" spans="1:14" ht="18" customHeight="1">
      <c r="A23" s="7" t="s">
        <v>250</v>
      </c>
    </row>
    <row r="24" spans="1:14" ht="18" customHeight="1">
      <c r="A24" s="6" t="s">
        <v>251</v>
      </c>
    </row>
    <row r="25" spans="1:14" ht="18" customHeight="1">
      <c r="A25" s="61" t="s">
        <v>252</v>
      </c>
      <c r="B25" s="61"/>
      <c r="C25" s="61"/>
      <c r="D25" s="61"/>
      <c r="E25" s="63">
        <f>_xlfn.IFNA(VLOOKUP(封面!B1,'2020决算导出'!A:AW,49,FALSE),"")</f>
        <v>1042636.5</v>
      </c>
      <c r="F25" s="63"/>
      <c r="G25" s="7" t="s">
        <v>187</v>
      </c>
      <c r="H25" s="61" t="s">
        <v>253</v>
      </c>
      <c r="I25" s="61"/>
      <c r="J25" s="61"/>
      <c r="K25" s="61"/>
      <c r="L25" s="63">
        <f>_xlfn.IFNA(VLOOKUP(封面!B1,'2020决算导出'!A:AX,50,FALSE),"")</f>
        <v>161174.5</v>
      </c>
      <c r="M25" s="63" t="s">
        <v>187</v>
      </c>
      <c r="N25" s="7" t="s">
        <v>187</v>
      </c>
    </row>
    <row r="26" spans="1:14" ht="18" customHeight="1">
      <c r="A26" s="61" t="s">
        <v>254</v>
      </c>
      <c r="B26" s="61"/>
      <c r="C26" s="61"/>
      <c r="D26" s="63">
        <f>_xlfn.IFNA(VLOOKUP(封面!B1,'2020决算导出'!A:AY,51,FALSE),"")</f>
        <v>0</v>
      </c>
      <c r="E26" s="63" t="s">
        <v>187</v>
      </c>
      <c r="F26" s="7" t="s">
        <v>187</v>
      </c>
      <c r="G26" s="61" t="s">
        <v>255</v>
      </c>
      <c r="H26" s="61"/>
      <c r="I26" s="61"/>
      <c r="J26" s="63">
        <f>_xlfn.IFNA(VLOOKUP(封面!B1,'2020决算导出'!A:AZ,52,FALSE),"")</f>
        <v>881462</v>
      </c>
      <c r="K26" s="63" t="s">
        <v>187</v>
      </c>
      <c r="L26" s="7" t="s">
        <v>231</v>
      </c>
    </row>
    <row r="27" spans="1:14" ht="18" customHeight="1">
      <c r="A27" s="61" t="s">
        <v>256</v>
      </c>
      <c r="B27" s="61"/>
      <c r="C27" s="61"/>
      <c r="D27" s="61"/>
      <c r="E27" s="63">
        <f>_xlfn.IFNA(VLOOKUP(封面!B1,'2020决算导出'!A:BA,53,FALSE),"")</f>
        <v>0</v>
      </c>
      <c r="F27" s="63" t="s">
        <v>187</v>
      </c>
      <c r="G27" s="7" t="s">
        <v>187</v>
      </c>
      <c r="H27" s="64" t="s">
        <v>257</v>
      </c>
      <c r="I27" s="64"/>
      <c r="J27" s="64"/>
      <c r="K27" s="28">
        <f>E27/$E$25</f>
        <v>0</v>
      </c>
      <c r="L27" s="17" t="s">
        <v>342</v>
      </c>
      <c r="M27" s="7" t="s">
        <v>440</v>
      </c>
    </row>
    <row r="28" spans="1:14" ht="18" customHeight="1">
      <c r="A28" s="61" t="s">
        <v>258</v>
      </c>
      <c r="B28" s="61"/>
      <c r="C28" s="61"/>
      <c r="D28" s="61"/>
      <c r="E28" s="63">
        <f>_xlfn.IFNA(VLOOKUP(封面!B1,'2020决算导出'!A:BB,54,FALSE),"")</f>
        <v>0</v>
      </c>
      <c r="F28" s="63" t="s">
        <v>187</v>
      </c>
      <c r="G28" s="7" t="s">
        <v>187</v>
      </c>
      <c r="H28" s="64" t="s">
        <v>257</v>
      </c>
      <c r="I28" s="64"/>
      <c r="J28" s="64"/>
      <c r="K28" s="28">
        <f>E28/$E$25</f>
        <v>0</v>
      </c>
      <c r="L28" s="17" t="s">
        <v>344</v>
      </c>
    </row>
    <row r="29" spans="1:14" ht="18" customHeight="1">
      <c r="A29" s="6" t="s">
        <v>259</v>
      </c>
    </row>
    <row r="30" spans="1:14" ht="18" customHeight="1">
      <c r="A30" s="61" t="s">
        <v>260</v>
      </c>
      <c r="B30" s="61"/>
      <c r="C30" s="8">
        <f>_xlfn.IFNA(VLOOKUP(封面!B1,'2020决算导出'!A:BC,55,FALSE),"")</f>
        <v>1</v>
      </c>
      <c r="D30" s="7" t="s">
        <v>261</v>
      </c>
      <c r="M30" s="70">
        <f>_xlfn.IFNA(VLOOKUP(封面!B1,'2020决算导出'!A:BD,56,FALSE),"")</f>
        <v>257905</v>
      </c>
      <c r="N30" s="70" t="s">
        <v>187</v>
      </c>
    </row>
    <row r="31" spans="1:14" ht="18" customHeight="1">
      <c r="A31" s="12" t="s">
        <v>262</v>
      </c>
      <c r="B31" s="61" t="s">
        <v>263</v>
      </c>
      <c r="C31" s="61"/>
      <c r="D31" s="61"/>
      <c r="E31" s="61"/>
      <c r="F31" s="61"/>
      <c r="G31" s="8">
        <f>_xlfn.IFNA(VLOOKUP(封面!B1,'2020决算导出'!A:BE,57,FALSE),"")</f>
        <v>1</v>
      </c>
      <c r="H31" s="7" t="s">
        <v>264</v>
      </c>
      <c r="J31" s="7" t="s">
        <v>265</v>
      </c>
    </row>
    <row r="32" spans="1:14" ht="18" customHeight="1">
      <c r="A32" s="12">
        <f>_xlfn.IFNA(VLOOKUP(封面!B1,'2020决算导出'!A:BF,58,FALSE),"")</f>
        <v>0</v>
      </c>
      <c r="B32" s="7" t="s">
        <v>266</v>
      </c>
    </row>
    <row r="33" spans="1:14" ht="18" customHeight="1">
      <c r="A33" s="6" t="s">
        <v>267</v>
      </c>
    </row>
    <row r="34" spans="1:14" ht="18" customHeight="1">
      <c r="A34" s="7" t="s">
        <v>268</v>
      </c>
    </row>
    <row r="35" spans="1:14" ht="18" customHeight="1">
      <c r="A35" s="6" t="s">
        <v>269</v>
      </c>
    </row>
    <row r="36" spans="1:14" ht="304.2" customHeight="1">
      <c r="A36" s="65" t="s">
        <v>270</v>
      </c>
      <c r="B36" s="65"/>
      <c r="C36" s="65"/>
      <c r="D36" s="65"/>
      <c r="E36" s="65"/>
      <c r="F36" s="65"/>
      <c r="G36" s="65"/>
      <c r="H36" s="65"/>
      <c r="I36" s="65"/>
      <c r="J36" s="65"/>
      <c r="K36" s="65"/>
      <c r="L36" s="65"/>
      <c r="M36" s="65"/>
      <c r="N36" s="65"/>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272</v>
      </c>
      <c r="B1" s="59"/>
      <c r="C1" s="59"/>
      <c r="D1" s="59"/>
      <c r="E1" s="59"/>
      <c r="F1" s="59"/>
      <c r="G1" s="59"/>
      <c r="H1" s="59"/>
      <c r="I1" s="59"/>
      <c r="J1" s="59"/>
      <c r="K1" s="59"/>
      <c r="L1" s="59"/>
      <c r="M1" s="59"/>
      <c r="N1" s="59"/>
    </row>
    <row r="2" spans="1:14" ht="281.39999999999998" customHeight="1">
      <c r="A2" s="65" t="s">
        <v>452</v>
      </c>
      <c r="B2" s="65"/>
      <c r="C2" s="65"/>
      <c r="D2" s="65"/>
      <c r="E2" s="65"/>
      <c r="F2" s="65"/>
      <c r="G2" s="65"/>
      <c r="H2" s="65"/>
      <c r="I2" s="65"/>
      <c r="J2" s="65"/>
      <c r="K2" s="65"/>
      <c r="L2" s="65"/>
      <c r="M2" s="65"/>
      <c r="N2" s="65"/>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278</v>
      </c>
      <c r="B1" s="21" t="s">
        <v>279</v>
      </c>
      <c r="C1" s="21" t="s">
        <v>274</v>
      </c>
      <c r="D1" s="21" t="s">
        <v>280</v>
      </c>
      <c r="E1" s="21" t="s">
        <v>281</v>
      </c>
      <c r="F1" s="21" t="s">
        <v>282</v>
      </c>
      <c r="G1" s="21" t="s">
        <v>283</v>
      </c>
      <c r="H1" s="21" t="s">
        <v>284</v>
      </c>
      <c r="I1" s="21" t="s">
        <v>285</v>
      </c>
      <c r="J1" s="21" t="s">
        <v>286</v>
      </c>
      <c r="K1" s="21" t="s">
        <v>287</v>
      </c>
      <c r="L1" s="21" t="s">
        <v>288</v>
      </c>
      <c r="M1" s="21" t="s">
        <v>289</v>
      </c>
      <c r="N1" s="21" t="s">
        <v>290</v>
      </c>
      <c r="O1" s="21" t="s">
        <v>291</v>
      </c>
      <c r="P1" s="21" t="s">
        <v>292</v>
      </c>
      <c r="Q1" s="21" t="s">
        <v>293</v>
      </c>
      <c r="R1" s="21" t="s">
        <v>294</v>
      </c>
      <c r="S1" s="21" t="s">
        <v>295</v>
      </c>
      <c r="T1" s="21" t="s">
        <v>296</v>
      </c>
      <c r="U1" s="21" t="s">
        <v>297</v>
      </c>
      <c r="V1" s="21" t="s">
        <v>298</v>
      </c>
      <c r="W1" s="21" t="s">
        <v>299</v>
      </c>
      <c r="X1" s="21" t="s">
        <v>300</v>
      </c>
      <c r="Y1" s="21" t="s">
        <v>301</v>
      </c>
      <c r="Z1" s="21" t="s">
        <v>346</v>
      </c>
      <c r="AA1" s="21" t="s">
        <v>302</v>
      </c>
      <c r="AB1" s="21" t="s">
        <v>303</v>
      </c>
      <c r="AC1" s="21" t="s">
        <v>304</v>
      </c>
      <c r="AD1" s="21" t="s">
        <v>305</v>
      </c>
      <c r="AE1" s="21" t="s">
        <v>306</v>
      </c>
      <c r="AF1" s="21" t="s">
        <v>307</v>
      </c>
      <c r="AG1" s="21" t="s">
        <v>308</v>
      </c>
      <c r="AH1" s="21" t="s">
        <v>309</v>
      </c>
      <c r="AI1" s="21" t="s">
        <v>310</v>
      </c>
      <c r="AJ1" s="21" t="s">
        <v>311</v>
      </c>
      <c r="AK1" s="21" t="s">
        <v>312</v>
      </c>
      <c r="AL1" s="21" t="s">
        <v>313</v>
      </c>
      <c r="AM1" s="21" t="s">
        <v>347</v>
      </c>
      <c r="AN1" s="21" t="s">
        <v>348</v>
      </c>
      <c r="AO1" s="21" t="s">
        <v>314</v>
      </c>
      <c r="AP1" s="21" t="s">
        <v>315</v>
      </c>
      <c r="AQ1" s="21" t="s">
        <v>316</v>
      </c>
      <c r="AR1" s="21" t="s">
        <v>317</v>
      </c>
      <c r="AS1" s="21" t="s">
        <v>318</v>
      </c>
      <c r="AT1" s="21" t="s">
        <v>319</v>
      </c>
      <c r="AU1" s="21" t="s">
        <v>320</v>
      </c>
      <c r="AV1" s="21" t="s">
        <v>349</v>
      </c>
      <c r="AW1" s="21" t="s">
        <v>321</v>
      </c>
      <c r="AX1" s="21" t="s">
        <v>322</v>
      </c>
      <c r="AY1" s="21" t="s">
        <v>323</v>
      </c>
      <c r="AZ1" s="21" t="s">
        <v>324</v>
      </c>
      <c r="BA1" s="21" t="s">
        <v>325</v>
      </c>
      <c r="BB1" s="21" t="s">
        <v>326</v>
      </c>
      <c r="BC1" s="21" t="s">
        <v>327</v>
      </c>
      <c r="BD1" s="21" t="s">
        <v>441</v>
      </c>
      <c r="BE1" s="21" t="s">
        <v>328</v>
      </c>
      <c r="BF1" s="21" t="s">
        <v>329</v>
      </c>
    </row>
    <row r="2" spans="1:58">
      <c r="A2" s="23">
        <v>255001</v>
      </c>
      <c r="B2" s="24" t="s">
        <v>330</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331</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332</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278</v>
      </c>
      <c r="B1" s="21" t="s">
        <v>279</v>
      </c>
      <c r="C1" s="21" t="s">
        <v>333</v>
      </c>
      <c r="D1" s="21" t="s">
        <v>334</v>
      </c>
      <c r="E1" s="21" t="s">
        <v>335</v>
      </c>
      <c r="F1" s="21" t="s">
        <v>336</v>
      </c>
    </row>
    <row r="2" spans="1:6">
      <c r="A2" s="23">
        <v>255001</v>
      </c>
      <c r="B2" s="24" t="s">
        <v>330</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337</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338</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339</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340</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350</v>
      </c>
      <c r="B1" s="41" t="s">
        <v>387</v>
      </c>
      <c r="C1" s="41" t="s">
        <v>388</v>
      </c>
      <c r="D1" s="41" t="s">
        <v>389</v>
      </c>
      <c r="E1" s="41" t="s">
        <v>390</v>
      </c>
      <c r="F1" s="41" t="s">
        <v>391</v>
      </c>
      <c r="G1" s="41" t="s">
        <v>392</v>
      </c>
      <c r="H1" s="41" t="s">
        <v>393</v>
      </c>
      <c r="I1" s="41" t="s">
        <v>394</v>
      </c>
      <c r="J1" s="41" t="s">
        <v>395</v>
      </c>
      <c r="K1" s="41" t="s">
        <v>396</v>
      </c>
      <c r="L1" s="41" t="s">
        <v>397</v>
      </c>
      <c r="M1" s="41" t="s">
        <v>398</v>
      </c>
      <c r="N1" s="41" t="s">
        <v>399</v>
      </c>
      <c r="O1" s="41" t="s">
        <v>400</v>
      </c>
      <c r="P1" s="41" t="s">
        <v>401</v>
      </c>
      <c r="Q1" s="41" t="s">
        <v>402</v>
      </c>
      <c r="R1" s="41" t="s">
        <v>403</v>
      </c>
      <c r="S1" s="41" t="s">
        <v>404</v>
      </c>
      <c r="T1" s="41" t="s">
        <v>405</v>
      </c>
      <c r="U1" s="41" t="s">
        <v>406</v>
      </c>
      <c r="V1" s="41" t="s">
        <v>407</v>
      </c>
      <c r="W1" s="41" t="s">
        <v>408</v>
      </c>
      <c r="X1" s="41" t="s">
        <v>409</v>
      </c>
      <c r="Y1" s="41" t="s">
        <v>410</v>
      </c>
      <c r="Z1" s="41" t="s">
        <v>411</v>
      </c>
      <c r="AA1" s="41" t="s">
        <v>412</v>
      </c>
      <c r="AB1" s="41" t="s">
        <v>413</v>
      </c>
      <c r="AC1" s="41" t="s">
        <v>414</v>
      </c>
      <c r="AD1" s="41" t="s">
        <v>415</v>
      </c>
      <c r="AE1" s="41" t="s">
        <v>416</v>
      </c>
      <c r="AF1" s="41" t="s">
        <v>417</v>
      </c>
      <c r="AG1" s="41" t="s">
        <v>418</v>
      </c>
      <c r="AH1" s="41" t="s">
        <v>419</v>
      </c>
      <c r="AI1" s="41" t="s">
        <v>420</v>
      </c>
      <c r="AJ1" s="41" t="s">
        <v>421</v>
      </c>
      <c r="AK1" s="41" t="s">
        <v>422</v>
      </c>
      <c r="AL1" s="41" t="s">
        <v>423</v>
      </c>
      <c r="AM1" s="41" t="s">
        <v>424</v>
      </c>
      <c r="AN1" s="41" t="s">
        <v>425</v>
      </c>
      <c r="AO1" s="41" t="s">
        <v>426</v>
      </c>
      <c r="AP1" s="41" t="s">
        <v>427</v>
      </c>
    </row>
    <row r="2" spans="1:42">
      <c r="A2" s="42">
        <v>255001</v>
      </c>
      <c r="B2" s="43" t="s">
        <v>330</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331</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428</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429</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2021-09-07T03:24:29Z</dcterms:modified>
</cp:coreProperties>
</file>