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决算公开收取邮件SSN\北京市三帆中学决算公开报表\"/>
    </mc:Choice>
  </mc:AlternateContent>
  <workbookProtection lockStructure="1"/>
  <bookViews>
    <workbookView xWindow="-120" yWindow="-120" windowWidth="21840" windowHeight="131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59" i="5" l="1"/>
  <c r="F61" i="5"/>
  <c r="A3" i="6"/>
  <c r="D30" i="5" l="1"/>
  <c r="A32" i="6"/>
  <c r="G31" i="6"/>
  <c r="M30" i="6"/>
  <c r="C30" i="6"/>
  <c r="E28" i="6" l="1"/>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c r="C1411" i="10" s="1"/>
  <c r="E1410" i="10"/>
  <c r="D1410" i="10"/>
  <c r="C1410" i="10" s="1"/>
  <c r="E1409" i="10"/>
  <c r="D1409" i="10" s="1"/>
  <c r="C1409" i="10" s="1"/>
  <c r="E1408" i="10"/>
  <c r="D1408" i="10" s="1"/>
  <c r="C1408" i="10" s="1"/>
  <c r="E1407" i="10"/>
  <c r="D1407" i="10" s="1"/>
  <c r="C1407" i="10" s="1"/>
  <c r="E1406" i="10"/>
  <c r="D1406" i="10" s="1"/>
  <c r="C1406" i="10" s="1"/>
  <c r="E1405" i="10"/>
  <c r="D1405" i="10"/>
  <c r="C1405" i="10" s="1"/>
  <c r="E1404" i="10"/>
  <c r="D1404" i="10" s="1"/>
  <c r="C1404" i="10" s="1"/>
  <c r="E1403" i="10"/>
  <c r="D1403" i="10"/>
  <c r="C1403" i="10" s="1"/>
  <c r="E1402" i="10"/>
  <c r="D1402" i="10"/>
  <c r="C1402" i="10" s="1"/>
  <c r="E1401" i="10"/>
  <c r="D1401" i="10" s="1"/>
  <c r="C1401" i="10"/>
  <c r="E1400" i="10"/>
  <c r="D1400" i="10" s="1"/>
  <c r="C1400" i="10" s="1"/>
  <c r="E1399" i="10"/>
  <c r="D1399" i="10" s="1"/>
  <c r="C1399" i="10" s="1"/>
  <c r="E1398" i="10"/>
  <c r="D1398" i="10" s="1"/>
  <c r="C1398" i="10"/>
  <c r="E1397" i="10"/>
  <c r="D1397" i="10"/>
  <c r="C1397" i="10" s="1"/>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s="1"/>
  <c r="E1389" i="10"/>
  <c r="D1389" i="10"/>
  <c r="C1389" i="10" s="1"/>
  <c r="E1388" i="10"/>
  <c r="D1388" i="10" s="1"/>
  <c r="C1388" i="10" s="1"/>
  <c r="E1387" i="10"/>
  <c r="D1387" i="10" s="1"/>
  <c r="C1387" i="10" s="1"/>
  <c r="E1386" i="10"/>
  <c r="D1386" i="10"/>
  <c r="C1386" i="10" s="1"/>
  <c r="E1385" i="10"/>
  <c r="D1385" i="10" s="1"/>
  <c r="C1385" i="10"/>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C1374" i="10" s="1"/>
  <c r="E1373" i="10"/>
  <c r="D1373" i="10"/>
  <c r="C1373" i="10" s="1"/>
  <c r="E1372" i="10"/>
  <c r="D1372" i="10" s="1"/>
  <c r="C1372" i="10" s="1"/>
  <c r="E1371" i="10"/>
  <c r="D1371" i="10"/>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c r="C1355" i="10" s="1"/>
  <c r="E1354" i="10"/>
  <c r="D1354" i="10" s="1"/>
  <c r="C1354" i="10" s="1"/>
  <c r="E1353" i="10"/>
  <c r="D1353" i="10" s="1"/>
  <c r="C1353" i="10" s="1"/>
  <c r="E1352" i="10"/>
  <c r="D1352" i="10" s="1"/>
  <c r="C1352" i="10" s="1"/>
  <c r="E1351" i="10"/>
  <c r="D1351" i="10" s="1"/>
  <c r="C1351" i="10" s="1"/>
  <c r="E1350" i="10"/>
  <c r="D1350" i="10" s="1"/>
  <c r="C1350" i="10" s="1"/>
  <c r="E1349" i="10"/>
  <c r="D1349" i="10" s="1"/>
  <c r="C1349" i="10" s="1"/>
  <c r="E1348" i="10"/>
  <c r="D1348" i="10" s="1"/>
  <c r="C1348" i="10" s="1"/>
  <c r="E1347" i="10"/>
  <c r="D1347" i="10"/>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c r="C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c r="C1307" i="10" s="1"/>
  <c r="E1306" i="10"/>
  <c r="D1306" i="10" s="1"/>
  <c r="C1306" i="10" s="1"/>
  <c r="E1305" i="10"/>
  <c r="D1305" i="10"/>
  <c r="C1305" i="10" s="1"/>
  <c r="E1304" i="10"/>
  <c r="D1304" i="10" s="1"/>
  <c r="C1304" i="10" s="1"/>
  <c r="E1303" i="10"/>
  <c r="D1303" i="10" s="1"/>
  <c r="C1303" i="10" s="1"/>
  <c r="E1302" i="10"/>
  <c r="D1302" i="10" s="1"/>
  <c r="C1302" i="10" s="1"/>
  <c r="E1301" i="10"/>
  <c r="D1301" i="10" s="1"/>
  <c r="C1301" i="10" s="1"/>
  <c r="E1300" i="10"/>
  <c r="D1300" i="10" s="1"/>
  <c r="C1300" i="10" s="1"/>
  <c r="E1299" i="10"/>
  <c r="D1299" i="10"/>
  <c r="C1299" i="10" s="1"/>
  <c r="E1298" i="10"/>
  <c r="D1298" i="10" s="1"/>
  <c r="C1298" i="10" s="1"/>
  <c r="E1297" i="10"/>
  <c r="D1297" i="10"/>
  <c r="C1297" i="10" s="1"/>
  <c r="E1296" i="10"/>
  <c r="D1296" i="10" s="1"/>
  <c r="E1295" i="10"/>
  <c r="D1295" i="10" s="1"/>
  <c r="C1295" i="10" s="1"/>
  <c r="E1294" i="10"/>
  <c r="D1294" i="10" s="1"/>
  <c r="C1294" i="10" s="1"/>
  <c r="E1293" i="10"/>
  <c r="D1293" i="10" s="1"/>
  <c r="C1293" i="10" s="1"/>
  <c r="E1292" i="10"/>
  <c r="D1292" i="10" s="1"/>
  <c r="C1292" i="10" s="1"/>
  <c r="E1291" i="10"/>
  <c r="D1291" i="10"/>
  <c r="C1291" i="10" s="1"/>
  <c r="E1290" i="10"/>
  <c r="D1290" i="10" s="1"/>
  <c r="C1290" i="10" s="1"/>
  <c r="E1289" i="10"/>
  <c r="D1289" i="10"/>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c r="C1281" i="10" s="1"/>
  <c r="E1280" i="10"/>
  <c r="D1280" i="10" s="1"/>
  <c r="C1280" i="10" s="1"/>
  <c r="E1279" i="10"/>
  <c r="D1279" i="10" s="1"/>
  <c r="C1279" i="10" s="1"/>
  <c r="E1278" i="10"/>
  <c r="D1278" i="10" s="1"/>
  <c r="C1278" i="10" s="1"/>
  <c r="E1277" i="10"/>
  <c r="D1277" i="10" s="1"/>
  <c r="C1277" i="10" s="1"/>
  <c r="E1276" i="10"/>
  <c r="D1276" i="10" s="1"/>
  <c r="C1276" i="10" s="1"/>
  <c r="E1275" i="10"/>
  <c r="D1275" i="10"/>
  <c r="C1275" i="10" s="1"/>
  <c r="E1274" i="10"/>
  <c r="D1274" i="10" s="1"/>
  <c r="C1274" i="10" s="1"/>
  <c r="E1273" i="10"/>
  <c r="D1273" i="10"/>
  <c r="C1273" i="10" s="1"/>
  <c r="E1272" i="10"/>
  <c r="D1272" i="10" s="1"/>
  <c r="E1271" i="10"/>
  <c r="D1271" i="10" s="1"/>
  <c r="C1271" i="10" s="1"/>
  <c r="E1270" i="10"/>
  <c r="D1270" i="10" s="1"/>
  <c r="C1270" i="10" s="1"/>
  <c r="E1269" i="10"/>
  <c r="D1269" i="10" s="1"/>
  <c r="C1269" i="10" s="1"/>
  <c r="E1268" i="10"/>
  <c r="D1268" i="10" s="1"/>
  <c r="C1268" i="10" s="1"/>
  <c r="E1267" i="10"/>
  <c r="D1267" i="10"/>
  <c r="C1267" i="10" s="1"/>
  <c r="E1266" i="10"/>
  <c r="D1266" i="10" s="1"/>
  <c r="C1266" i="10" s="1"/>
  <c r="E1265" i="10"/>
  <c r="D1265" i="10"/>
  <c r="C1265" i="10" s="1"/>
  <c r="E1264" i="10"/>
  <c r="D1264" i="10" s="1"/>
  <c r="C1264" i="10" s="1"/>
  <c r="E1263" i="10"/>
  <c r="D1263" i="10" s="1"/>
  <c r="C1263" i="10" s="1"/>
  <c r="E1262" i="10"/>
  <c r="D1262" i="10" s="1"/>
  <c r="C1262" i="10" s="1"/>
  <c r="E1261" i="10"/>
  <c r="D1261" i="10" s="1"/>
  <c r="C1261" i="10" s="1"/>
  <c r="E1260" i="10"/>
  <c r="D1260" i="10" s="1"/>
  <c r="C1260" i="10" s="1"/>
  <c r="E1259" i="10"/>
  <c r="D1259" i="10"/>
  <c r="C1259" i="10" s="1"/>
  <c r="E1258" i="10"/>
  <c r="D1258" i="10" s="1"/>
  <c r="C1258" i="10" s="1"/>
  <c r="E1257" i="10"/>
  <c r="D1257" i="10"/>
  <c r="C1257" i="10" s="1"/>
  <c r="E1256" i="10"/>
  <c r="D1256" i="10" s="1"/>
  <c r="C1256" i="10" s="1"/>
  <c r="E1255" i="10"/>
  <c r="D1255" i="10" s="1"/>
  <c r="C1255" i="10" s="1"/>
  <c r="E1254" i="10"/>
  <c r="D1254" i="10" s="1"/>
  <c r="C1254" i="10" s="1"/>
  <c r="E1253" i="10"/>
  <c r="D1253" i="10" s="1"/>
  <c r="C1253" i="10" s="1"/>
  <c r="E1252" i="10"/>
  <c r="D1252" i="10" s="1"/>
  <c r="C1252" i="10" s="1"/>
  <c r="E1251" i="10"/>
  <c r="D1251" i="10"/>
  <c r="C1251" i="10" s="1"/>
  <c r="E1250" i="10"/>
  <c r="D1250" i="10" s="1"/>
  <c r="C1250" i="10" s="1"/>
  <c r="E1249" i="10"/>
  <c r="D1249" i="10"/>
  <c r="C1249" i="10" s="1"/>
  <c r="E1248" i="10"/>
  <c r="D1248" i="10" s="1"/>
  <c r="C1248" i="10" s="1"/>
  <c r="E1247" i="10"/>
  <c r="D1247" i="10" s="1"/>
  <c r="C1247" i="10" s="1"/>
  <c r="E1246" i="10"/>
  <c r="D1246" i="10" s="1"/>
  <c r="C1246" i="10" s="1"/>
  <c r="E1245" i="10"/>
  <c r="D1245" i="10" s="1"/>
  <c r="C1245" i="10" s="1"/>
  <c r="E1244" i="10"/>
  <c r="D1244" i="10" s="1"/>
  <c r="C1244" i="10" s="1"/>
  <c r="E1243" i="10"/>
  <c r="D1243" i="10"/>
  <c r="C1243" i="10" s="1"/>
  <c r="E1242" i="10"/>
  <c r="D1242" i="10" s="1"/>
  <c r="C1242" i="10" s="1"/>
  <c r="E1241" i="10"/>
  <c r="D1241" i="10" s="1"/>
  <c r="C1241" i="10" s="1"/>
  <c r="E1240" i="10"/>
  <c r="D1240" i="10" s="1"/>
  <c r="C1240" i="10" s="1"/>
  <c r="E1239" i="10"/>
  <c r="D1239" i="10" s="1"/>
  <c r="C1239" i="10" s="1"/>
  <c r="E1238" i="10"/>
  <c r="D1238" i="10"/>
  <c r="C1238" i="10"/>
  <c r="E1237" i="10"/>
  <c r="D1237" i="10" s="1"/>
  <c r="C1237" i="10" s="1"/>
  <c r="E1236" i="10"/>
  <c r="D1236" i="10" s="1"/>
  <c r="C1236" i="10" s="1"/>
  <c r="E1235" i="10"/>
  <c r="D1235" i="10" s="1"/>
  <c r="C1235" i="10" s="1"/>
  <c r="E1234" i="10"/>
  <c r="D1234" i="10" s="1"/>
  <c r="C1234" i="10" s="1"/>
  <c r="E1233" i="10"/>
  <c r="D1233" i="10" s="1"/>
  <c r="C1233" i="10" s="1"/>
  <c r="E1232" i="10"/>
  <c r="D1232" i="10" s="1"/>
  <c r="C1232" i="10" s="1"/>
  <c r="E1231" i="10"/>
  <c r="D1231" i="10"/>
  <c r="C1231" i="10" s="1"/>
  <c r="E1230" i="10"/>
  <c r="D1230" i="10" s="1"/>
  <c r="C1230" i="10" s="1"/>
  <c r="E1229" i="10"/>
  <c r="D1229" i="10"/>
  <c r="C1229" i="10" s="1"/>
  <c r="E1228" i="10"/>
  <c r="D1228" i="10" s="1"/>
  <c r="C1228" i="10" s="1"/>
  <c r="E1227" i="10"/>
  <c r="D1227" i="10" s="1"/>
  <c r="C1227" i="10" s="1"/>
  <c r="E1226" i="10"/>
  <c r="D1226" i="10" s="1"/>
  <c r="C1226" i="10" s="1"/>
  <c r="E1225" i="10"/>
  <c r="D1225" i="10" s="1"/>
  <c r="C1225" i="10" s="1"/>
  <c r="E1224" i="10"/>
  <c r="D1224" i="10" s="1"/>
  <c r="C1224" i="10" s="1"/>
  <c r="E1223" i="10"/>
  <c r="D1223" i="10"/>
  <c r="C1223" i="10" s="1"/>
  <c r="E1222" i="10"/>
  <c r="D1222" i="10" s="1"/>
  <c r="E1221" i="10"/>
  <c r="D1221" i="10"/>
  <c r="C1221" i="10" s="1"/>
  <c r="E1220" i="10"/>
  <c r="D1220" i="10" s="1"/>
  <c r="C1220" i="10" s="1"/>
  <c r="E1219" i="10"/>
  <c r="D1219" i="10" s="1"/>
  <c r="C1219" i="10" s="1"/>
  <c r="E1218" i="10"/>
  <c r="D1218" i="10" s="1"/>
  <c r="C1218" i="10" s="1"/>
  <c r="E1217" i="10"/>
  <c r="D1217" i="10" s="1"/>
  <c r="C1217" i="10" s="1"/>
  <c r="E1216" i="10"/>
  <c r="D1216" i="10" s="1"/>
  <c r="C1216" i="10" s="1"/>
  <c r="E1215" i="10"/>
  <c r="D1215" i="10"/>
  <c r="C1215" i="10" s="1"/>
  <c r="E1214" i="10"/>
  <c r="D1214" i="10" s="1"/>
  <c r="C1214" i="10" s="1"/>
  <c r="E1213" i="10"/>
  <c r="D1213" i="10"/>
  <c r="C1213" i="10" s="1"/>
  <c r="E1212" i="10"/>
  <c r="D1212" i="10" s="1"/>
  <c r="C1212" i="10" s="1"/>
  <c r="E1211" i="10"/>
  <c r="D1211" i="10" s="1"/>
  <c r="C1211" i="10" s="1"/>
  <c r="E1210" i="10"/>
  <c r="D1210" i="10" s="1"/>
  <c r="E1209" i="10"/>
  <c r="D1209" i="10" s="1"/>
  <c r="C1209" i="10" s="1"/>
  <c r="E1208" i="10"/>
  <c r="D1208" i="10" s="1"/>
  <c r="C1208" i="10" s="1"/>
  <c r="E1207" i="10"/>
  <c r="D1207" i="10"/>
  <c r="C1207" i="10" s="1"/>
  <c r="E1206" i="10"/>
  <c r="D1206" i="10" s="1"/>
  <c r="C1206" i="10" s="1"/>
  <c r="E1205" i="10"/>
  <c r="D1205" i="10"/>
  <c r="C1205" i="10" s="1"/>
  <c r="E1204" i="10"/>
  <c r="D1204" i="10" s="1"/>
  <c r="C1204" i="10" s="1"/>
  <c r="E1203" i="10"/>
  <c r="D1203" i="10" s="1"/>
  <c r="C1203" i="10" s="1"/>
  <c r="E1202" i="10"/>
  <c r="D1202" i="10" s="1"/>
  <c r="C1202" i="10" s="1"/>
  <c r="E1201" i="10"/>
  <c r="D1201" i="10" s="1"/>
  <c r="C1201" i="10" s="1"/>
  <c r="E1200" i="10"/>
  <c r="D1200" i="10" s="1"/>
  <c r="C1200" i="10" s="1"/>
  <c r="E1199" i="10"/>
  <c r="D1199" i="10"/>
  <c r="C1199" i="10" s="1"/>
  <c r="E1198" i="10"/>
  <c r="D1198" i="10" s="1"/>
  <c r="C1198" i="10" s="1"/>
  <c r="E1197" i="10"/>
  <c r="D1197" i="10"/>
  <c r="C1197" i="10" s="1"/>
  <c r="E1196" i="10"/>
  <c r="D1196" i="10" s="1"/>
  <c r="C1196" i="10" s="1"/>
  <c r="E1195" i="10"/>
  <c r="D1195" i="10" s="1"/>
  <c r="C1195" i="10" s="1"/>
  <c r="E1194" i="10"/>
  <c r="D1194" i="10"/>
  <c r="C1194" i="10" s="1"/>
  <c r="E1193" i="10"/>
  <c r="D1193" i="10"/>
  <c r="C1193" i="10"/>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E1183" i="10"/>
  <c r="D1183" i="10" s="1"/>
  <c r="C1183" i="10" s="1"/>
  <c r="E1182" i="10"/>
  <c r="D1182" i="10" s="1"/>
  <c r="C1182" i="10" s="1"/>
  <c r="E1181" i="10"/>
  <c r="D1181" i="10" s="1"/>
  <c r="C1181" i="10" s="1"/>
  <c r="E1180" i="10"/>
  <c r="D1180" i="10" s="1"/>
  <c r="C1180" i="10" s="1"/>
  <c r="E1179" i="10"/>
  <c r="D1179" i="10"/>
  <c r="C1179" i="10" s="1"/>
  <c r="E1178" i="10"/>
  <c r="D1178" i="10" s="1"/>
  <c r="C1178" i="10" s="1"/>
  <c r="E1177" i="10"/>
  <c r="D1177" i="10" s="1"/>
  <c r="C1177" i="10" s="1"/>
  <c r="E1176" i="10"/>
  <c r="D1176" i="10" s="1"/>
  <c r="C1176" i="10" s="1"/>
  <c r="E1175" i="10"/>
  <c r="D1175" i="10" s="1"/>
  <c r="C1175" i="10" s="1"/>
  <c r="E1174" i="10"/>
  <c r="D1174" i="10"/>
  <c r="C1174" i="10"/>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c r="C1167" i="10" s="1"/>
  <c r="E1166" i="10"/>
  <c r="D1166" i="10" s="1"/>
  <c r="C1166" i="10" s="1"/>
  <c r="E1165" i="10"/>
  <c r="D1165" i="10"/>
  <c r="C1165" i="10" s="1"/>
  <c r="E1164" i="10"/>
  <c r="D1164" i="10" s="1"/>
  <c r="C1164" i="10" s="1"/>
  <c r="E1163" i="10"/>
  <c r="D1163" i="10" s="1"/>
  <c r="C1163" i="10" s="1"/>
  <c r="E1162" i="10"/>
  <c r="D1162" i="10" s="1"/>
  <c r="C1162" i="10" s="1"/>
  <c r="E1161" i="10"/>
  <c r="D1161" i="10" s="1"/>
  <c r="C1161" i="10" s="1"/>
  <c r="E1160" i="10"/>
  <c r="D1160" i="10" s="1"/>
  <c r="C1160" i="10" s="1"/>
  <c r="E1159" i="10"/>
  <c r="D1159" i="10"/>
  <c r="C1159" i="10" s="1"/>
  <c r="E1158" i="10"/>
  <c r="D1158" i="10" s="1"/>
  <c r="C1158" i="10" s="1"/>
  <c r="E1157" i="10"/>
  <c r="D1157" i="10"/>
  <c r="C1157" i="10" s="1"/>
  <c r="E1156" i="10"/>
  <c r="D1156" i="10" s="1"/>
  <c r="C1156" i="10" s="1"/>
  <c r="E1155" i="10"/>
  <c r="D1155" i="10" s="1"/>
  <c r="C1155" i="10" s="1"/>
  <c r="E1154" i="10"/>
  <c r="D1154" i="10" s="1"/>
  <c r="C1154" i="10" s="1"/>
  <c r="E1153" i="10"/>
  <c r="D1153" i="10" s="1"/>
  <c r="C1153" i="10" s="1"/>
  <c r="E1152" i="10"/>
  <c r="D1152" i="10" s="1"/>
  <c r="C1152" i="10" s="1"/>
  <c r="E1151" i="10"/>
  <c r="D1151" i="10"/>
  <c r="C1151" i="10" s="1"/>
  <c r="E1150" i="10"/>
  <c r="D1150" i="10" s="1"/>
  <c r="C1150" i="10" s="1"/>
  <c r="E1149" i="10"/>
  <c r="D1149" i="10"/>
  <c r="C1149" i="10" s="1"/>
  <c r="E1148" i="10"/>
  <c r="D1148" i="10" s="1"/>
  <c r="C1148" i="10" s="1"/>
  <c r="E1147" i="10"/>
  <c r="D1147" i="10" s="1"/>
  <c r="C1147" i="10" s="1"/>
  <c r="E1146" i="10"/>
  <c r="D1146" i="10" s="1"/>
  <c r="E1145" i="10"/>
  <c r="D1145" i="10" s="1"/>
  <c r="C1145" i="10" s="1"/>
  <c r="E1144" i="10"/>
  <c r="D1144" i="10" s="1"/>
  <c r="C1144" i="10" s="1"/>
  <c r="E1143" i="10"/>
  <c r="D1143" i="10"/>
  <c r="C1143" i="10" s="1"/>
  <c r="E1142" i="10"/>
  <c r="D1142" i="10" s="1"/>
  <c r="C1142" i="10" s="1"/>
  <c r="E1141" i="10"/>
  <c r="D1141" i="10"/>
  <c r="C1141" i="10" s="1"/>
  <c r="E1140" i="10"/>
  <c r="D1140" i="10" s="1"/>
  <c r="C1140" i="10" s="1"/>
  <c r="E1139" i="10"/>
  <c r="D1139" i="10" s="1"/>
  <c r="C1139" i="10" s="1"/>
  <c r="E1138" i="10"/>
  <c r="D1138" i="10" s="1"/>
  <c r="C1138" i="10" s="1"/>
  <c r="E1137" i="10"/>
  <c r="D1137" i="10" s="1"/>
  <c r="C1137" i="10" s="1"/>
  <c r="E1136" i="10"/>
  <c r="D1136" i="10" s="1"/>
  <c r="E1135" i="10"/>
  <c r="D1135" i="10"/>
  <c r="C1135" i="10" s="1"/>
  <c r="E1134" i="10"/>
  <c r="D1134" i="10" s="1"/>
  <c r="C1134" i="10" s="1"/>
  <c r="E1133" i="10"/>
  <c r="D1133" i="10"/>
  <c r="C1133" i="10" s="1"/>
  <c r="E1132" i="10"/>
  <c r="D1132" i="10" s="1"/>
  <c r="C1132" i="10" s="1"/>
  <c r="E1131" i="10"/>
  <c r="D1131" i="10" s="1"/>
  <c r="C1131" i="10" s="1"/>
  <c r="E1130" i="10"/>
  <c r="D1130" i="10" s="1"/>
  <c r="C1130" i="10" s="1"/>
  <c r="E1129" i="10"/>
  <c r="D1129" i="10" s="1"/>
  <c r="C1129" i="10" s="1"/>
  <c r="E1128" i="10"/>
  <c r="D1128" i="10" s="1"/>
  <c r="C1128" i="10" s="1"/>
  <c r="E1127" i="10"/>
  <c r="D1127" i="10"/>
  <c r="C1127" i="10" s="1"/>
  <c r="E1126" i="10"/>
  <c r="D1126" i="10" s="1"/>
  <c r="C1126" i="10" s="1"/>
  <c r="E1125" i="10"/>
  <c r="D1125" i="10"/>
  <c r="C1125" i="10" s="1"/>
  <c r="E1124" i="10"/>
  <c r="D1124" i="10" s="1"/>
  <c r="C1124" i="10" s="1"/>
  <c r="E1123" i="10"/>
  <c r="D1123" i="10" s="1"/>
  <c r="C1123" i="10" s="1"/>
  <c r="E1122" i="10"/>
  <c r="D1122" i="10" s="1"/>
  <c r="E1121" i="10"/>
  <c r="D1121" i="10" s="1"/>
  <c r="C1121" i="10" s="1"/>
  <c r="E1120" i="10"/>
  <c r="D1120" i="10" s="1"/>
  <c r="C1120" i="10" s="1"/>
  <c r="E1119" i="10"/>
  <c r="D1119" i="10"/>
  <c r="C1119" i="10" s="1"/>
  <c r="E1118" i="10"/>
  <c r="D1118" i="10" s="1"/>
  <c r="C1118" i="10" s="1"/>
  <c r="E1117" i="10"/>
  <c r="D1117" i="10"/>
  <c r="C1117" i="10" s="1"/>
  <c r="E1116" i="10"/>
  <c r="D1116" i="10" s="1"/>
  <c r="C1116" i="10" s="1"/>
  <c r="E1115" i="10"/>
  <c r="D1115" i="10" s="1"/>
  <c r="C1115" i="10" s="1"/>
  <c r="E1114" i="10"/>
  <c r="D1114" i="10" s="1"/>
  <c r="C1114" i="10" s="1"/>
  <c r="E1113" i="10"/>
  <c r="D1113" i="10" s="1"/>
  <c r="C1113" i="10" s="1"/>
  <c r="E1112" i="10"/>
  <c r="D1112" i="10" s="1"/>
  <c r="C1112" i="10" s="1"/>
  <c r="E1111" i="10"/>
  <c r="D1111" i="10"/>
  <c r="C1111" i="10" s="1"/>
  <c r="E1110" i="10"/>
  <c r="D1110" i="10" s="1"/>
  <c r="C1110" i="10" s="1"/>
  <c r="E1109" i="10"/>
  <c r="D1109" i="10"/>
  <c r="C1109" i="10" s="1"/>
  <c r="E1108" i="10"/>
  <c r="D1108" i="10" s="1"/>
  <c r="C1108" i="10" s="1"/>
  <c r="E1107" i="10"/>
  <c r="D1107" i="10" s="1"/>
  <c r="C1107" i="10" s="1"/>
  <c r="E1106" i="10"/>
  <c r="D1106" i="10" s="1"/>
  <c r="C1106" i="10" s="1"/>
  <c r="E1105" i="10"/>
  <c r="D1105" i="10" s="1"/>
  <c r="C1105" i="10" s="1"/>
  <c r="E1104" i="10"/>
  <c r="D1104" i="10" s="1"/>
  <c r="C1104" i="10" s="1"/>
  <c r="E1103" i="10"/>
  <c r="D1103" i="10"/>
  <c r="C1103" i="10" s="1"/>
  <c r="E1102" i="10"/>
  <c r="D1102" i="10" s="1"/>
  <c r="C1102" i="10" s="1"/>
  <c r="E1101" i="10"/>
  <c r="D1101" i="10"/>
  <c r="C1101" i="10" s="1"/>
  <c r="E1100" i="10"/>
  <c r="D1100" i="10" s="1"/>
  <c r="C1100" i="10" s="1"/>
  <c r="E1099" i="10"/>
  <c r="D1099" i="10" s="1"/>
  <c r="C1099" i="10" s="1"/>
  <c r="E1098" i="10"/>
  <c r="D1098" i="10" s="1"/>
  <c r="C1098" i="10" s="1"/>
  <c r="E1097" i="10"/>
  <c r="D1097" i="10" s="1"/>
  <c r="C1097" i="10" s="1"/>
  <c r="E1096" i="10"/>
  <c r="D1096" i="10" s="1"/>
  <c r="C1096" i="10" s="1"/>
  <c r="E1095" i="10"/>
  <c r="D1095" i="10"/>
  <c r="C1095" i="10" s="1"/>
  <c r="E1094" i="10"/>
  <c r="D1094" i="10" s="1"/>
  <c r="C1094" i="10" s="1"/>
  <c r="E1093" i="10"/>
  <c r="D1093" i="10"/>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C1086" i="10" s="1"/>
  <c r="E1085" i="10"/>
  <c r="D1085" i="10"/>
  <c r="C1085" i="10" s="1"/>
  <c r="E1084" i="10"/>
  <c r="D1084" i="10" s="1"/>
  <c r="C1084" i="10" s="1"/>
  <c r="E1083" i="10"/>
  <c r="D1083" i="10" s="1"/>
  <c r="C1083" i="10" s="1"/>
  <c r="E1082" i="10"/>
  <c r="D1082" i="10" s="1"/>
  <c r="C1082" i="10" s="1"/>
  <c r="E1081" i="10"/>
  <c r="D1081" i="10" s="1"/>
  <c r="C1081" i="10" s="1"/>
  <c r="E1080" i="10"/>
  <c r="D1080" i="10" s="1"/>
  <c r="C1080" i="10" s="1"/>
  <c r="E1079" i="10"/>
  <c r="D1079" i="10"/>
  <c r="C1079" i="10" s="1"/>
  <c r="E1078" i="10"/>
  <c r="D1078" i="10" s="1"/>
  <c r="C1078" i="10" s="1"/>
  <c r="E1077" i="10"/>
  <c r="D1077" i="10"/>
  <c r="C1077" i="10" s="1"/>
  <c r="E1076" i="10"/>
  <c r="D1076" i="10" s="1"/>
  <c r="C1076" i="10" s="1"/>
  <c r="E1075" i="10"/>
  <c r="D1075" i="10" s="1"/>
  <c r="C1075" i="10" s="1"/>
  <c r="E1074" i="10"/>
  <c r="D1074" i="10" s="1"/>
  <c r="C1074" i="10" s="1"/>
  <c r="E1073" i="10"/>
  <c r="D1073" i="10" s="1"/>
  <c r="C1073" i="10" s="1"/>
  <c r="E1072" i="10"/>
  <c r="D1072" i="10" s="1"/>
  <c r="E1071" i="10"/>
  <c r="D1071" i="10"/>
  <c r="C1071" i="10" s="1"/>
  <c r="E1070" i="10"/>
  <c r="D1070" i="10" s="1"/>
  <c r="C1070" i="10" s="1"/>
  <c r="E1069" i="10"/>
  <c r="D1069" i="10"/>
  <c r="C1069" i="10" s="1"/>
  <c r="E1068" i="10"/>
  <c r="D1068" i="10" s="1"/>
  <c r="C1068" i="10" s="1"/>
  <c r="E1067" i="10"/>
  <c r="D1067" i="10" s="1"/>
  <c r="C1067" i="10" s="1"/>
  <c r="E1066" i="10"/>
  <c r="D1066" i="10" s="1"/>
  <c r="C1066" i="10" s="1"/>
  <c r="E1065" i="10"/>
  <c r="D1065" i="10" s="1"/>
  <c r="C1065" i="10" s="1"/>
  <c r="E1064" i="10"/>
  <c r="D1064" i="10" s="1"/>
  <c r="C1064" i="10" s="1"/>
  <c r="E1063" i="10"/>
  <c r="D1063" i="10"/>
  <c r="C1063" i="10" s="1"/>
  <c r="E1062" i="10"/>
  <c r="D1062" i="10" s="1"/>
  <c r="C1062" i="10" s="1"/>
  <c r="E1061" i="10"/>
  <c r="D1061" i="10"/>
  <c r="C1061" i="10" s="1"/>
  <c r="E1060" i="10"/>
  <c r="D1060" i="10" s="1"/>
  <c r="C1060" i="10" s="1"/>
  <c r="E1059" i="10"/>
  <c r="D1059" i="10" s="1"/>
  <c r="C1059" i="10" s="1"/>
  <c r="E1058" i="10"/>
  <c r="D1058" i="10" s="1"/>
  <c r="C1058" i="10" s="1"/>
  <c r="E1057" i="10"/>
  <c r="D1057" i="10" s="1"/>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E1049" i="10"/>
  <c r="D1049" i="10" s="1"/>
  <c r="C1049" i="10" s="1"/>
  <c r="E1048" i="10"/>
  <c r="D1048" i="10" s="1"/>
  <c r="C1048" i="10" s="1"/>
  <c r="E1047" i="10"/>
  <c r="D1047" i="10"/>
  <c r="C1047" i="10" s="1"/>
  <c r="E1046" i="10"/>
  <c r="D1046" i="10" s="1"/>
  <c r="C1046" i="10" s="1"/>
  <c r="E1045" i="10"/>
  <c r="D1045" i="10"/>
  <c r="C1045" i="10" s="1"/>
  <c r="E1044" i="10"/>
  <c r="D1044" i="10" s="1"/>
  <c r="C1044" i="10" s="1"/>
  <c r="E1043" i="10"/>
  <c r="D1043" i="10" s="1"/>
  <c r="C1043" i="10" s="1"/>
  <c r="E1042" i="10"/>
  <c r="D1042" i="10" s="1"/>
  <c r="C1042" i="10" s="1"/>
  <c r="E1041" i="10"/>
  <c r="D1041" i="10" s="1"/>
  <c r="C1041" i="10" s="1"/>
  <c r="E1040" i="10"/>
  <c r="D1040" i="10" s="1"/>
  <c r="C1040" i="10" s="1"/>
  <c r="E1039" i="10"/>
  <c r="D1039" i="10"/>
  <c r="C1039" i="10" s="1"/>
  <c r="E1038" i="10"/>
  <c r="D1038" i="10" s="1"/>
  <c r="E1037" i="10"/>
  <c r="D1037" i="10"/>
  <c r="C1037" i="10" s="1"/>
  <c r="E1036" i="10"/>
  <c r="D1036" i="10" s="1"/>
  <c r="C1036" i="10" s="1"/>
  <c r="E1035" i="10"/>
  <c r="D1035" i="10" s="1"/>
  <c r="C1035" i="10" s="1"/>
  <c r="E1034" i="10"/>
  <c r="D1034" i="10" s="1"/>
  <c r="C1034" i="10" s="1"/>
  <c r="E1033" i="10"/>
  <c r="D1033" i="10" s="1"/>
  <c r="C1033" i="10" s="1"/>
  <c r="E1032" i="10"/>
  <c r="D1032" i="10" s="1"/>
  <c r="C1032" i="10" s="1"/>
  <c r="E1031" i="10"/>
  <c r="D1031" i="10"/>
  <c r="C1031" i="10" s="1"/>
  <c r="E1030" i="10"/>
  <c r="D1030" i="10" s="1"/>
  <c r="C1030" i="10" s="1"/>
  <c r="E1029" i="10"/>
  <c r="D1029" i="10" s="1"/>
  <c r="C1029" i="10" s="1"/>
  <c r="E1028" i="10"/>
  <c r="D1028" i="10" s="1"/>
  <c r="E1027" i="10"/>
  <c r="D1027" i="10" s="1"/>
  <c r="C1027" i="10" s="1"/>
  <c r="E1026" i="10"/>
  <c r="D1026" i="10"/>
  <c r="C1026" i="10"/>
  <c r="E1025" i="10"/>
  <c r="D1025" i="10" s="1"/>
  <c r="C1025" i="10" s="1"/>
  <c r="E1024" i="10"/>
  <c r="D1024" i="10" s="1"/>
  <c r="C1024" i="10" s="1"/>
  <c r="E1023" i="10"/>
  <c r="D1023" i="10" s="1"/>
  <c r="C1023" i="10" s="1"/>
  <c r="E1022" i="10"/>
  <c r="D1022" i="10"/>
  <c r="C1022" i="10" s="1"/>
  <c r="E1021" i="10"/>
  <c r="D1021" i="10"/>
  <c r="C1021" i="10"/>
  <c r="E1020" i="10"/>
  <c r="D1020" i="10" s="1"/>
  <c r="C1020" i="10" s="1"/>
  <c r="E1019" i="10"/>
  <c r="D1019" i="10"/>
  <c r="C1019" i="10" s="1"/>
  <c r="E1018" i="10"/>
  <c r="D1018" i="10" s="1"/>
  <c r="C1018" i="10" s="1"/>
  <c r="E1017" i="10"/>
  <c r="D1017" i="10" s="1"/>
  <c r="C1017" i="10" s="1"/>
  <c r="E1016" i="10"/>
  <c r="D1016" i="10" s="1"/>
  <c r="C1016" i="10" s="1"/>
  <c r="E1015" i="10"/>
  <c r="D1015" i="10" s="1"/>
  <c r="C1015" i="10" s="1"/>
  <c r="E1014" i="10"/>
  <c r="D1014" i="10" s="1"/>
  <c r="C1014" i="10" s="1"/>
  <c r="E1013" i="10"/>
  <c r="D1013" i="10"/>
  <c r="C1013" i="10" s="1"/>
  <c r="E1012" i="10"/>
  <c r="D1012" i="10" s="1"/>
  <c r="C1012" i="10" s="1"/>
  <c r="E1011" i="10"/>
  <c r="D1011" i="10"/>
  <c r="C1011" i="10" s="1"/>
  <c r="E1010" i="10"/>
  <c r="D1010" i="10" s="1"/>
  <c r="C1010" i="10" s="1"/>
  <c r="E1009" i="10"/>
  <c r="D1009" i="10" s="1"/>
  <c r="C1009" i="10" s="1"/>
  <c r="E1008" i="10"/>
  <c r="D1008" i="10" s="1"/>
  <c r="C1008" i="10" s="1"/>
  <c r="E1007" i="10"/>
  <c r="D1007" i="10" s="1"/>
  <c r="C1007" i="10" s="1"/>
  <c r="E1006" i="10"/>
  <c r="D1006" i="10" s="1"/>
  <c r="C1006" i="10" s="1"/>
  <c r="E1005" i="10"/>
  <c r="D1005" i="10"/>
  <c r="C1005" i="10" s="1"/>
  <c r="E1004" i="10"/>
  <c r="D1004" i="10" s="1"/>
  <c r="C1004" i="10" s="1"/>
  <c r="E1003" i="10"/>
  <c r="D1003" i="10"/>
  <c r="C1003" i="10" s="1"/>
  <c r="E1002" i="10"/>
  <c r="D1002" i="10" s="1"/>
  <c r="C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c r="C989" i="10" s="1"/>
  <c r="E988" i="10"/>
  <c r="D988" i="10" s="1"/>
  <c r="C988" i="10" s="1"/>
  <c r="E987" i="10"/>
  <c r="D987" i="10"/>
  <c r="C987" i="10" s="1"/>
  <c r="E986" i="10"/>
  <c r="D986" i="10" s="1"/>
  <c r="C986" i="10" s="1"/>
  <c r="E985" i="10"/>
  <c r="D985" i="10" s="1"/>
  <c r="C985" i="10" s="1"/>
  <c r="E984" i="10"/>
  <c r="D984" i="10" s="1"/>
  <c r="C984" i="10" s="1"/>
  <c r="E983" i="10"/>
  <c r="D983" i="10" s="1"/>
  <c r="C983" i="10" s="1"/>
  <c r="E982" i="10"/>
  <c r="D982" i="10" s="1"/>
  <c r="E981" i="10"/>
  <c r="D981" i="10"/>
  <c r="C981" i="10" s="1"/>
  <c r="E980" i="10"/>
  <c r="D980" i="10" s="1"/>
  <c r="C980" i="10" s="1"/>
  <c r="E979" i="10"/>
  <c r="D979" i="10"/>
  <c r="C979" i="10" s="1"/>
  <c r="E978" i="10"/>
  <c r="D978" i="10" s="1"/>
  <c r="C978" i="10" s="1"/>
  <c r="E977" i="10"/>
  <c r="D977" i="10" s="1"/>
  <c r="C977" i="10" s="1"/>
  <c r="E976" i="10"/>
  <c r="D976" i="10" s="1"/>
  <c r="C976" i="10" s="1"/>
  <c r="E975" i="10"/>
  <c r="D975" i="10" s="1"/>
  <c r="C975" i="10" s="1"/>
  <c r="E974" i="10"/>
  <c r="D974" i="10" s="1"/>
  <c r="C974" i="10" s="1"/>
  <c r="E973" i="10"/>
  <c r="D973" i="10"/>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s="1"/>
  <c r="C903" i="10" s="1"/>
  <c r="E902" i="10"/>
  <c r="D902" i="10" s="1"/>
  <c r="C902" i="10" s="1"/>
  <c r="E901" i="10"/>
  <c r="D901" i="10" s="1"/>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c r="C890" i="10" s="1"/>
  <c r="E889" i="10"/>
  <c r="D889" i="10" s="1"/>
  <c r="C889" i="10"/>
  <c r="E888" i="10"/>
  <c r="D888" i="10" s="1"/>
  <c r="E887" i="10"/>
  <c r="D887" i="10" s="1"/>
  <c r="C887" i="10" s="1"/>
  <c r="E886" i="10"/>
  <c r="D886" i="10" s="1"/>
  <c r="C886" i="10" s="1"/>
  <c r="E885" i="10"/>
  <c r="D885" i="10"/>
  <c r="C885" i="10" s="1"/>
  <c r="E884" i="10"/>
  <c r="D884" i="10" s="1"/>
  <c r="C884" i="10" s="1"/>
  <c r="E883" i="10"/>
  <c r="D883" i="10"/>
  <c r="C883" i="10" s="1"/>
  <c r="E882" i="10"/>
  <c r="D882" i="10"/>
  <c r="C882" i="10" s="1"/>
  <c r="E881" i="10"/>
  <c r="D881" i="10"/>
  <c r="C881" i="10" s="1"/>
  <c r="E880" i="10"/>
  <c r="D880" i="10" s="1"/>
  <c r="C880" i="10" s="1"/>
  <c r="E879" i="10"/>
  <c r="D879" i="10"/>
  <c r="C879" i="10" s="1"/>
  <c r="E878" i="10"/>
  <c r="D878" i="10" s="1"/>
  <c r="C878" i="10"/>
  <c r="E877" i="10"/>
  <c r="D877" i="10"/>
  <c r="C877" i="10" s="1"/>
  <c r="E876" i="10"/>
  <c r="D876" i="10" s="1"/>
  <c r="E875" i="10"/>
  <c r="D875" i="10" s="1"/>
  <c r="C875" i="10" s="1"/>
  <c r="E874" i="10"/>
  <c r="D874" i="10"/>
  <c r="C874" i="10"/>
  <c r="E873" i="10"/>
  <c r="D873" i="10" s="1"/>
  <c r="C873" i="10"/>
  <c r="E872" i="10"/>
  <c r="D872" i="10" s="1"/>
  <c r="C872" i="10" s="1"/>
  <c r="E871" i="10"/>
  <c r="D871" i="10" s="1"/>
  <c r="C871" i="10" s="1"/>
  <c r="E870" i="10"/>
  <c r="D870" i="10"/>
  <c r="C870" i="10"/>
  <c r="E869" i="10"/>
  <c r="D869" i="10" s="1"/>
  <c r="C869" i="10" s="1"/>
  <c r="E868" i="10"/>
  <c r="D868" i="10" s="1"/>
  <c r="C868" i="10" s="1"/>
  <c r="E867" i="10"/>
  <c r="D867" i="10" s="1"/>
  <c r="C867" i="10" s="1"/>
  <c r="E866" i="10"/>
  <c r="D866" i="10"/>
  <c r="C866" i="10"/>
  <c r="E865" i="10"/>
  <c r="D865" i="10"/>
  <c r="C865" i="10"/>
  <c r="E864" i="10"/>
  <c r="D864" i="10" s="1"/>
  <c r="C864" i="10" s="1"/>
  <c r="E863" i="10"/>
  <c r="D863" i="10"/>
  <c r="C863" i="10" s="1"/>
  <c r="E862" i="10"/>
  <c r="D862" i="10"/>
  <c r="C862" i="10" s="1"/>
  <c r="E861" i="10"/>
  <c r="D861" i="10"/>
  <c r="C861" i="10"/>
  <c r="E860" i="10"/>
  <c r="D860" i="10" s="1"/>
  <c r="C860" i="10" s="1"/>
  <c r="E859" i="10"/>
  <c r="D859" i="10" s="1"/>
  <c r="C859" i="10" s="1"/>
  <c r="E858" i="10"/>
  <c r="D858" i="10" s="1"/>
  <c r="C858" i="10" s="1"/>
  <c r="E857" i="10"/>
  <c r="D857" i="10"/>
  <c r="C857" i="10" s="1"/>
  <c r="E856" i="10"/>
  <c r="D856" i="10" s="1"/>
  <c r="C856" i="10" s="1"/>
  <c r="E855" i="10"/>
  <c r="D855" i="10"/>
  <c r="C855" i="10" s="1"/>
  <c r="E854" i="10"/>
  <c r="D854" i="10"/>
  <c r="C854" i="10"/>
  <c r="E853" i="10"/>
  <c r="D853" i="10" s="1"/>
  <c r="C853" i="10" s="1"/>
  <c r="E852" i="10"/>
  <c r="D852" i="10" s="1"/>
  <c r="C852" i="10" s="1"/>
  <c r="E851" i="10"/>
  <c r="D851" i="10" s="1"/>
  <c r="C851" i="10" s="1"/>
  <c r="E850" i="10"/>
  <c r="D850" i="10"/>
  <c r="C850" i="10"/>
  <c r="E849" i="10"/>
  <c r="D849" i="10"/>
  <c r="C849" i="10"/>
  <c r="E848" i="10"/>
  <c r="D848" i="10" s="1"/>
  <c r="C848" i="10" s="1"/>
  <c r="E847" i="10"/>
  <c r="D847" i="10"/>
  <c r="C847" i="10" s="1"/>
  <c r="E846" i="10"/>
  <c r="D846" i="10"/>
  <c r="C846" i="10" s="1"/>
  <c r="E845" i="10"/>
  <c r="D845" i="10"/>
  <c r="C845" i="10"/>
  <c r="E844" i="10"/>
  <c r="D844" i="10" s="1"/>
  <c r="C844" i="10" s="1"/>
  <c r="E843" i="10"/>
  <c r="D843" i="10"/>
  <c r="C843" i="10" s="1"/>
  <c r="E842" i="10"/>
  <c r="D842" i="10" s="1"/>
  <c r="C842" i="10" s="1"/>
  <c r="E841" i="10"/>
  <c r="D841" i="10"/>
  <c r="C841" i="10" s="1"/>
  <c r="E840" i="10"/>
  <c r="D840" i="10" s="1"/>
  <c r="C840" i="10" s="1"/>
  <c r="E839" i="10"/>
  <c r="D839" i="10"/>
  <c r="C839" i="10" s="1"/>
  <c r="E838" i="10"/>
  <c r="D838" i="10"/>
  <c r="C838" i="10"/>
  <c r="E837" i="10"/>
  <c r="D837" i="10" s="1"/>
  <c r="C837" i="10" s="1"/>
  <c r="E836" i="10"/>
  <c r="D836" i="10" s="1"/>
  <c r="C836" i="10" s="1"/>
  <c r="E835" i="10"/>
  <c r="D835" i="10" s="1"/>
  <c r="C835" i="10" s="1"/>
  <c r="E834" i="10"/>
  <c r="D834" i="10"/>
  <c r="C834" i="10"/>
  <c r="E833" i="10"/>
  <c r="D833" i="10"/>
  <c r="C833" i="10"/>
  <c r="E832" i="10"/>
  <c r="D832" i="10" s="1"/>
  <c r="C832" i="10" s="1"/>
  <c r="E831" i="10"/>
  <c r="D831" i="10"/>
  <c r="C831" i="10" s="1"/>
  <c r="E830" i="10"/>
  <c r="D830" i="10"/>
  <c r="C830" i="10" s="1"/>
  <c r="E829" i="10"/>
  <c r="D829" i="10"/>
  <c r="C829" i="10"/>
  <c r="E828" i="10"/>
  <c r="D828" i="10" s="1"/>
  <c r="C828" i="10" s="1"/>
  <c r="E827" i="10"/>
  <c r="D827" i="10"/>
  <c r="C827" i="10" s="1"/>
  <c r="E826" i="10"/>
  <c r="D826" i="10" s="1"/>
  <c r="C826" i="10" s="1"/>
  <c r="E825" i="10"/>
  <c r="D825" i="10"/>
  <c r="C825" i="10" s="1"/>
  <c r="E824" i="10"/>
  <c r="D824" i="10" s="1"/>
  <c r="C824" i="10" s="1"/>
  <c r="E823" i="10"/>
  <c r="D823" i="10"/>
  <c r="C823" i="10" s="1"/>
  <c r="E822" i="10"/>
  <c r="D822" i="10"/>
  <c r="C822" i="10"/>
  <c r="E821" i="10"/>
  <c r="D821" i="10" s="1"/>
  <c r="C821" i="10" s="1"/>
  <c r="E820" i="10"/>
  <c r="D820" i="10" s="1"/>
  <c r="C820" i="10" s="1"/>
  <c r="E819" i="10"/>
  <c r="D819" i="10" s="1"/>
  <c r="C819" i="10" s="1"/>
  <c r="E818" i="10"/>
  <c r="D818" i="10"/>
  <c r="C818" i="10"/>
  <c r="E817" i="10"/>
  <c r="D817" i="10"/>
  <c r="C817" i="10"/>
  <c r="E816" i="10"/>
  <c r="D816" i="10" s="1"/>
  <c r="C816" i="10" s="1"/>
  <c r="E815" i="10"/>
  <c r="D815" i="10"/>
  <c r="C815" i="10" s="1"/>
  <c r="E814" i="10"/>
  <c r="D814" i="10"/>
  <c r="C814" i="10" s="1"/>
  <c r="E813" i="10"/>
  <c r="D813" i="10"/>
  <c r="C813" i="10"/>
  <c r="E812" i="10"/>
  <c r="D812" i="10" s="1"/>
  <c r="C812" i="10" s="1"/>
  <c r="E811" i="10"/>
  <c r="D811" i="10"/>
  <c r="C811" i="10" s="1"/>
  <c r="E810" i="10"/>
  <c r="D810" i="10" s="1"/>
  <c r="C810" i="10" s="1"/>
  <c r="E809" i="10"/>
  <c r="D809" i="10"/>
  <c r="C809" i="10" s="1"/>
  <c r="E808" i="10"/>
  <c r="D808" i="10" s="1"/>
  <c r="C808" i="10" s="1"/>
  <c r="E807" i="10"/>
  <c r="D807" i="10"/>
  <c r="C807" i="10" s="1"/>
  <c r="E806" i="10"/>
  <c r="D806" i="10"/>
  <c r="C806" i="10"/>
  <c r="E805" i="10"/>
  <c r="D805" i="10" s="1"/>
  <c r="C805" i="10" s="1"/>
  <c r="E804" i="10"/>
  <c r="D804" i="10" s="1"/>
  <c r="C804" i="10" s="1"/>
  <c r="E803" i="10"/>
  <c r="D803" i="10" s="1"/>
  <c r="C803" i="10" s="1"/>
  <c r="E802" i="10"/>
  <c r="D802" i="10"/>
  <c r="C802" i="10"/>
  <c r="E801" i="10"/>
  <c r="D801" i="10"/>
  <c r="C801" i="10"/>
  <c r="E800" i="10"/>
  <c r="D800" i="10" s="1"/>
  <c r="C800" i="10" s="1"/>
  <c r="E799" i="10"/>
  <c r="D799" i="10"/>
  <c r="C799" i="10" s="1"/>
  <c r="E798" i="10"/>
  <c r="D798" i="10"/>
  <c r="C798" i="10" s="1"/>
  <c r="E797" i="10"/>
  <c r="D797" i="10"/>
  <c r="C797" i="10"/>
  <c r="E796" i="10"/>
  <c r="D796" i="10" s="1"/>
  <c r="C796" i="10" s="1"/>
  <c r="E795" i="10"/>
  <c r="D795" i="10"/>
  <c r="C795" i="10" s="1"/>
  <c r="E794" i="10"/>
  <c r="D794" i="10" s="1"/>
  <c r="C794" i="10" s="1"/>
  <c r="E793" i="10"/>
  <c r="D793" i="10"/>
  <c r="C793" i="10" s="1"/>
  <c r="E792" i="10"/>
  <c r="D792" i="10" s="1"/>
  <c r="E791" i="10"/>
  <c r="D791" i="10"/>
  <c r="C791" i="10" s="1"/>
  <c r="E790" i="10"/>
  <c r="D790" i="10"/>
  <c r="C790" i="10"/>
  <c r="E789" i="10"/>
  <c r="D789" i="10" s="1"/>
  <c r="C789" i="10" s="1"/>
  <c r="E788" i="10"/>
  <c r="D788" i="10" s="1"/>
  <c r="C788" i="10" s="1"/>
  <c r="E787" i="10"/>
  <c r="D787" i="10" s="1"/>
  <c r="C787" i="10" s="1"/>
  <c r="E786" i="10"/>
  <c r="D786" i="10"/>
  <c r="C786" i="10"/>
  <c r="E785" i="10"/>
  <c r="D785" i="10"/>
  <c r="C785" i="10"/>
  <c r="E784" i="10"/>
  <c r="D784" i="10" s="1"/>
  <c r="C784" i="10" s="1"/>
  <c r="E783" i="10"/>
  <c r="D783" i="10" s="1"/>
  <c r="C783" i="10" s="1"/>
  <c r="E782" i="10"/>
  <c r="D782" i="10"/>
  <c r="C782" i="10" s="1"/>
  <c r="E781" i="10"/>
  <c r="D781" i="10"/>
  <c r="C781" i="10"/>
  <c r="E780" i="10"/>
  <c r="D780" i="10" s="1"/>
  <c r="C780" i="10" s="1"/>
  <c r="E779" i="10"/>
  <c r="D779" i="10"/>
  <c r="C779" i="10" s="1"/>
  <c r="E778" i="10"/>
  <c r="D778" i="10" s="1"/>
  <c r="C778" i="10" s="1"/>
  <c r="E777" i="10"/>
  <c r="D777" i="10"/>
  <c r="C777" i="10" s="1"/>
  <c r="E776" i="10"/>
  <c r="D776" i="10" s="1"/>
  <c r="C776" i="10" s="1"/>
  <c r="E775" i="10"/>
  <c r="D775" i="10"/>
  <c r="C775" i="10" s="1"/>
  <c r="E774" i="10"/>
  <c r="D774" i="10"/>
  <c r="C774" i="10"/>
  <c r="E773" i="10"/>
  <c r="D773" i="10" s="1"/>
  <c r="C773" i="10" s="1"/>
  <c r="E772" i="10"/>
  <c r="D772" i="10" s="1"/>
  <c r="E771" i="10"/>
  <c r="D771" i="10" s="1"/>
  <c r="C771" i="10" s="1"/>
  <c r="E770" i="10"/>
  <c r="D770" i="10"/>
  <c r="C770" i="10"/>
  <c r="E769" i="10"/>
  <c r="D769" i="10"/>
  <c r="C769" i="10"/>
  <c r="E768" i="10"/>
  <c r="D768" i="10" s="1"/>
  <c r="C768" i="10" s="1"/>
  <c r="E767" i="10"/>
  <c r="D767" i="10" s="1"/>
  <c r="C767" i="10" s="1"/>
  <c r="E766" i="10"/>
  <c r="D766" i="10"/>
  <c r="C766" i="10" s="1"/>
  <c r="E765" i="10"/>
  <c r="D765" i="10"/>
  <c r="C765" i="10"/>
  <c r="E764" i="10"/>
  <c r="D764" i="10" s="1"/>
  <c r="C764" i="10" s="1"/>
  <c r="E763" i="10"/>
  <c r="D763" i="10"/>
  <c r="C763" i="10" s="1"/>
  <c r="E762" i="10"/>
  <c r="D762" i="10" s="1"/>
  <c r="C762" i="10" s="1"/>
  <c r="E761" i="10"/>
  <c r="D761" i="10"/>
  <c r="C761" i="10" s="1"/>
  <c r="E760" i="10"/>
  <c r="D760" i="10" s="1"/>
  <c r="C760" i="10" s="1"/>
  <c r="E759" i="10"/>
  <c r="D759" i="10"/>
  <c r="C759" i="10" s="1"/>
  <c r="E758" i="10"/>
  <c r="D758" i="10"/>
  <c r="C758" i="10"/>
  <c r="E757" i="10"/>
  <c r="D757" i="10" s="1"/>
  <c r="C757" i="10" s="1"/>
  <c r="E756" i="10"/>
  <c r="D756" i="10" s="1"/>
  <c r="C756" i="10" s="1"/>
  <c r="E755" i="10"/>
  <c r="D755" i="10" s="1"/>
  <c r="C755" i="10" s="1"/>
  <c r="E754" i="10"/>
  <c r="D754" i="10"/>
  <c r="C754" i="10"/>
  <c r="E753" i="10"/>
  <c r="D753" i="10" s="1"/>
  <c r="C753" i="10" s="1"/>
  <c r="E752" i="10"/>
  <c r="D752" i="10" s="1"/>
  <c r="C752" i="10" s="1"/>
  <c r="E751" i="10"/>
  <c r="D751" i="10" s="1"/>
  <c r="C751" i="10" s="1"/>
  <c r="E750" i="10"/>
  <c r="D750" i="10"/>
  <c r="C750" i="10" s="1"/>
  <c r="E749" i="10"/>
  <c r="D749" i="10"/>
  <c r="C749" i="10"/>
  <c r="E748" i="10"/>
  <c r="D748" i="10" s="1"/>
  <c r="C748" i="10" s="1"/>
  <c r="E747" i="10"/>
  <c r="D747" i="10" s="1"/>
  <c r="C747" i="10" s="1"/>
  <c r="E746" i="10"/>
  <c r="D746" i="10" s="1"/>
  <c r="C746" i="10" s="1"/>
  <c r="E745" i="10"/>
  <c r="D745" i="10"/>
  <c r="C745" i="10" s="1"/>
  <c r="E744" i="10"/>
  <c r="D744" i="10" s="1"/>
  <c r="C744" i="10" s="1"/>
  <c r="E743" i="10"/>
  <c r="D743" i="10"/>
  <c r="C743" i="10" s="1"/>
  <c r="E742" i="10"/>
  <c r="D742" i="10" s="1"/>
  <c r="C742" i="10" s="1"/>
  <c r="E741" i="10"/>
  <c r="D741" i="10" s="1"/>
  <c r="C741" i="10" s="1"/>
  <c r="E740" i="10"/>
  <c r="D740" i="10" s="1"/>
  <c r="C740" i="10" s="1"/>
  <c r="E739" i="10"/>
  <c r="D739" i="10" s="1"/>
  <c r="C739" i="10" s="1"/>
  <c r="E738" i="10"/>
  <c r="D738" i="10"/>
  <c r="C738" i="10"/>
  <c r="E737" i="10"/>
  <c r="D737" i="10"/>
  <c r="C737" i="10"/>
  <c r="E736" i="10"/>
  <c r="D736" i="10" s="1"/>
  <c r="C736" i="10" s="1"/>
  <c r="E735" i="10"/>
  <c r="D735" i="10" s="1"/>
  <c r="C735" i="10" s="1"/>
  <c r="E734" i="10"/>
  <c r="D734" i="10"/>
  <c r="C734" i="10" s="1"/>
  <c r="E733" i="10"/>
  <c r="D733" i="10"/>
  <c r="C733" i="10"/>
  <c r="E732" i="10"/>
  <c r="D732" i="10" s="1"/>
  <c r="C732" i="10" s="1"/>
  <c r="E731" i="10"/>
  <c r="D731" i="10"/>
  <c r="C731" i="10" s="1"/>
  <c r="E730" i="10"/>
  <c r="D730" i="10" s="1"/>
  <c r="C730" i="10" s="1"/>
  <c r="E729" i="10"/>
  <c r="D729" i="10"/>
  <c r="C729" i="10" s="1"/>
  <c r="E728" i="10"/>
  <c r="D728" i="10" s="1"/>
  <c r="C728" i="10" s="1"/>
  <c r="E727" i="10"/>
  <c r="D727" i="10"/>
  <c r="C727" i="10" s="1"/>
  <c r="E726" i="10"/>
  <c r="D726" i="10"/>
  <c r="C726" i="10" s="1"/>
  <c r="E725" i="10"/>
  <c r="D725" i="10" s="1"/>
  <c r="C725" i="10" s="1"/>
  <c r="E724" i="10"/>
  <c r="D724" i="10" s="1"/>
  <c r="C724" i="10" s="1"/>
  <c r="E723" i="10"/>
  <c r="D723" i="10" s="1"/>
  <c r="C723" i="10" s="1"/>
  <c r="E722" i="10"/>
  <c r="D722" i="10"/>
  <c r="C722" i="10"/>
  <c r="E721" i="10"/>
  <c r="D721" i="10"/>
  <c r="C721" i="10"/>
  <c r="E720" i="10"/>
  <c r="D720" i="10" s="1"/>
  <c r="C720" i="10" s="1"/>
  <c r="E719" i="10"/>
  <c r="D719" i="10"/>
  <c r="C719" i="10" s="1"/>
  <c r="E718" i="10"/>
  <c r="D718" i="10"/>
  <c r="C718" i="10" s="1"/>
  <c r="E717" i="10"/>
  <c r="D717" i="10"/>
  <c r="C717" i="10"/>
  <c r="E716" i="10"/>
  <c r="D716" i="10" s="1"/>
  <c r="C716" i="10" s="1"/>
  <c r="E715" i="10"/>
  <c r="D715" i="10"/>
  <c r="C715" i="10" s="1"/>
  <c r="E714" i="10"/>
  <c r="D714" i="10" s="1"/>
  <c r="C714" i="10" s="1"/>
  <c r="E713" i="10"/>
  <c r="D713" i="10"/>
  <c r="C713" i="10" s="1"/>
  <c r="E712" i="10"/>
  <c r="D712" i="10" s="1"/>
  <c r="C712" i="10" s="1"/>
  <c r="E711" i="10"/>
  <c r="D711" i="10"/>
  <c r="C711" i="10" s="1"/>
  <c r="E710" i="10"/>
  <c r="D710" i="10"/>
  <c r="C710" i="10"/>
  <c r="E709" i="10"/>
  <c r="D709" i="10" s="1"/>
  <c r="C709" i="10" s="1"/>
  <c r="E708" i="10"/>
  <c r="D708" i="10" s="1"/>
  <c r="C708" i="10" s="1"/>
  <c r="E707" i="10"/>
  <c r="D707" i="10" s="1"/>
  <c r="C707" i="10" s="1"/>
  <c r="E706" i="10"/>
  <c r="D706" i="10"/>
  <c r="C706" i="10"/>
  <c r="E705" i="10"/>
  <c r="D705" i="10"/>
  <c r="C705" i="10"/>
  <c r="E704" i="10"/>
  <c r="D704" i="10" s="1"/>
  <c r="C704" i="10" s="1"/>
  <c r="E703" i="10"/>
  <c r="D703" i="10"/>
  <c r="C703" i="10" s="1"/>
  <c r="E702" i="10"/>
  <c r="D702" i="10"/>
  <c r="C702" i="10" s="1"/>
  <c r="E701" i="10"/>
  <c r="D701" i="10" s="1"/>
  <c r="C701" i="10" s="1"/>
  <c r="E700" i="10"/>
  <c r="D700" i="10" s="1"/>
  <c r="C700" i="10" s="1"/>
  <c r="E699" i="10"/>
  <c r="D699" i="10" s="1"/>
  <c r="C699" i="10" s="1"/>
  <c r="E698" i="10"/>
  <c r="D698" i="10" s="1"/>
  <c r="C698" i="10" s="1"/>
  <c r="E697" i="10"/>
  <c r="D697" i="10"/>
  <c r="C697" i="10" s="1"/>
  <c r="E696" i="10"/>
  <c r="D696" i="10" s="1"/>
  <c r="C696" i="10" s="1"/>
  <c r="E695" i="10"/>
  <c r="D695" i="10"/>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c r="C687" i="10" s="1"/>
  <c r="E686" i="10"/>
  <c r="D686" i="10"/>
  <c r="C686" i="10" s="1"/>
  <c r="E685" i="10"/>
  <c r="D685" i="10" s="1"/>
  <c r="C685" i="10" s="1"/>
  <c r="E684" i="10"/>
  <c r="D684" i="10" s="1"/>
  <c r="C684" i="10" s="1"/>
  <c r="E683" i="10"/>
  <c r="D683" i="10" s="1"/>
  <c r="C683" i="10" s="1"/>
  <c r="E682" i="10"/>
  <c r="D682" i="10" s="1"/>
  <c r="C682" i="10" s="1"/>
  <c r="E681" i="10"/>
  <c r="D681" i="10"/>
  <c r="C681" i="10" s="1"/>
  <c r="E680" i="10"/>
  <c r="D680" i="10" s="1"/>
  <c r="C680" i="10" s="1"/>
  <c r="E679" i="10"/>
  <c r="D679" i="10"/>
  <c r="C679" i="10" s="1"/>
  <c r="E678" i="10"/>
  <c r="D678" i="10"/>
  <c r="C678" i="10" s="1"/>
  <c r="E677" i="10"/>
  <c r="D677" i="10" s="1"/>
  <c r="C677" i="10" s="1"/>
  <c r="E676" i="10"/>
  <c r="D676" i="10" s="1"/>
  <c r="E675" i="10"/>
  <c r="D675" i="10" s="1"/>
  <c r="C675" i="10" s="1"/>
  <c r="E674" i="10"/>
  <c r="D674" i="10" s="1"/>
  <c r="C674" i="10" s="1"/>
  <c r="E673" i="10"/>
  <c r="D673" i="10"/>
  <c r="C673" i="10" s="1"/>
  <c r="E672" i="10"/>
  <c r="D672" i="10" s="1"/>
  <c r="C672" i="10" s="1"/>
  <c r="E671" i="10"/>
  <c r="D671" i="10"/>
  <c r="C671" i="10" s="1"/>
  <c r="E670" i="10"/>
  <c r="D670" i="10"/>
  <c r="C670" i="10" s="1"/>
  <c r="E669" i="10"/>
  <c r="D669" i="10" s="1"/>
  <c r="C669" i="10" s="1"/>
  <c r="E668" i="10"/>
  <c r="D668" i="10" s="1"/>
  <c r="C668" i="10" s="1"/>
  <c r="E667" i="10"/>
  <c r="D667" i="10" s="1"/>
  <c r="C667" i="10" s="1"/>
  <c r="E666" i="10"/>
  <c r="D666" i="10" s="1"/>
  <c r="C666" i="10" s="1"/>
  <c r="E665" i="10"/>
  <c r="D665" i="10"/>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C656" i="10" s="1"/>
  <c r="E655" i="10"/>
  <c r="D655" i="10" s="1"/>
  <c r="C655" i="10" s="1"/>
  <c r="E654" i="10"/>
  <c r="D654" i="10"/>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c r="C647" i="10" s="1"/>
  <c r="E646" i="10"/>
  <c r="D646" i="10" s="1"/>
  <c r="C646" i="10" s="1"/>
  <c r="E645" i="10"/>
  <c r="D645" i="10" s="1"/>
  <c r="C645" i="10" s="1"/>
  <c r="E644" i="10"/>
  <c r="D644" i="10" s="1"/>
  <c r="C644" i="10" s="1"/>
  <c r="E643" i="10"/>
  <c r="D643" i="10" s="1"/>
  <c r="C643" i="10" s="1"/>
  <c r="E642" i="10"/>
  <c r="D642" i="10" s="1"/>
  <c r="C642" i="10"/>
  <c r="E641" i="10"/>
  <c r="D641" i="10" s="1"/>
  <c r="C641" i="10" s="1"/>
  <c r="E640" i="10"/>
  <c r="D640" i="10" s="1"/>
  <c r="C640" i="10" s="1"/>
  <c r="E639" i="10"/>
  <c r="D639" i="10" s="1"/>
  <c r="C639" i="10" s="1"/>
  <c r="E638" i="10"/>
  <c r="D638" i="10"/>
  <c r="C638" i="10" s="1"/>
  <c r="E637" i="10"/>
  <c r="D637" i="10" s="1"/>
  <c r="C637" i="10" s="1"/>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c r="C622" i="10" s="1"/>
  <c r="E621" i="10"/>
  <c r="D621" i="10" s="1"/>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c r="C614" i="10" s="1"/>
  <c r="E613" i="10"/>
  <c r="D613" i="10" s="1"/>
  <c r="C613" i="10" s="1"/>
  <c r="E612" i="10"/>
  <c r="D612" i="10" s="1"/>
  <c r="E611" i="10"/>
  <c r="D611" i="10" s="1"/>
  <c r="C611" i="10" s="1"/>
  <c r="E610" i="10"/>
  <c r="D610" i="10" s="1"/>
  <c r="C610" i="10" s="1"/>
  <c r="E609" i="10"/>
  <c r="D609" i="10"/>
  <c r="C609" i="10" s="1"/>
  <c r="E608" i="10"/>
  <c r="D608" i="10" s="1"/>
  <c r="C608" i="10" s="1"/>
  <c r="E607" i="10"/>
  <c r="D607" i="10"/>
  <c r="C607" i="10" s="1"/>
  <c r="E606" i="10"/>
  <c r="D606" i="10"/>
  <c r="C606" i="10" s="1"/>
  <c r="E605" i="10"/>
  <c r="D605" i="10" s="1"/>
  <c r="C605" i="10" s="1"/>
  <c r="E604" i="10"/>
  <c r="D604" i="10" s="1"/>
  <c r="C604" i="10" s="1"/>
  <c r="E603" i="10"/>
  <c r="D603" i="10" s="1"/>
  <c r="C603" i="10" s="1"/>
  <c r="E602" i="10"/>
  <c r="D602" i="10" s="1"/>
  <c r="C602" i="10" s="1"/>
  <c r="E601" i="10"/>
  <c r="D601" i="10"/>
  <c r="C601" i="10" s="1"/>
  <c r="E600" i="10"/>
  <c r="D600" i="10" s="1"/>
  <c r="E599" i="10"/>
  <c r="D599" i="10"/>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c r="C591" i="10" s="1"/>
  <c r="E590" i="10"/>
  <c r="D590" i="10"/>
  <c r="C590" i="10" s="1"/>
  <c r="E589" i="10"/>
  <c r="D589" i="10" s="1"/>
  <c r="C589" i="10" s="1"/>
  <c r="E588" i="10"/>
  <c r="D588" i="10" s="1"/>
  <c r="C588" i="10" s="1"/>
  <c r="E587" i="10"/>
  <c r="D587" i="10" s="1"/>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c r="C575" i="10" s="1"/>
  <c r="E574" i="10"/>
  <c r="D574" i="10"/>
  <c r="C574" i="10" s="1"/>
  <c r="E573" i="10"/>
  <c r="D573" i="10" s="1"/>
  <c r="C573" i="10" s="1"/>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s="1"/>
  <c r="E565" i="10"/>
  <c r="D565" i="10" s="1"/>
  <c r="C565" i="10" s="1"/>
  <c r="E564" i="10"/>
  <c r="D564" i="10" s="1"/>
  <c r="C564" i="10" s="1"/>
  <c r="E563" i="10"/>
  <c r="D563" i="10" s="1"/>
  <c r="C563" i="10" s="1"/>
  <c r="E562" i="10"/>
  <c r="D562" i="10" s="1"/>
  <c r="C562" i="10" s="1"/>
  <c r="E561" i="10"/>
  <c r="D561" i="10"/>
  <c r="C561" i="10" s="1"/>
  <c r="E560" i="10"/>
  <c r="D560" i="10" s="1"/>
  <c r="C560" i="10" s="1"/>
  <c r="E559" i="10"/>
  <c r="D559" i="10"/>
  <c r="C559" i="10" s="1"/>
  <c r="E558" i="10"/>
  <c r="D558" i="10"/>
  <c r="C558" i="10" s="1"/>
  <c r="E557" i="10"/>
  <c r="D557" i="10" s="1"/>
  <c r="C557" i="10" s="1"/>
  <c r="E556" i="10"/>
  <c r="D556" i="10" s="1"/>
  <c r="C556" i="10" s="1"/>
  <c r="E555" i="10"/>
  <c r="D555" i="10" s="1"/>
  <c r="C555" i="10" s="1"/>
  <c r="E554" i="10"/>
  <c r="D554" i="10" s="1"/>
  <c r="C554" i="10" s="1"/>
  <c r="E553" i="10"/>
  <c r="D553" i="10"/>
  <c r="C553" i="10" s="1"/>
  <c r="E552" i="10"/>
  <c r="D552" i="10" s="1"/>
  <c r="C552" i="10" s="1"/>
  <c r="E551" i="10"/>
  <c r="D551" i="10"/>
  <c r="C551" i="10" s="1"/>
  <c r="E550" i="10"/>
  <c r="D550" i="10"/>
  <c r="C550" i="10" s="1"/>
  <c r="E549" i="10"/>
  <c r="D549" i="10" s="1"/>
  <c r="C549" i="10" s="1"/>
  <c r="E548" i="10"/>
  <c r="D548" i="10" s="1"/>
  <c r="C548" i="10" s="1"/>
  <c r="E547" i="10"/>
  <c r="D547" i="10" s="1"/>
  <c r="C547" i="10" s="1"/>
  <c r="E546" i="10"/>
  <c r="D546" i="10" s="1"/>
  <c r="C546" i="10" s="1"/>
  <c r="E545" i="10"/>
  <c r="D545" i="10"/>
  <c r="C545" i="10" s="1"/>
  <c r="E544" i="10"/>
  <c r="D544" i="10" s="1"/>
  <c r="C544" i="10" s="1"/>
  <c r="E543" i="10"/>
  <c r="D543" i="10"/>
  <c r="C543" i="10" s="1"/>
  <c r="E542" i="10"/>
  <c r="D542" i="10"/>
  <c r="C542" i="10" s="1"/>
  <c r="E541" i="10"/>
  <c r="D541" i="10" s="1"/>
  <c r="C541" i="10" s="1"/>
  <c r="E540" i="10"/>
  <c r="D540" i="10" s="1"/>
  <c r="C540" i="10" s="1"/>
  <c r="E539" i="10"/>
  <c r="D539" i="10" s="1"/>
  <c r="C539" i="10" s="1"/>
  <c r="E538" i="10"/>
  <c r="D538" i="10" s="1"/>
  <c r="C538" i="10" s="1"/>
  <c r="E537" i="10"/>
  <c r="D537" i="10"/>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s="1"/>
  <c r="C530" i="10" s="1"/>
  <c r="E529" i="10"/>
  <c r="D529" i="10"/>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s="1"/>
  <c r="C522" i="10" s="1"/>
  <c r="E521" i="10"/>
  <c r="D521" i="10"/>
  <c r="C521" i="10" s="1"/>
  <c r="E520" i="10"/>
  <c r="D520" i="10" s="1"/>
  <c r="C520" i="10" s="1"/>
  <c r="E519" i="10"/>
  <c r="D519" i="10"/>
  <c r="C519" i="10" s="1"/>
  <c r="E518" i="10"/>
  <c r="D518" i="10"/>
  <c r="C518" i="10" s="1"/>
  <c r="E517" i="10"/>
  <c r="D517" i="10" s="1"/>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c r="C497" i="10" s="1"/>
  <c r="E496" i="10"/>
  <c r="D496" i="10" s="1"/>
  <c r="C496" i="10" s="1"/>
  <c r="E495" i="10"/>
  <c r="D495" i="10"/>
  <c r="C495" i="10" s="1"/>
  <c r="E494" i="10"/>
  <c r="D494" i="10"/>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c r="C481" i="10" s="1"/>
  <c r="E480" i="10"/>
  <c r="D480" i="10" s="1"/>
  <c r="C480" i="10" s="1"/>
  <c r="E479" i="10"/>
  <c r="D479" i="10"/>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c r="C463" i="10" s="1"/>
  <c r="E462" i="10"/>
  <c r="D462" i="10"/>
  <c r="C462" i="10" s="1"/>
  <c r="E461" i="10"/>
  <c r="D461" i="10" s="1"/>
  <c r="C461" i="10" s="1"/>
  <c r="E460" i="10"/>
  <c r="D460" i="10" s="1"/>
  <c r="C460" i="10" s="1"/>
  <c r="E459" i="10"/>
  <c r="D459" i="10" s="1"/>
  <c r="C459" i="10" s="1"/>
  <c r="E458" i="10"/>
  <c r="D458" i="10" s="1"/>
  <c r="C458" i="10" s="1"/>
  <c r="E457" i="10"/>
  <c r="D457" i="10"/>
  <c r="C457" i="10" s="1"/>
  <c r="E456" i="10"/>
  <c r="D456" i="10" s="1"/>
  <c r="C456" i="10" s="1"/>
  <c r="E455" i="10"/>
  <c r="D455" i="10"/>
  <c r="C455" i="10" s="1"/>
  <c r="E454" i="10"/>
  <c r="D454" i="10"/>
  <c r="C454" i="10" s="1"/>
  <c r="E453" i="10"/>
  <c r="D453" i="10" s="1"/>
  <c r="C453" i="10" s="1"/>
  <c r="E452" i="10"/>
  <c r="D452" i="10" s="1"/>
  <c r="E451" i="10"/>
  <c r="D451" i="10" s="1"/>
  <c r="C451" i="10" s="1"/>
  <c r="E450" i="10"/>
  <c r="D450" i="10" s="1"/>
  <c r="C450" i="10" s="1"/>
  <c r="E449" i="10"/>
  <c r="D449" i="10"/>
  <c r="C449" i="10" s="1"/>
  <c r="E448" i="10"/>
  <c r="D448" i="10" s="1"/>
  <c r="C448" i="10" s="1"/>
  <c r="E447" i="10"/>
  <c r="D447" i="10"/>
  <c r="C447" i="10" s="1"/>
  <c r="E446" i="10"/>
  <c r="D446" i="10"/>
  <c r="C446" i="10" s="1"/>
  <c r="E445" i="10"/>
  <c r="D445" i="10" s="1"/>
  <c r="C445" i="10" s="1"/>
  <c r="E444" i="10"/>
  <c r="D444" i="10" s="1"/>
  <c r="C444" i="10" s="1"/>
  <c r="E443" i="10"/>
  <c r="D443" i="10" s="1"/>
  <c r="C443" i="10" s="1"/>
  <c r="E442" i="10"/>
  <c r="D442" i="10" s="1"/>
  <c r="C442" i="10" s="1"/>
  <c r="E441" i="10"/>
  <c r="D441" i="10"/>
  <c r="C441" i="10" s="1"/>
  <c r="E440" i="10"/>
  <c r="D440" i="10" s="1"/>
  <c r="C440" i="10" s="1"/>
  <c r="E439" i="10"/>
  <c r="D439" i="10"/>
  <c r="C439" i="10" s="1"/>
  <c r="E438" i="10"/>
  <c r="D438" i="10"/>
  <c r="C438" i="10" s="1"/>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c r="C430" i="10" s="1"/>
  <c r="E429" i="10"/>
  <c r="D429" i="10" s="1"/>
  <c r="C429" i="10" s="1"/>
  <c r="E428" i="10"/>
  <c r="D428" i="10" s="1"/>
  <c r="E427" i="10"/>
  <c r="D427" i="10" s="1"/>
  <c r="C427" i="10" s="1"/>
  <c r="E426" i="10"/>
  <c r="D426" i="10" s="1"/>
  <c r="C426" i="10" s="1"/>
  <c r="E425" i="10"/>
  <c r="D425" i="10"/>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s="1"/>
  <c r="C418" i="10" s="1"/>
  <c r="E417" i="10"/>
  <c r="D417" i="10"/>
  <c r="C417" i="10" s="1"/>
  <c r="E416" i="10"/>
  <c r="D416" i="10" s="1"/>
  <c r="E415" i="10"/>
  <c r="D415" i="10"/>
  <c r="C415" i="10" s="1"/>
  <c r="E414" i="10"/>
  <c r="D414" i="10"/>
  <c r="C414" i="10" s="1"/>
  <c r="E413" i="10"/>
  <c r="D413" i="10" s="1"/>
  <c r="C413" i="10" s="1"/>
  <c r="E412" i="10"/>
  <c r="D412" i="10" s="1"/>
  <c r="C412" i="10" s="1"/>
  <c r="E411" i="10"/>
  <c r="D411" i="10" s="1"/>
  <c r="C411" i="10" s="1"/>
  <c r="E410" i="10"/>
  <c r="D410" i="10" s="1"/>
  <c r="C410" i="10" s="1"/>
  <c r="E409" i="10"/>
  <c r="D409" i="10"/>
  <c r="C409" i="10" s="1"/>
  <c r="E408" i="10"/>
  <c r="D408" i="10" s="1"/>
  <c r="C408" i="10" s="1"/>
  <c r="E407" i="10"/>
  <c r="D407" i="10"/>
  <c r="C407" i="10" s="1"/>
  <c r="E406" i="10"/>
  <c r="D406" i="10"/>
  <c r="C406" i="10" s="1"/>
  <c r="E405" i="10"/>
  <c r="D405" i="10" s="1"/>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c r="C391" i="10" s="1"/>
  <c r="E390" i="10"/>
  <c r="D390" i="10"/>
  <c r="C390" i="10" s="1"/>
  <c r="E389" i="10"/>
  <c r="D389" i="10" s="1"/>
  <c r="C389" i="10" s="1"/>
  <c r="E388" i="10"/>
  <c r="D388" i="10" s="1"/>
  <c r="C388" i="10" s="1"/>
  <c r="E387" i="10"/>
  <c r="D387" i="10" s="1"/>
  <c r="C387" i="10" s="1"/>
  <c r="E386" i="10"/>
  <c r="D386" i="10" s="1"/>
  <c r="C386" i="10" s="1"/>
  <c r="E385" i="10"/>
  <c r="D385" i="10"/>
  <c r="C385" i="10" s="1"/>
  <c r="E384" i="10"/>
  <c r="D384" i="10" s="1"/>
  <c r="C384" i="10" s="1"/>
  <c r="E383" i="10"/>
  <c r="D383" i="10"/>
  <c r="C383" i="10" s="1"/>
  <c r="E382" i="10"/>
  <c r="D382" i="10"/>
  <c r="C382" i="10" s="1"/>
  <c r="E381" i="10"/>
  <c r="D381" i="10" s="1"/>
  <c r="C381" i="10" s="1"/>
  <c r="E380" i="10"/>
  <c r="D380" i="10" s="1"/>
  <c r="C380" i="10" s="1"/>
  <c r="E379" i="10"/>
  <c r="D379" i="10" s="1"/>
  <c r="C379" i="10" s="1"/>
  <c r="E378" i="10"/>
  <c r="D378" i="10" s="1"/>
  <c r="C378" i="10" s="1"/>
  <c r="E377" i="10"/>
  <c r="D377" i="10"/>
  <c r="C377" i="10" s="1"/>
  <c r="E376" i="10"/>
  <c r="D376" i="10" s="1"/>
  <c r="C376" i="10" s="1"/>
  <c r="E375" i="10"/>
  <c r="D375" i="10"/>
  <c r="C375" i="10" s="1"/>
  <c r="E374" i="10"/>
  <c r="D374" i="10"/>
  <c r="C374" i="10" s="1"/>
  <c r="E373" i="10"/>
  <c r="D373" i="10" s="1"/>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c r="C366" i="10" s="1"/>
  <c r="E365" i="10"/>
  <c r="D365" i="10" s="1"/>
  <c r="C365" i="10"/>
  <c r="E364" i="10"/>
  <c r="D364" i="10" s="1"/>
  <c r="C364" i="10" s="1"/>
  <c r="E363" i="10"/>
  <c r="D363" i="10" s="1"/>
  <c r="C363" i="10" s="1"/>
  <c r="E362" i="10"/>
  <c r="D362" i="10" s="1"/>
  <c r="C362" i="10"/>
  <c r="E361" i="10"/>
  <c r="D361" i="10"/>
  <c r="C361" i="10" s="1"/>
  <c r="E360" i="10"/>
  <c r="D360" i="10" s="1"/>
  <c r="C360" i="10" s="1"/>
  <c r="E359" i="10"/>
  <c r="D359" i="10"/>
  <c r="C359" i="10" s="1"/>
  <c r="E358" i="10"/>
  <c r="D358" i="10"/>
  <c r="C358" i="10" s="1"/>
  <c r="E357" i="10"/>
  <c r="D357" i="10" s="1"/>
  <c r="C357" i="10" s="1"/>
  <c r="E356" i="10"/>
  <c r="D356" i="10" s="1"/>
  <c r="C356" i="10" s="1"/>
  <c r="E355" i="10"/>
  <c r="D355" i="10" s="1"/>
  <c r="C355" i="10" s="1"/>
  <c r="E354" i="10"/>
  <c r="D354" i="10" s="1"/>
  <c r="C354" i="10" s="1"/>
  <c r="E353" i="10"/>
  <c r="D353" i="10"/>
  <c r="C353" i="10" s="1"/>
  <c r="E352" i="10"/>
  <c r="D352" i="10" s="1"/>
  <c r="C352" i="10" s="1"/>
  <c r="E351" i="10"/>
  <c r="D351" i="10"/>
  <c r="C351" i="10" s="1"/>
  <c r="E350" i="10"/>
  <c r="D350" i="10"/>
  <c r="C350" i="10" s="1"/>
  <c r="E349" i="10"/>
  <c r="D349" i="10"/>
  <c r="C349" i="10"/>
  <c r="E348" i="10"/>
  <c r="D348" i="10" s="1"/>
  <c r="E347" i="10"/>
  <c r="D347" i="10"/>
  <c r="C347" i="10" s="1"/>
  <c r="E346" i="10"/>
  <c r="D346" i="10" s="1"/>
  <c r="C346" i="10"/>
  <c r="E345" i="10"/>
  <c r="D345" i="10"/>
  <c r="C345" i="10" s="1"/>
  <c r="E344" i="10"/>
  <c r="D344" i="10" s="1"/>
  <c r="C344" i="10" s="1"/>
  <c r="E343" i="10"/>
  <c r="D343" i="10" s="1"/>
  <c r="C343" i="10" s="1"/>
  <c r="E342" i="10"/>
  <c r="D342" i="10"/>
  <c r="C342" i="10"/>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c r="C334" i="10" s="1"/>
  <c r="E333" i="10"/>
  <c r="D333" i="10" s="1"/>
  <c r="C333" i="10" s="1"/>
  <c r="E332" i="10"/>
  <c r="D332" i="10" s="1"/>
  <c r="C332" i="10" s="1"/>
  <c r="E331" i="10"/>
  <c r="D331" i="10" s="1"/>
  <c r="C331" i="10" s="1"/>
  <c r="E330" i="10"/>
  <c r="D330" i="10" s="1"/>
  <c r="C330" i="10"/>
  <c r="E329" i="10"/>
  <c r="D329" i="10" s="1"/>
  <c r="C329" i="10" s="1"/>
  <c r="E328" i="10"/>
  <c r="D328" i="10" s="1"/>
  <c r="C328" i="10" s="1"/>
  <c r="E327" i="10"/>
  <c r="D327" i="10"/>
  <c r="C327" i="10" s="1"/>
  <c r="E326" i="10"/>
  <c r="D326" i="10"/>
  <c r="C326" i="10"/>
  <c r="E325" i="10"/>
  <c r="D325" i="10" s="1"/>
  <c r="C325" i="10" s="1"/>
  <c r="E324" i="10"/>
  <c r="D324" i="10" s="1"/>
  <c r="C324" i="10" s="1"/>
  <c r="E323" i="10"/>
  <c r="D323" i="10" s="1"/>
  <c r="C323" i="10" s="1"/>
  <c r="E322" i="10"/>
  <c r="D322" i="10" s="1"/>
  <c r="C322" i="10" s="1"/>
  <c r="E321" i="10"/>
  <c r="D321" i="10"/>
  <c r="C321" i="10" s="1"/>
  <c r="E320" i="10"/>
  <c r="D320" i="10" s="1"/>
  <c r="C320" i="10" s="1"/>
  <c r="E319" i="10"/>
  <c r="D319" i="10"/>
  <c r="C319" i="10" s="1"/>
  <c r="E318" i="10"/>
  <c r="D318" i="10"/>
  <c r="C318" i="10" s="1"/>
  <c r="E317" i="10"/>
  <c r="D317" i="10"/>
  <c r="C317" i="10" s="1"/>
  <c r="E316" i="10"/>
  <c r="D316" i="10" s="1"/>
  <c r="C316" i="10" s="1"/>
  <c r="E315" i="10"/>
  <c r="D315" i="10"/>
  <c r="C315" i="10" s="1"/>
  <c r="E314" i="10"/>
  <c r="D314" i="10" s="1"/>
  <c r="C314" i="10"/>
  <c r="E313" i="10"/>
  <c r="D313" i="10"/>
  <c r="C313" i="10" s="1"/>
  <c r="E312" i="10"/>
  <c r="D312" i="10" s="1"/>
  <c r="C312" i="10" s="1"/>
  <c r="E311" i="10"/>
  <c r="D311" i="10" s="1"/>
  <c r="C311" i="10" s="1"/>
  <c r="E310" i="10"/>
  <c r="D310" i="10"/>
  <c r="C310" i="10"/>
  <c r="E309" i="10"/>
  <c r="D309" i="10" s="1"/>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s="1"/>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c r="C282" i="10" s="1"/>
  <c r="E281" i="10"/>
  <c r="D281" i="10" s="1"/>
  <c r="C281" i="10" s="1"/>
  <c r="E280" i="10"/>
  <c r="D280" i="10" s="1"/>
  <c r="C280" i="10" s="1"/>
  <c r="E279" i="10"/>
  <c r="D279" i="10" s="1"/>
  <c r="C279" i="10" s="1"/>
  <c r="E278" i="10"/>
  <c r="D278" i="10" s="1"/>
  <c r="C278" i="10" s="1"/>
  <c r="E277" i="10"/>
  <c r="D277" i="10"/>
  <c r="C277" i="10" s="1"/>
  <c r="E276" i="10"/>
  <c r="D276" i="10" s="1"/>
  <c r="C276" i="10" s="1"/>
  <c r="E275" i="10"/>
  <c r="D275" i="10"/>
  <c r="C275" i="10" s="1"/>
  <c r="E274" i="10"/>
  <c r="D274" i="10"/>
  <c r="C274" i="10" s="1"/>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c r="C258" i="10" s="1"/>
  <c r="E257" i="10"/>
  <c r="D257" i="10" s="1"/>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s="1"/>
  <c r="E228" i="10"/>
  <c r="D228" i="10" s="1"/>
  <c r="C228" i="10" s="1"/>
  <c r="E227" i="10"/>
  <c r="D227" i="10"/>
  <c r="C227" i="10" s="1"/>
  <c r="E226" i="10"/>
  <c r="D226" i="10"/>
  <c r="C226" i="10" s="1"/>
  <c r="E225" i="10"/>
  <c r="D225" i="10" s="1"/>
  <c r="C225" i="10" s="1"/>
  <c r="E224" i="10"/>
  <c r="D224" i="10" s="1"/>
  <c r="C224" i="10" s="1"/>
  <c r="E223" i="10"/>
  <c r="D223" i="10" s="1"/>
  <c r="C223" i="10" s="1"/>
  <c r="E222" i="10"/>
  <c r="D222" i="10"/>
  <c r="C222" i="10" s="1"/>
  <c r="E221" i="10"/>
  <c r="D221" i="10"/>
  <c r="C221" i="10" s="1"/>
  <c r="E220" i="10"/>
  <c r="D220" i="10" s="1"/>
  <c r="C220" i="10" s="1"/>
  <c r="E219" i="10"/>
  <c r="D219" i="10"/>
  <c r="C219" i="10" s="1"/>
  <c r="E218" i="10"/>
  <c r="D218" i="10"/>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J53" i="5" s="1"/>
  <c r="AJ25" i="11"/>
  <c r="AF25" i="11"/>
  <c r="AB25" i="11"/>
  <c r="J48" i="5" s="1"/>
  <c r="D25" i="11"/>
  <c r="J32" i="5" s="1"/>
  <c r="AM25" i="11"/>
  <c r="E53" i="5" s="1"/>
  <c r="AI25" i="11"/>
  <c r="AE25" i="11"/>
  <c r="AA25" i="11"/>
  <c r="E48" i="5" s="1"/>
  <c r="C25" i="11"/>
  <c r="E32" i="5" s="1"/>
  <c r="V25" i="11"/>
  <c r="J43" i="5" s="1"/>
  <c r="R25" i="11"/>
  <c r="U25" i="11"/>
  <c r="E43" i="5" s="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J45" i="5" s="1"/>
  <c r="T25" i="11"/>
  <c r="P25" i="11"/>
  <c r="J40" i="5" s="1"/>
  <c r="L25" i="11"/>
  <c r="H25" i="11"/>
  <c r="W25" i="11"/>
  <c r="E45" i="5" s="1"/>
  <c r="S25" i="11"/>
  <c r="O25" i="11"/>
  <c r="E40" i="5" s="1"/>
  <c r="K25" i="11"/>
  <c r="G25" i="11"/>
  <c r="AP25" i="11"/>
  <c r="J55" i="5" s="1"/>
  <c r="AL25" i="11"/>
  <c r="AH25" i="11"/>
  <c r="AD25" i="11"/>
  <c r="J50" i="5" s="1"/>
  <c r="Z25" i="11"/>
  <c r="N25" i="11"/>
  <c r="J37" i="5" s="1"/>
  <c r="J25" i="11"/>
  <c r="F25" i="11"/>
  <c r="J34" i="5" s="1"/>
  <c r="AO25" i="11"/>
  <c r="E55" i="5" s="1"/>
  <c r="AK25" i="11"/>
  <c r="AG25" i="11"/>
  <c r="AC25" i="11"/>
  <c r="E50" i="5" s="1"/>
  <c r="Y25" i="11"/>
  <c r="M25" i="11"/>
  <c r="E37" i="5" s="1"/>
  <c r="I25" i="11"/>
  <c r="E25" i="11"/>
  <c r="E34" i="5" s="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38" i="5" l="1"/>
  <c r="B38" i="5"/>
  <c r="C38" i="5"/>
  <c r="G38" i="5" s="1"/>
  <c r="F41" i="5"/>
  <c r="C41" i="5"/>
  <c r="G41" i="5" s="1"/>
  <c r="B41" i="5"/>
  <c r="B56" i="5"/>
  <c r="C56" i="5"/>
  <c r="G56" i="5" s="1"/>
  <c r="F56" i="5"/>
  <c r="F33" i="5"/>
  <c r="B33" i="5"/>
  <c r="C33" i="5"/>
  <c r="G33" i="5" s="1"/>
  <c r="F54" i="5"/>
  <c r="B54" i="5"/>
  <c r="C54" i="5"/>
  <c r="G54" i="5" s="1"/>
  <c r="C35" i="5"/>
  <c r="G35" i="5" s="1"/>
  <c r="F35" i="5"/>
  <c r="B35" i="5"/>
  <c r="F51" i="5"/>
  <c r="B51" i="5"/>
  <c r="C51" i="5"/>
  <c r="G51" i="5" s="1"/>
  <c r="F46" i="5"/>
  <c r="C46" i="5"/>
  <c r="G46" i="5" s="1"/>
  <c r="B46" i="5"/>
  <c r="C44" i="5"/>
  <c r="G44" i="5" s="1"/>
  <c r="F44" i="5"/>
  <c r="B44" i="5"/>
  <c r="F49" i="5"/>
  <c r="B49" i="5"/>
  <c r="C49" i="5"/>
  <c r="G49"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2" i="5"/>
  <c r="E64" i="5"/>
  <c r="J64" i="5"/>
  <c r="J66" i="5" s="1"/>
  <c r="D62" i="5"/>
  <c r="F26" i="5"/>
  <c r="D29" i="5"/>
  <c r="D28" i="5"/>
  <c r="D27" i="5"/>
  <c r="E22" i="5"/>
  <c r="K22" i="5" s="1"/>
  <c r="D20" i="5"/>
  <c r="D19" i="5"/>
  <c r="D18" i="5"/>
  <c r="D17" i="5"/>
  <c r="J17" i="5" s="1"/>
  <c r="D15" i="5"/>
  <c r="D14" i="5"/>
  <c r="D13" i="5"/>
  <c r="D12" i="5"/>
  <c r="D11" i="5"/>
  <c r="D10" i="5"/>
  <c r="D8" i="5"/>
  <c r="J8" i="5" s="1"/>
  <c r="K11" i="6" l="1"/>
  <c r="L11" i="6"/>
  <c r="H10" i="5"/>
  <c r="K10" i="5" s="1"/>
  <c r="J10" i="5"/>
  <c r="F65" i="5"/>
  <c r="F67" i="5" s="1"/>
  <c r="E5" i="6"/>
  <c r="D5" i="6"/>
  <c r="G8" i="5"/>
  <c r="H12" i="5"/>
  <c r="G10" i="5"/>
  <c r="H19" i="5"/>
  <c r="H8" i="5"/>
  <c r="K8" i="5" s="1"/>
  <c r="H11" i="5"/>
  <c r="H20" i="5"/>
  <c r="H14" i="5"/>
  <c r="H17" i="5"/>
  <c r="K17" i="5" s="1"/>
  <c r="H15" i="5"/>
  <c r="I22" i="5"/>
  <c r="L22" i="5" s="1"/>
  <c r="C65" i="5"/>
  <c r="E66" i="5"/>
  <c r="B65" i="5"/>
  <c r="B67" i="5" s="1"/>
  <c r="G17" i="5"/>
  <c r="H13" i="5"/>
  <c r="H18" i="5"/>
  <c r="H22" i="5"/>
  <c r="I27" i="5"/>
  <c r="I29" i="5"/>
  <c r="I30" i="5"/>
  <c r="I28" i="5"/>
  <c r="C67" i="5" l="1"/>
  <c r="G65" i="5"/>
  <c r="G67" i="5" s="1"/>
</calcChain>
</file>

<file path=xl/sharedStrings.xml><?xml version="1.0" encoding="utf-8"?>
<sst xmlns="http://schemas.openxmlformats.org/spreadsheetml/2006/main" count="4655" uniqueCount="468">
  <si>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</si>
  <si>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</si>
  <si>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</si>
  <si>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</si>
  <si>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</si>
  <si>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</si>
  <si>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</si>
  <si>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</si>
  <si>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</si>
  <si>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</si>
  <si>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</si>
  <si>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</si>
  <si>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</si>
  <si>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</si>
  <si>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</si>
  <si>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</si>
  <si>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</si>
  <si>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</si>
  <si>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</si>
  <si>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</si>
  <si>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</si>
  <si>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</si>
  <si>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</si>
  <si>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</si>
  <si>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</si>
  <si>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</si>
  <si>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</si>
  <si>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</si>
  <si>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</si>
  <si>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</si>
  <si>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</si>
  <si>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</si>
  <si>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</si>
  <si>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</si>
  <si>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</si>
  <si>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</si>
  <si>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</si>
  <si>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</si>
  <si>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</si>
  <si>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</si>
  <si>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</si>
  <si>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</si>
  <si>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</si>
  <si>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</si>
  <si>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</si>
  <si>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</si>
  <si>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</si>
  <si>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</si>
  <si>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</si>
  <si>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</si>
  <si>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</si>
  <si>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</si>
  <si>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</si>
  <si>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</si>
  <si>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</si>
  <si>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</si>
  <si>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</si>
  <si>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</si>
  <si>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</si>
  <si>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</si>
  <si>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</si>
  <si>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</si>
  <si>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</si>
  <si>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</si>
  <si>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</si>
  <si>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</si>
  <si>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</si>
  <si>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</si>
  <si>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</si>
  <si>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</si>
  <si>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</si>
  <si>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</si>
  <si>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</si>
  <si>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</si>
  <si>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</si>
  <si>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</si>
  <si>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</si>
  <si>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</si>
  <si>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</si>
  <si>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</si>
  <si>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</si>
  <si>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</si>
  <si>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</si>
  <si>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</si>
  <si>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</si>
  <si>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</si>
  <si>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</si>
  <si>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</si>
  <si>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</si>
  <si>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</si>
  <si>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</si>
  <si>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</si>
  <si>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</si>
  <si>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</si>
  <si>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</si>
  <si>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</si>
  <si>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</si>
  <si>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</si>
  <si>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</si>
  <si>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</si>
  <si>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</si>
  <si>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</si>
  <si>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</si>
  <si>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</si>
  <si>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</si>
  <si>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</si>
  <si>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</si>
  <si>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</si>
  <si>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</si>
  <si>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</si>
  <si>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</si>
  <si>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</si>
  <si>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</si>
  <si>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</si>
  <si>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</si>
  <si>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</si>
  <si>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</si>
  <si>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</si>
  <si>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</si>
  <si>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</si>
  <si>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</si>
  <si>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</si>
  <si>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</si>
  <si>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</si>
  <si>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</si>
  <si>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</si>
  <si>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</si>
  <si>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</si>
  <si>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</si>
  <si>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</si>
  <si>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</si>
  <si>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</si>
  <si>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</si>
  <si>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</si>
  <si>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</si>
  <si>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</si>
  <si>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</si>
  <si>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</si>
  <si>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</si>
  <si>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</si>
  <si>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</si>
  <si>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</si>
  <si>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</si>
  <si>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</si>
  <si>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</si>
  <si>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</si>
  <si>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</si>
  <si>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</si>
  <si>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</si>
  <si>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</si>
  <si>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</si>
  <si>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</si>
  <si>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</si>
  <si>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</si>
  <si>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</si>
  <si>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</si>
  <si>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</si>
  <si>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</si>
  <si>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</si>
  <si>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</si>
  <si>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</si>
  <si>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</si>
  <si>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</si>
  <si>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</si>
  <si>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</si>
  <si>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</si>
  <si>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</si>
  <si>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</si>
  <si>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</si>
  <si>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</si>
  <si>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</si>
  <si>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</si>
  <si>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</si>
  <si>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</si>
  <si>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</si>
  <si>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</si>
  <si>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</si>
  <si>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</si>
  <si>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</si>
  <si>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</si>
  <si>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</si>
  <si>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</si>
  <si>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</si>
  <si>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</si>
  <si>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</si>
  <si>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</si>
  <si>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</si>
  <si>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</si>
  <si>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</si>
  <si>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</si>
  <si>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</si>
  <si>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</si>
  <si>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</si>
  <si>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</si>
  <si>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</si>
  <si>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</si>
  <si>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</si>
  <si>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</si>
  <si>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</si>
  <si>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</si>
  <si>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</si>
  <si>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</si>
  <si>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</si>
  <si>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</si>
  <si>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</si>
  <si>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</si>
  <si>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</si>
  <si>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</si>
  <si>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</si>
  <si>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</si>
  <si>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</si>
  <si>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</si>
  <si>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</si>
  <si>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</si>
  <si>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</si>
  <si>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</si>
  <si>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</si>
  <si>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</si>
  <si>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</si>
  <si>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</si>
  <si>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</si>
  <si>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</si>
  <si>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</si>
  <si>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</si>
  <si>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</si>
  <si>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</si>
  <si>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</si>
  <si>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</si>
  <si>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</si>
  <si>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</si>
  <si>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</si>
  <si>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</si>
  <si>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</si>
  <si>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</si>
  <si>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</si>
  <si>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</si>
  <si>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</si>
  <si>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</si>
  <si>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</si>
  <si>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</si>
  <si>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</si>
  <si>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</si>
  <si>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</si>
  <si>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</si>
  <si>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</si>
  <si>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</si>
  <si>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</si>
  <si>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</si>
  <si>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</si>
  <si>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</si>
  <si>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</si>
  <si>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</si>
  <si>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</si>
  <si>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</si>
  <si>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</si>
  <si>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</si>
  <si>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</si>
  <si>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</si>
  <si>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</si>
  <si>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</si>
  <si>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</si>
  <si>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</si>
  <si>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</si>
  <si>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</si>
  <si>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</si>
  <si>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</si>
  <si>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</si>
  <si>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</si>
  <si>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</si>
  <si>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</si>
  <si>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</si>
  <si>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</si>
  <si>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</si>
  <si>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</si>
  <si>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</si>
  <si>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</si>
  <si>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</si>
  <si>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</si>
  <si>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</si>
  <si>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</si>
  <si>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</si>
  <si>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</si>
  <si>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</si>
  <si>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</si>
  <si>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</si>
  <si>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</si>
  <si>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</si>
  <si>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</si>
  <si>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</si>
  <si>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</si>
  <si>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</si>
  <si>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</si>
  <si>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</si>
  <si>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</si>
  <si>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</si>
  <si>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</si>
  <si>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</si>
  <si>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</si>
  <si>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</si>
  <si>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</si>
  <si>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</si>
  <si>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</si>
  <si>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</si>
  <si>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</si>
  <si>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</si>
  <si>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</si>
  <si>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</si>
  <si>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</si>
  <si>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</si>
  <si>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</si>
  <si>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</si>
  <si>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</si>
  <si>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</si>
  <si>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</si>
  <si>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</si>
  <si>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</si>
  <si>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</si>
  <si>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</si>
  <si>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</si>
  <si>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</si>
  <si>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</si>
  <si>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</si>
  <si>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</si>
  <si>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</si>
  <si>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</si>
  <si>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</si>
  <si>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</si>
  <si>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</si>
  <si>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</si>
  <si>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</si>
  <si>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</si>
  <si>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</si>
  <si>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</si>
  <si>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</si>
  <si>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</si>
  <si>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</si>
  <si>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</si>
  <si>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</si>
  <si>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</si>
  <si>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</si>
  <si>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</si>
  <si>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</si>
  <si>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</si>
  <si>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</si>
  <si>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</si>
  <si>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</si>
  <si>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</si>
  <si>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</si>
  <si>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</si>
  <si>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</si>
  <si>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</si>
  <si>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</si>
  <si>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</si>
  <si>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</si>
  <si>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</si>
  <si>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</si>
  <si>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</si>
  <si>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</si>
  <si>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</si>
  <si>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</si>
  <si>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</si>
  <si>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</si>
  <si>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</si>
  <si>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</si>
  <si>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</si>
  <si>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</si>
  <si>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</si>
  <si>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</si>
  <si>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</si>
  <si>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</si>
  <si>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</si>
  <si>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</si>
  <si>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</si>
  <si>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</si>
  <si>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</si>
  <si>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</si>
  <si>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</si>
  <si>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</si>
  <si>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</si>
  <si>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</si>
  <si>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</si>
  <si>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</si>
  <si>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</si>
  <si>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</si>
  <si>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</si>
  <si>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</si>
  <si>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</si>
  <si>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</si>
  <si>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</si>
  <si>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</si>
  <si>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</si>
  <si>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</si>
  <si>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</si>
  <si>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</si>
  <si>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</si>
  <si>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</si>
  <si>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</si>
  <si>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</si>
  <si>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</si>
  <si>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</si>
  <si>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</si>
  <si>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</si>
  <si>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</si>
  <si>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</si>
  <si>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</si>
  <si>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</si>
  <si>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</si>
  <si>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</si>
  <si>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</si>
  <si>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</si>
  <si>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</si>
  <si>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</si>
  <si>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</si>
  <si>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</si>
  <si>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</si>
  <si>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</si>
  <si>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</si>
  <si>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</si>
  <si>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</si>
  <si>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</si>
  <si>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</si>
  <si>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</si>
  <si>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</si>
  <si>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</si>
  <si>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</si>
  <si>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</si>
  <si>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</si>
  <si>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</si>
  <si>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</si>
  <si>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</si>
  <si>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</si>
  <si>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</si>
  <si>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</si>
  <si>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</si>
  <si>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</si>
  <si>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</si>
  <si>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</si>
  <si>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</si>
  <si>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</si>
  <si>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</si>
  <si>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</si>
  <si>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</si>
  <si>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</si>
  <si>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</si>
  <si>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</si>
  <si>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</si>
  <si>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</si>
  <si>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</si>
  <si>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</si>
  <si>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</si>
  <si>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</si>
  <si>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</si>
  <si>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</si>
  <si>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主要原因是在年底将部分项目完成后的余款交还财政。</t>
    <phoneticPr fontId="3" type="noConversion"/>
  </si>
  <si>
    <t>主要原因是因疫情未开展进修及培训项目。</t>
    <phoneticPr fontId="3" type="noConversion"/>
  </si>
  <si>
    <t>主要原因：一是基本养老保险及职业年金的基数有所调整，二是在年中发生教师的增员。</t>
    <phoneticPr fontId="3" type="noConversion"/>
  </si>
  <si>
    <t>主要原因是政府性基金的两个项目均为年内追加项目，无年初预算。</t>
    <phoneticPr fontId="3" type="noConversion"/>
  </si>
  <si>
    <t>主要原因是公积金的基数调整，购房补贴的追加，及教师的增员。</t>
    <phoneticPr fontId="3" type="noConversion"/>
  </si>
  <si>
    <t>主要原因是2020年项目的数量和金额较上年大幅减少。</t>
    <phoneticPr fontId="3" type="noConversion"/>
  </si>
  <si>
    <t>主要原因是坚决依照需求做支出，杜绝浪费！</t>
    <phoneticPr fontId="3" type="noConversion"/>
  </si>
  <si>
    <t>主要原因是在年中追加了一些项目。</t>
    <phoneticPr fontId="3" type="noConversion"/>
  </si>
  <si>
    <t>主要原因是医疗保险的基数有所调整，且有教师的增员。</t>
    <phoneticPr fontId="3" type="noConversion"/>
  </si>
  <si>
    <t>北京市三帆中学对2020年度部门项目支出实施绩效评价，评价项目2个，占项目总数的4.44%，涉及金额1051.77万元，占项目总金额的57.44%，评价结果良好。房屋租金项目使我校教育教学物质环境逐渐改善，学校布局趋于优化合理， 我校在租赁土地上建立了独立的形体教室、音乐教室、生物，物理实验室、风雨操场等，这些设施的增加提升了我校孩子们的技能，体质的增强，也增加了我校学生适应未来社会的生存能力，发展了学生自己，我们坚信学生们将来也会发展社会！</t>
  </si>
  <si>
    <t xml:space="preserve">1,主要职能:
学校全面实施素质教育，以满足学生成长的需要，为学生将来做好准备作为工作的出发点。学校积极推进义务教育阶段课程改革，认真规范地落实国家课程和地方课程，大力开发校本课程，建立以基础型、丰富型、发展型和专长型四类课程为核心的课程体系。坚持“有效教学”的课堂教学理念，坚持师生双主体互动式的课堂教学方式，以学生为本，以强化基础知识和技能、培养创新精神和实践能力为重点，满足不同兴趣爱好、不同发展方向、不同层次的学生的需求，促进学生全面而有个性地发展。
2,机构情况:
2020年，分两址办学，分别为新风街校区和裕中校区两个校区，总占地面积约2.4万平方米、建筑面积约2.29万平方米，运动场地面积约1.3万平方米。学校拥有一支在市区初中学校中首屈一指的教师队伍，三帆中学师资来源有着得天独厚的优势，教师绝大部分毕业于北京师范大学，教职工214人（师大二附中编制115人，西城教委编制95人，其他编制4人）其中，高级职称84人、中级职称84人。专任教师202人，包括北京市骨干教师4人，本科及以上学历202人，开设教学班61个，在校生2379人。
</t>
    <phoneticPr fontId="3" type="noConversion"/>
  </si>
  <si>
    <t>（西城教委编制，不含师大二附中派遣119人）</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</si>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</sst>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0" fillId="0" borderId="0" xfId="0" applyFill="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0" xfId="0" applyFont="1" applyAlignment="1">
      <alignment horizontal="center"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7" t="s">
        <v>0</v>
      </c>
      <c r="B1" s="28">
        <v>255029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北京市三帆中学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K14" sqref="K14"/>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450</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73" workbookViewId="0">
      <selection activeCell="A36" sqref="A36"/>
    </sheetView>
  </sheetViews>
  <sheetFormatPr defaultRowHeight="13.8"/>
  <cols>
    <col min="1" max="3" width="9.109375" customWidth="1"/>
    <col min="4" max="4" width="15.33203125" bestFit="1" customWidth="1"/>
    <col min="6" max="6" width="8.33203125" customWidth="1"/>
    <col min="7" max="7" width="11.664062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235.8" customHeight="1">
      <c r="A4" s="63" t="s">
        <v>463</v>
      </c>
      <c r="B4" s="63"/>
      <c r="C4" s="63"/>
      <c r="D4" s="63"/>
      <c r="E4" s="63"/>
      <c r="F4" s="63"/>
      <c r="G4" s="63"/>
      <c r="H4" s="63"/>
      <c r="I4" s="63"/>
      <c r="J4" s="63"/>
      <c r="K4" s="63"/>
      <c r="L4" s="63"/>
      <c r="M4" s="63"/>
      <c r="N4" s="19"/>
    </row>
    <row r="5" spans="1:14" ht="18" customHeight="1">
      <c r="A5" s="7" t="s">
        <v>183</v>
      </c>
    </row>
    <row r="6" spans="1:14" ht="18" customHeight="1">
      <c r="A6" s="62" t="s">
        <v>281</v>
      </c>
      <c r="B6" s="62"/>
      <c r="C6" s="10">
        <v>102</v>
      </c>
      <c r="D6" s="10" t="s">
        <v>283</v>
      </c>
      <c r="E6" s="8">
        <v>95</v>
      </c>
      <c r="F6" s="10" t="s">
        <v>284</v>
      </c>
      <c r="G6" s="64" t="s">
        <v>464</v>
      </c>
      <c r="H6" s="64"/>
      <c r="I6" s="64"/>
      <c r="J6" s="64"/>
      <c r="K6" s="64"/>
      <c r="L6" s="64"/>
      <c r="M6" s="64"/>
      <c r="N6" s="10"/>
    </row>
    <row r="7" spans="1:14" ht="18" customHeight="1">
      <c r="A7" s="6" t="s">
        <v>184</v>
      </c>
    </row>
    <row r="8" spans="1:14" ht="18" customHeight="1">
      <c r="A8" s="62" t="s">
        <v>185</v>
      </c>
      <c r="B8" s="62"/>
      <c r="C8" s="62"/>
      <c r="D8" s="14">
        <f>_xlfn.IFNA(VLOOKUP(封面!B1,'2020决算导出'!A:D,4,FALSE),"")</f>
        <v>69739842.739999995</v>
      </c>
      <c r="E8" s="7" t="s">
        <v>187</v>
      </c>
      <c r="F8" s="20" t="s">
        <v>285</v>
      </c>
      <c r="G8" s="30" t="str">
        <f>IF(ISNA(VLOOKUP(封面!B1,'2019决算导出'!A:C,3,FALSE)),"",IF(D8-VLOOKUP(封面!B1,'2019决算导出'!A:C,3,FALSE)&gt;0,"增加","减少"))</f>
        <v>减少</v>
      </c>
      <c r="H8" s="33">
        <f>IF(ISNA(VLOOKUP(封面!B1,'2019决算导出'!A:C,3,FALSE)),"",IF(D8-VLOOKUP(封面!B1,'2019决算导出'!A:C,3,FALSE)&gt;0,D8-VLOOKUP(封面!B1,'2019决算导出'!A:C,3,FALSE),VLOOKUP(封面!B1,'2019决算导出'!A:C,3,FALSE)-D8))</f>
        <v>23063854.150000006</v>
      </c>
      <c r="I8" s="16" t="s">
        <v>187</v>
      </c>
      <c r="J8" s="30" t="str">
        <f>IF(ISNA(VLOOKUP(封面!B1,'2019决算导出'!A:C,3,FALSE)),"",IF(D8-VLOOKUP(封面!B1,'2019决算导出'!A:C,3,FALSE)&gt;0,"增长","下降"))</f>
        <v>下降</v>
      </c>
      <c r="K8" s="31">
        <f>IF(ISNA(VLOOKUP(封面!B1,'2019决算导出'!A:C,3,FALSE)),"",H8/VLOOKUP(封面!B1,'2019决算导出'!A:C,3,FALSE))</f>
        <v>0.24852301064404295</v>
      </c>
      <c r="L8" s="7" t="s">
        <v>349</v>
      </c>
    </row>
    <row r="9" spans="1:14" ht="18" customHeight="1">
      <c r="A9" s="7" t="s">
        <v>188</v>
      </c>
      <c r="G9" s="32"/>
      <c r="H9" s="32"/>
      <c r="I9" s="32"/>
      <c r="J9" s="32"/>
      <c r="K9" s="32"/>
    </row>
    <row r="10" spans="1:14" ht="18" customHeight="1">
      <c r="A10" s="62" t="s">
        <v>189</v>
      </c>
      <c r="B10" s="62"/>
      <c r="C10" s="62"/>
      <c r="D10" s="14">
        <f>_xlfn.IFNA(VLOOKUP(封面!B1,'2020决算导出'!A:E,5,FALSE),"")</f>
        <v>68304828.219999999</v>
      </c>
      <c r="E10" s="7" t="s">
        <v>187</v>
      </c>
      <c r="F10" s="20" t="s">
        <v>285</v>
      </c>
      <c r="G10" s="30" t="str">
        <f>IF(ISNA(VLOOKUP(封面!B1,'2019决算导出'!A:D,4,FALSE)),"",IF(D10-VLOOKUP(封面!B1,'2019决算导出'!A:D,4,FALSE)&gt;0,"增加","减少"))</f>
        <v>减少</v>
      </c>
      <c r="H10" s="33">
        <f>IF(ISNA(VLOOKUP(封面!B1,'2019决算导出'!A:D,4,FALSE)),"",IF(D10-VLOOKUP(封面!B1,'2019决算导出'!A:D,4,FALSE)&gt;0,D10-VLOOKUP(封面!B1,'2019决算导出'!A:D,4,FALSE),VLOOKUP(封面!B1,'2019决算导出'!A:D,4,FALSE)-D10))</f>
        <v>22759832.609999999</v>
      </c>
      <c r="I10" s="16" t="s">
        <v>187</v>
      </c>
      <c r="J10" s="30" t="str">
        <f>IF(ISNA(VLOOKUP(封面!B1,'2019决算导出'!A:D,4,FALSE)),"",IF(D10-VLOOKUP(封面!B1,'2019决算导出'!A:D,4,FALSE)&gt;0,"增长","下降"))</f>
        <v>下降</v>
      </c>
      <c r="K10" s="31">
        <f>IF(ISNA(VLOOKUP(封面!B1,'2019决算导出'!A:D,4,FALSE)),"",H10/VLOOKUP(封面!B1,'2019决算导出'!A:D,4,FALSE))</f>
        <v>0.24993046042842215</v>
      </c>
      <c r="L10" s="7" t="s">
        <v>350</v>
      </c>
    </row>
    <row r="11" spans="1:14" ht="18" customHeight="1">
      <c r="A11" s="62" t="s">
        <v>190</v>
      </c>
      <c r="B11" s="62"/>
      <c r="C11" s="62"/>
      <c r="D11" s="14">
        <f>_xlfn.IFNA(VLOOKUP(封面!B1,'2020决算导出'!A:F,6,FALSE),"")</f>
        <v>68304828.219999999</v>
      </c>
      <c r="E11" s="7" t="s">
        <v>187</v>
      </c>
      <c r="F11" s="62" t="s">
        <v>191</v>
      </c>
      <c r="G11" s="62"/>
      <c r="H11" s="29">
        <f>D11/$D$10</f>
        <v>1</v>
      </c>
      <c r="I11" s="7" t="s">
        <v>351</v>
      </c>
    </row>
    <row r="12" spans="1:14" ht="18" customHeight="1">
      <c r="A12" s="62" t="s">
        <v>193</v>
      </c>
      <c r="B12" s="62"/>
      <c r="C12" s="62"/>
      <c r="D12" s="14">
        <f>_xlfn.IFNA(VLOOKUP(封面!B1,'2020决算导出'!A:G,7,FALSE),"")</f>
        <v>0</v>
      </c>
      <c r="E12" s="7" t="s">
        <v>187</v>
      </c>
      <c r="F12" s="62" t="s">
        <v>191</v>
      </c>
      <c r="G12" s="62"/>
      <c r="H12" s="29">
        <f t="shared" ref="H12:H15" si="0">D12/$D$10</f>
        <v>0</v>
      </c>
      <c r="I12" s="7" t="s">
        <v>351</v>
      </c>
    </row>
    <row r="13" spans="1:14" ht="18" customHeight="1">
      <c r="A13" s="62" t="s">
        <v>194</v>
      </c>
      <c r="B13" s="62"/>
      <c r="C13" s="62"/>
      <c r="D13" s="14">
        <f>_xlfn.IFNA(VLOOKUP(封面!B1,'2020决算导出'!A:H,8,FALSE),"")</f>
        <v>0</v>
      </c>
      <c r="E13" s="7" t="s">
        <v>187</v>
      </c>
      <c r="F13" s="62" t="s">
        <v>191</v>
      </c>
      <c r="G13" s="62"/>
      <c r="H13" s="29">
        <f t="shared" si="0"/>
        <v>0</v>
      </c>
      <c r="I13" s="7" t="s">
        <v>351</v>
      </c>
    </row>
    <row r="14" spans="1:14" ht="18" customHeight="1">
      <c r="A14" s="62" t="s">
        <v>195</v>
      </c>
      <c r="B14" s="62"/>
      <c r="C14" s="62"/>
      <c r="D14" s="14">
        <f>_xlfn.IFNA(VLOOKUP(封面!B1,'2020决算导出'!A:I,9,FALSE),"")</f>
        <v>0</v>
      </c>
      <c r="E14" s="7" t="s">
        <v>187</v>
      </c>
      <c r="F14" s="62" t="s">
        <v>191</v>
      </c>
      <c r="G14" s="62"/>
      <c r="H14" s="29">
        <f t="shared" si="0"/>
        <v>0</v>
      </c>
      <c r="I14" s="7" t="s">
        <v>351</v>
      </c>
    </row>
    <row r="15" spans="1:14" ht="18" customHeight="1">
      <c r="A15" s="62" t="s">
        <v>196</v>
      </c>
      <c r="B15" s="62"/>
      <c r="C15" s="62"/>
      <c r="D15" s="14">
        <f>_xlfn.IFNA(VLOOKUP(封面!B1,'2020决算导出'!A:J,10,FALSE),"")</f>
        <v>0</v>
      </c>
      <c r="E15" s="7" t="s">
        <v>187</v>
      </c>
      <c r="F15" s="62" t="s">
        <v>191</v>
      </c>
      <c r="G15" s="62"/>
      <c r="H15" s="29">
        <f t="shared" si="0"/>
        <v>0</v>
      </c>
      <c r="I15" s="7" t="s">
        <v>352</v>
      </c>
    </row>
    <row r="16" spans="1:14" ht="18" customHeight="1">
      <c r="A16" s="7" t="s">
        <v>197</v>
      </c>
    </row>
    <row r="17" spans="1:13" ht="18" customHeight="1">
      <c r="A17" s="62" t="s">
        <v>198</v>
      </c>
      <c r="B17" s="62"/>
      <c r="C17" s="62"/>
      <c r="D17" s="14">
        <f>_xlfn.IFNA(VLOOKUP(封面!B1,'2020决算导出'!A:K,11,FALSE),"")</f>
        <v>69693742.739999995</v>
      </c>
      <c r="E17" s="7" t="s">
        <v>187</v>
      </c>
      <c r="F17" s="20" t="s">
        <v>285</v>
      </c>
      <c r="G17" s="30" t="str">
        <f>IF(ISNA(VLOOKUP(封面!B1,'2019决算导出'!A:E,5,FALSE)),"",IF(D17-VLOOKUP(封面!B1,'2019决算导出'!A:E,5,FALSE)&gt;0,"增加","减少"))</f>
        <v>减少</v>
      </c>
      <c r="H17" s="33">
        <f>IF(ISNA(VLOOKUP(封面!B1,'2019决算导出'!A:E,5,FALSE)),"",IF(D17-VLOOKUP(封面!B1,'2019决算导出'!A:E,5,FALSE)&gt;0,D17-VLOOKUP(封面!B1,'2019决算导出'!A:E,5,FALSE),VLOOKUP(封面!B1,'2019决算导出'!A:E,5,FALSE)-D17))</f>
        <v>20200589.030000001</v>
      </c>
      <c r="I17" s="7" t="s">
        <v>187</v>
      </c>
      <c r="J17" s="30" t="str">
        <f>IF(ISNA(VLOOKUP(封面!B1,'2019决算导出'!A:E,5,FALSE)),"",IF(D17-VLOOKUP(封面!B1,'2019决算导出'!A:E,5,FALSE)&gt;0,"增长","下降"))</f>
        <v>下降</v>
      </c>
      <c r="K17" s="31">
        <f>IF(ISNA(VLOOKUP(封面!B1,'2019决算导出'!A:E,5,FALSE)),"",H17/VLOOKUP(封面!B1,'2019决算导出'!A:E,5,FALSE))</f>
        <v>0.224714824975666</v>
      </c>
      <c r="L17" s="7" t="s">
        <v>353</v>
      </c>
    </row>
    <row r="18" spans="1:13" ht="18" customHeight="1">
      <c r="A18" s="62" t="s">
        <v>199</v>
      </c>
      <c r="B18" s="62"/>
      <c r="C18" s="62"/>
      <c r="D18" s="14">
        <f>_xlfn.IFNA(VLOOKUP(封面!B1,'2020决算导出'!A:L,12,FALSE),"")</f>
        <v>51384454.979999997</v>
      </c>
      <c r="E18" s="7" t="s">
        <v>187</v>
      </c>
      <c r="F18" s="62" t="s">
        <v>200</v>
      </c>
      <c r="G18" s="62"/>
      <c r="H18" s="29">
        <f>D18/$D$17</f>
        <v>0.73728935998881895</v>
      </c>
      <c r="I18" s="7" t="s">
        <v>351</v>
      </c>
    </row>
    <row r="19" spans="1:13" ht="18" customHeight="1">
      <c r="A19" s="62" t="s">
        <v>201</v>
      </c>
      <c r="B19" s="62"/>
      <c r="C19" s="62"/>
      <c r="D19" s="14">
        <f>_xlfn.IFNA(VLOOKUP(封面!B1,'2020决算导出'!A:M,13,FALSE),"")</f>
        <v>18309287.760000002</v>
      </c>
      <c r="E19" s="7" t="s">
        <v>187</v>
      </c>
      <c r="F19" s="62" t="s">
        <v>200</v>
      </c>
      <c r="G19" s="62"/>
      <c r="H19" s="29">
        <f t="shared" ref="H19:H20" si="1">D19/$D$17</f>
        <v>0.26271064001118105</v>
      </c>
      <c r="I19" s="7" t="s">
        <v>351</v>
      </c>
    </row>
    <row r="20" spans="1:13" ht="18" customHeight="1">
      <c r="A20" s="62" t="s">
        <v>202</v>
      </c>
      <c r="B20" s="62"/>
      <c r="C20" s="62"/>
      <c r="D20" s="14">
        <f>_xlfn.IFNA(VLOOKUP(封面!B1,'2020决算导出'!A:N,14,FALSE),"")</f>
        <v>0</v>
      </c>
      <c r="E20" s="7" t="s">
        <v>187</v>
      </c>
      <c r="F20" s="62" t="s">
        <v>200</v>
      </c>
      <c r="G20" s="62"/>
      <c r="H20" s="29">
        <f t="shared" si="1"/>
        <v>0</v>
      </c>
      <c r="I20" s="7" t="s">
        <v>352</v>
      </c>
    </row>
    <row r="21" spans="1:13" ht="18" customHeight="1">
      <c r="A21" s="6" t="s">
        <v>203</v>
      </c>
    </row>
    <row r="22" spans="1:13" ht="18" customHeight="1">
      <c r="A22" s="62" t="s">
        <v>204</v>
      </c>
      <c r="B22" s="62"/>
      <c r="C22" s="62"/>
      <c r="D22" s="62"/>
      <c r="E22" s="66">
        <f>_xlfn.IFNA(VLOOKUP(封面!B1,'2020决算导出'!A:O,15,FALSE),"")</f>
        <v>69739842.739999995</v>
      </c>
      <c r="F22" s="66"/>
      <c r="G22" s="15" t="s">
        <v>285</v>
      </c>
      <c r="H22" s="30" t="str">
        <f>IF(ISNA(VLOOKUP(封面!B1,'2019决算导出'!A:F,6,FALSE)),"",IF(E22-VLOOKUP(封面!B1,'2019决算导出'!A:F,6,FALSE)&gt;0,"增加","减少"))</f>
        <v>减少</v>
      </c>
      <c r="I22" s="33">
        <f>IF(ISNA(VLOOKUP(封面!B1,'2019决算导出'!A:F,6,FALSE)),"",IF(E22-VLOOKUP(封面!B1,'2019决算导出'!A:F,6,FALSE)&gt;0,E22-VLOOKUP(封面!B1,'2019决算导出'!A:F,6,FALSE),VLOOKUP(封面!B1,'2019决算导出'!A:F,6,FALSE)-E22))</f>
        <v>23063854.150000006</v>
      </c>
      <c r="J22" s="7" t="s">
        <v>187</v>
      </c>
      <c r="K22" s="30" t="str">
        <f>IF(ISNA(VLOOKUP(封面!B1,'2019决算导出'!A:F,6,FALSE)),"",IF(E22-VLOOKUP(封面!B1,'2019决算导出'!A:F,6,FALSE)&gt;0,"增长","下降"))</f>
        <v>下降</v>
      </c>
      <c r="L22" s="31">
        <f>IF(ISNA(VLOOKUP(封面!B1,'2019决算导出'!A:F,6,FALSE)),"",I22/VLOOKUP(封面!B1,'2019决算导出'!A:F,6,FALSE))</f>
        <v>0.24852301064404295</v>
      </c>
      <c r="M22" s="7" t="s">
        <v>349</v>
      </c>
    </row>
    <row r="23" spans="1:13" ht="35.25" customHeight="1">
      <c r="B23" s="65" t="s">
        <v>458</v>
      </c>
      <c r="C23" s="65"/>
      <c r="D23" s="65"/>
      <c r="E23" s="65"/>
      <c r="F23" s="65"/>
      <c r="G23" s="65"/>
      <c r="H23" s="65"/>
      <c r="I23" s="65"/>
      <c r="J23" s="65"/>
      <c r="K23" s="65"/>
      <c r="L23" s="65"/>
      <c r="M23" s="65"/>
    </row>
    <row r="24" spans="1:13" ht="18" customHeight="1">
      <c r="A24" s="6" t="s">
        <v>205</v>
      </c>
    </row>
    <row r="25" spans="1:13" ht="18" customHeight="1">
      <c r="A25" s="7" t="s">
        <v>206</v>
      </c>
    </row>
    <row r="26" spans="1:13" ht="18" customHeight="1">
      <c r="A26" s="62" t="s">
        <v>207</v>
      </c>
      <c r="B26" s="62"/>
      <c r="C26" s="62"/>
      <c r="D26" s="62"/>
      <c r="E26" s="62"/>
      <c r="F26" s="66">
        <f>_xlfn.IFNA(VLOOKUP(封面!B1,'2020决算导出'!A:P,16,FALSE),"")</f>
        <v>69443742.739999995</v>
      </c>
      <c r="G26" s="66"/>
      <c r="H26" s="7" t="s">
        <v>187</v>
      </c>
      <c r="I26" s="10" t="s">
        <v>208</v>
      </c>
      <c r="J26" s="10"/>
      <c r="K26" s="10"/>
      <c r="L26" s="10"/>
      <c r="M26" s="10"/>
    </row>
    <row r="27" spans="1:13" ht="18" customHeight="1">
      <c r="A27" s="62" t="s">
        <v>211</v>
      </c>
      <c r="B27" s="62"/>
      <c r="C27" s="62"/>
      <c r="D27" s="66">
        <f>_xlfn.IFNA(VLOOKUP(封面!B1,'2020决算导出'!A:Q,17,FALSE),"")</f>
        <v>55265232.009999998</v>
      </c>
      <c r="E27" s="66"/>
      <c r="F27" s="7" t="s">
        <v>187</v>
      </c>
      <c r="G27" s="64" t="s">
        <v>210</v>
      </c>
      <c r="H27" s="64"/>
      <c r="I27" s="29">
        <f>D27/$F$26</f>
        <v>0.79582738241680206</v>
      </c>
      <c r="J27" s="7" t="s">
        <v>351</v>
      </c>
      <c r="K27" s="9"/>
      <c r="L27" s="9"/>
      <c r="M27" s="9"/>
    </row>
    <row r="28" spans="1:13" ht="18" customHeight="1">
      <c r="A28" s="62" t="s">
        <v>209</v>
      </c>
      <c r="B28" s="62"/>
      <c r="C28" s="62"/>
      <c r="D28" s="66">
        <f>_xlfn.IFNA(VLOOKUP(封面!B1,'2020决算导出'!A:S,19,FALSE),"")</f>
        <v>6389890.2800000003</v>
      </c>
      <c r="E28" s="66"/>
      <c r="F28" s="7" t="s">
        <v>187</v>
      </c>
      <c r="G28" s="64" t="s">
        <v>210</v>
      </c>
      <c r="H28" s="64"/>
      <c r="I28" s="29">
        <f t="shared" ref="I28:I30" si="2">D28/$F$26</f>
        <v>9.201534980515079E-2</v>
      </c>
      <c r="J28" s="7" t="s">
        <v>351</v>
      </c>
    </row>
    <row r="29" spans="1:13" ht="18" customHeight="1">
      <c r="A29" s="62" t="s">
        <v>212</v>
      </c>
      <c r="B29" s="62"/>
      <c r="C29" s="62"/>
      <c r="D29" s="66">
        <f>_xlfn.IFNA(VLOOKUP(封面!B1,'2020决算导出'!A:T,20,FALSE),"")</f>
        <v>2692654.05</v>
      </c>
      <c r="E29" s="66"/>
      <c r="F29" s="7" t="s">
        <v>187</v>
      </c>
      <c r="G29" s="64" t="s">
        <v>210</v>
      </c>
      <c r="H29" s="64"/>
      <c r="I29" s="29">
        <f t="shared" si="2"/>
        <v>3.8774610119754041E-2</v>
      </c>
      <c r="J29" s="7" t="s">
        <v>351</v>
      </c>
    </row>
    <row r="30" spans="1:13" ht="18" customHeight="1">
      <c r="A30" s="62" t="s">
        <v>213</v>
      </c>
      <c r="B30" s="62"/>
      <c r="C30" s="62"/>
      <c r="D30" s="66">
        <f>_xlfn.IFNA(VLOOKUP(封面!B1,'2020决算导出'!A:W,23,FALSE),"")</f>
        <v>5095966.4000000004</v>
      </c>
      <c r="E30" s="66"/>
      <c r="F30" s="7" t="s">
        <v>187</v>
      </c>
      <c r="G30" s="64" t="s">
        <v>210</v>
      </c>
      <c r="H30" s="64"/>
      <c r="I30" s="29">
        <f t="shared" si="2"/>
        <v>7.338265765829316E-2</v>
      </c>
      <c r="J30" s="7" t="s">
        <v>352</v>
      </c>
    </row>
    <row r="31" spans="1:13" ht="18" customHeight="1">
      <c r="A31" s="7" t="s">
        <v>214</v>
      </c>
    </row>
    <row r="32" spans="1:13" ht="18" customHeight="1">
      <c r="A32" s="67" t="s">
        <v>452</v>
      </c>
      <c r="B32" s="67"/>
      <c r="C32" s="67"/>
      <c r="D32" s="67"/>
      <c r="E32" s="66">
        <f>_xlfn.IFNA(VLOOKUP(封面!B1,一般公共预算财政拨款支出决算具体情况!A:C,3,FALSE),"")</f>
        <v>55265232.009999998</v>
      </c>
      <c r="F32" s="66"/>
      <c r="G32" s="7" t="s">
        <v>187</v>
      </c>
      <c r="H32" s="64" t="s">
        <v>215</v>
      </c>
      <c r="I32" s="64"/>
      <c r="J32" s="66">
        <f>_xlfn.IFNA(VLOOKUP(封面!B1,一般公共预算财政拨款支出决算具体情况!A:D,4,FALSE),"")</f>
        <v>47142502.57</v>
      </c>
      <c r="K32" s="66"/>
      <c r="L32" s="11" t="s">
        <v>186</v>
      </c>
    </row>
    <row r="33" spans="1:12" ht="18" customHeight="1">
      <c r="B33" s="15" t="str">
        <f>IF(E32&gt;J32,"增加","减少")</f>
        <v>增加</v>
      </c>
      <c r="C33" s="66">
        <f>ABS(E32-J32)</f>
        <v>8122729.4399999976</v>
      </c>
      <c r="D33" s="66"/>
      <c r="E33" s="7" t="s">
        <v>187</v>
      </c>
      <c r="F33" s="15" t="str">
        <f>IF(E32&gt;J32,"增长","下降")</f>
        <v>增长</v>
      </c>
      <c r="G33" s="34">
        <f>C33/J32</f>
        <v>0.17230161737677979</v>
      </c>
      <c r="H33" s="7" t="s">
        <v>352</v>
      </c>
      <c r="I33" s="11" t="s">
        <v>216</v>
      </c>
    </row>
    <row r="34" spans="1:12" ht="18" customHeight="1">
      <c r="A34" s="62" t="s">
        <v>217</v>
      </c>
      <c r="B34" s="62"/>
      <c r="C34" s="62"/>
      <c r="D34" s="62"/>
      <c r="E34" s="66">
        <f>_xlfn.IFNA(VLOOKUP(封面!B1,一般公共预算财政拨款支出决算具体情况!A:E,5,FALSE),"")</f>
        <v>51543597.549999997</v>
      </c>
      <c r="F34" s="66"/>
      <c r="G34" s="7" t="s">
        <v>187</v>
      </c>
      <c r="H34" s="64" t="s">
        <v>215</v>
      </c>
      <c r="I34" s="64"/>
      <c r="J34" s="66">
        <f>_xlfn.IFNA(VLOOKUP(封面!B1,一般公共预算财政拨款支出决算具体情况!A:F,6,FALSE),"")</f>
        <v>43254952.57</v>
      </c>
      <c r="K34" s="66"/>
      <c r="L34" s="11" t="s">
        <v>186</v>
      </c>
    </row>
    <row r="35" spans="1:12" ht="18" customHeight="1">
      <c r="A35" s="15"/>
      <c r="B35" s="15" t="str">
        <f>IF(E34&gt;J34,"增加","减少")</f>
        <v>增加</v>
      </c>
      <c r="C35" s="66">
        <f>ABS(E34-J34)</f>
        <v>8288644.9799999967</v>
      </c>
      <c r="D35" s="66"/>
      <c r="E35" s="7" t="s">
        <v>187</v>
      </c>
      <c r="F35" s="15" t="str">
        <f>IF(E34&gt;J34,"增长","下降")</f>
        <v>增长</v>
      </c>
      <c r="G35" s="34">
        <f>C35/J34</f>
        <v>0.19162302782753918</v>
      </c>
      <c r="H35" s="7" t="s">
        <v>352</v>
      </c>
    </row>
    <row r="36" spans="1:12" ht="36" customHeight="1">
      <c r="B36" s="63" t="s">
        <v>460</v>
      </c>
      <c r="C36" s="63"/>
      <c r="D36" s="63"/>
      <c r="E36" s="63"/>
      <c r="F36" s="63"/>
      <c r="G36" s="63"/>
      <c r="H36" s="63"/>
      <c r="I36" s="63"/>
      <c r="J36" s="63"/>
      <c r="K36" s="63"/>
      <c r="L36" s="63"/>
    </row>
    <row r="37" spans="1:12" ht="18" customHeight="1">
      <c r="A37" s="62" t="s">
        <v>218</v>
      </c>
      <c r="B37" s="62"/>
      <c r="C37" s="62"/>
      <c r="D37" s="62"/>
      <c r="E37" s="66">
        <f>_xlfn.IFNA(VLOOKUP(封面!B1,一般公共预算财政拨款支出决算具体情况!A:M,13,FALSE),"")</f>
        <v>0</v>
      </c>
      <c r="F37" s="66"/>
      <c r="G37" s="7" t="s">
        <v>187</v>
      </c>
      <c r="H37" s="64" t="s">
        <v>215</v>
      </c>
      <c r="I37" s="64"/>
      <c r="J37" s="66">
        <f>_xlfn.IFNA(VLOOKUP(封面!B1,一般公共预算财政拨款支出决算具体情况!A:N,14,FALSE),"")</f>
        <v>65600</v>
      </c>
      <c r="K37" s="66"/>
      <c r="L37" s="11" t="s">
        <v>186</v>
      </c>
    </row>
    <row r="38" spans="1:12" ht="18" customHeight="1">
      <c r="A38" s="15"/>
      <c r="B38" s="15" t="str">
        <f>IF(E37&gt;J37,"增加","减少")</f>
        <v>减少</v>
      </c>
      <c r="C38" s="66">
        <f>ABS(E37-J37)</f>
        <v>65600</v>
      </c>
      <c r="D38" s="66"/>
      <c r="E38" s="7" t="s">
        <v>187</v>
      </c>
      <c r="F38" s="15" t="str">
        <f>IF(E37&gt;J37,"增长","下降")</f>
        <v>下降</v>
      </c>
      <c r="G38" s="34">
        <f>C38/J37</f>
        <v>1</v>
      </c>
      <c r="H38" s="7" t="s">
        <v>352</v>
      </c>
    </row>
    <row r="39" spans="1:12" ht="36" customHeight="1">
      <c r="B39" s="63" t="s">
        <v>454</v>
      </c>
      <c r="C39" s="63"/>
      <c r="D39" s="63"/>
      <c r="E39" s="63"/>
      <c r="F39" s="63"/>
      <c r="G39" s="63"/>
      <c r="H39" s="63"/>
      <c r="I39" s="63"/>
      <c r="J39" s="63"/>
      <c r="K39" s="63"/>
      <c r="L39" s="63"/>
    </row>
    <row r="40" spans="1:12" ht="18" customHeight="1">
      <c r="A40" s="68" t="s">
        <v>219</v>
      </c>
      <c r="B40" s="68"/>
      <c r="C40" s="68"/>
      <c r="D40" s="68"/>
      <c r="E40" s="66">
        <f>_xlfn.IFNA(VLOOKUP(封面!B1,一般公共预算财政拨款支出决算具体情况!A:O,15,FALSE),"")</f>
        <v>3721634.46</v>
      </c>
      <c r="F40" s="66"/>
      <c r="G40" s="7" t="s">
        <v>187</v>
      </c>
      <c r="H40" s="64" t="s">
        <v>215</v>
      </c>
      <c r="I40" s="64"/>
      <c r="J40" s="66">
        <f>_xlfn.IFNA(VLOOKUP(封面!B1,一般公共预算财政拨款支出决算具体情况!A:P,16,FALSE),"")</f>
        <v>3821950</v>
      </c>
      <c r="K40" s="66"/>
      <c r="L40" s="11" t="s">
        <v>186</v>
      </c>
    </row>
    <row r="41" spans="1:12" ht="18" customHeight="1">
      <c r="A41" s="15"/>
      <c r="B41" s="15" t="str">
        <f>IF(E40&gt;J40,"增加","减少")</f>
        <v>减少</v>
      </c>
      <c r="C41" s="66">
        <f>ABS(E40-J40)</f>
        <v>100315.54000000004</v>
      </c>
      <c r="D41" s="66"/>
      <c r="E41" s="7" t="s">
        <v>187</v>
      </c>
      <c r="F41" s="15" t="str">
        <f>IF(E40&gt;J40,"增长","下降")</f>
        <v>下降</v>
      </c>
      <c r="G41" s="34">
        <f>C41/J40</f>
        <v>2.6247214118447399E-2</v>
      </c>
      <c r="H41" s="7" t="s">
        <v>352</v>
      </c>
    </row>
    <row r="42" spans="1:12" ht="36" customHeight="1">
      <c r="B42" s="63" t="s">
        <v>453</v>
      </c>
      <c r="C42" s="63"/>
      <c r="D42" s="63"/>
      <c r="E42" s="63"/>
      <c r="F42" s="63"/>
      <c r="G42" s="63"/>
      <c r="H42" s="63"/>
      <c r="I42" s="63"/>
      <c r="J42" s="63"/>
      <c r="K42" s="63"/>
      <c r="L42" s="63"/>
    </row>
    <row r="43" spans="1:12" ht="18" customHeight="1">
      <c r="A43" s="69" t="s">
        <v>465</v>
      </c>
      <c r="B43" s="69"/>
      <c r="C43" s="69"/>
      <c r="D43" s="69"/>
      <c r="E43" s="66">
        <f>_xlfn.IFNA(VLOOKUP(封面!B1,一般公共预算财政拨款支出决算具体情况!A:U,21,FALSE),"")</f>
        <v>6389890.2800000003</v>
      </c>
      <c r="F43" s="66"/>
      <c r="G43" s="7" t="s">
        <v>187</v>
      </c>
      <c r="H43" s="64" t="s">
        <v>215</v>
      </c>
      <c r="I43" s="64"/>
      <c r="J43" s="66">
        <f>_xlfn.IFNA(VLOOKUP(封面!B1,一般公共预算财政拨款支出决算具体情况!A:V,22,FALSE),"")</f>
        <v>5138771.5600000005</v>
      </c>
      <c r="K43" s="66"/>
      <c r="L43" s="11" t="s">
        <v>186</v>
      </c>
    </row>
    <row r="44" spans="1:12" ht="18" customHeight="1">
      <c r="B44" s="15" t="str">
        <f>IF(E43&gt;J43,"增加","减少")</f>
        <v>增加</v>
      </c>
      <c r="C44" s="66">
        <f>ABS(E43-J43)</f>
        <v>1251118.7199999997</v>
      </c>
      <c r="D44" s="66"/>
      <c r="E44" s="7" t="s">
        <v>187</v>
      </c>
      <c r="F44" s="15" t="str">
        <f>IF(E43&gt;J43,"增长","下降")</f>
        <v>增长</v>
      </c>
      <c r="G44" s="34">
        <f>C44/J43</f>
        <v>0.24346649882992652</v>
      </c>
      <c r="H44" s="7" t="s">
        <v>352</v>
      </c>
      <c r="I44" s="11" t="s">
        <v>216</v>
      </c>
    </row>
    <row r="45" spans="1:12" ht="18" customHeight="1">
      <c r="A45" s="68" t="s">
        <v>220</v>
      </c>
      <c r="B45" s="68"/>
      <c r="C45" s="68"/>
      <c r="D45" s="68"/>
      <c r="E45" s="66">
        <f>_xlfn.IFNA(VLOOKUP(封面!B1,一般公共预算财政拨款支出决算具体情况!A:W,23,FALSE),"")</f>
        <v>6389890.2800000003</v>
      </c>
      <c r="F45" s="66"/>
      <c r="G45" s="7" t="s">
        <v>187</v>
      </c>
      <c r="H45" s="64" t="s">
        <v>215</v>
      </c>
      <c r="I45" s="64"/>
      <c r="J45" s="66">
        <f>_xlfn.IFNA(VLOOKUP(封面!B1,一般公共预算财政拨款支出决算具体情况!A:X,24,FALSE),"")</f>
        <v>5138771.5600000005</v>
      </c>
      <c r="K45" s="66"/>
      <c r="L45" s="11" t="s">
        <v>186</v>
      </c>
    </row>
    <row r="46" spans="1:12" ht="18" customHeight="1">
      <c r="A46" s="15"/>
      <c r="B46" s="15" t="str">
        <f>IF(E45&gt;J45,"增加","减少")</f>
        <v>增加</v>
      </c>
      <c r="C46" s="66">
        <f>ABS(E45-J45)</f>
        <v>1251118.7199999997</v>
      </c>
      <c r="D46" s="66"/>
      <c r="E46" s="7" t="s">
        <v>187</v>
      </c>
      <c r="F46" s="15" t="str">
        <f>IF(E45&gt;J45,"增长","下降")</f>
        <v>增长</v>
      </c>
      <c r="G46" s="34">
        <f>C46/J45</f>
        <v>0.24346649882992652</v>
      </c>
      <c r="H46" s="7" t="s">
        <v>352</v>
      </c>
    </row>
    <row r="47" spans="1:12" ht="36" customHeight="1">
      <c r="B47" s="63" t="s">
        <v>455</v>
      </c>
      <c r="C47" s="63"/>
      <c r="D47" s="63"/>
      <c r="E47" s="63"/>
      <c r="F47" s="63"/>
      <c r="G47" s="63"/>
      <c r="H47" s="63"/>
      <c r="I47" s="63"/>
      <c r="J47" s="63"/>
      <c r="K47" s="63"/>
      <c r="L47" s="63"/>
    </row>
    <row r="48" spans="1:12" ht="18" customHeight="1">
      <c r="A48" s="69" t="s">
        <v>466</v>
      </c>
      <c r="B48" s="69"/>
      <c r="C48" s="69"/>
      <c r="D48" s="69"/>
      <c r="E48" s="66">
        <f>_xlfn.IFNA(VLOOKUP(封面!B1,一般公共预算财政拨款支出决算具体情况!A:AA,27,FALSE),"")</f>
        <v>2692654.05</v>
      </c>
      <c r="F48" s="66"/>
      <c r="G48" s="7" t="s">
        <v>187</v>
      </c>
      <c r="H48" s="64" t="s">
        <v>215</v>
      </c>
      <c r="I48" s="64"/>
      <c r="J48" s="66">
        <f>_xlfn.IFNA(VLOOKUP(封面!B1,一般公共预算财政拨款支出决算具体情况!A:AB,28,FALSE),"")</f>
        <v>1917809.32</v>
      </c>
      <c r="K48" s="66"/>
      <c r="L48" s="11" t="s">
        <v>186</v>
      </c>
    </row>
    <row r="49" spans="1:13" ht="18" customHeight="1">
      <c r="B49" s="15" t="str">
        <f>IF(E48&gt;J48,"增加","减少")</f>
        <v>增加</v>
      </c>
      <c r="C49" s="66">
        <f>ABS(E48-J48)</f>
        <v>774844.72999999975</v>
      </c>
      <c r="D49" s="66"/>
      <c r="E49" s="7" t="s">
        <v>187</v>
      </c>
      <c r="F49" s="15" t="str">
        <f>IF(E48&gt;J48,"增长","下降")</f>
        <v>增长</v>
      </c>
      <c r="G49" s="34">
        <f>C49/J48</f>
        <v>0.4040259487319624</v>
      </c>
      <c r="H49" s="7" t="s">
        <v>352</v>
      </c>
      <c r="I49" s="11" t="s">
        <v>216</v>
      </c>
    </row>
    <row r="50" spans="1:13" ht="18" customHeight="1">
      <c r="A50" s="68" t="s">
        <v>221</v>
      </c>
      <c r="B50" s="68"/>
      <c r="C50" s="68"/>
      <c r="D50" s="68"/>
      <c r="E50" s="66">
        <f>_xlfn.IFNA(VLOOKUP(封面!B1,一般公共预算财政拨款支出决算具体情况!A:AC,29,FALSE),"")</f>
        <v>2692654.05</v>
      </c>
      <c r="F50" s="66"/>
      <c r="G50" s="7" t="s">
        <v>187</v>
      </c>
      <c r="H50" s="64" t="s">
        <v>215</v>
      </c>
      <c r="I50" s="64"/>
      <c r="J50" s="66">
        <f>_xlfn.IFNA(VLOOKUP(封面!B1,一般公共预算财政拨款支出决算具体情况!A:AD,30,FALSE),"")</f>
        <v>1917809.32</v>
      </c>
      <c r="K50" s="66"/>
      <c r="L50" s="11" t="s">
        <v>186</v>
      </c>
    </row>
    <row r="51" spans="1:13" ht="18" customHeight="1">
      <c r="A51" s="15"/>
      <c r="B51" s="15" t="str">
        <f>IF(E50&gt;J50,"增加","减少")</f>
        <v>增加</v>
      </c>
      <c r="C51" s="66">
        <f>ABS(E50-J50)</f>
        <v>774844.72999999975</v>
      </c>
      <c r="D51" s="66"/>
      <c r="E51" s="7" t="s">
        <v>187</v>
      </c>
      <c r="F51" s="15" t="str">
        <f>IF(E50&gt;J50,"增长","下降")</f>
        <v>增长</v>
      </c>
      <c r="G51" s="34">
        <f>C51/J50</f>
        <v>0.4040259487319624</v>
      </c>
      <c r="H51" s="7" t="s">
        <v>352</v>
      </c>
    </row>
    <row r="52" spans="1:13" ht="36" customHeight="1">
      <c r="B52" s="63" t="s">
        <v>461</v>
      </c>
      <c r="C52" s="63"/>
      <c r="D52" s="63"/>
      <c r="E52" s="63"/>
      <c r="F52" s="63"/>
      <c r="G52" s="63"/>
      <c r="H52" s="63"/>
      <c r="I52" s="63"/>
      <c r="J52" s="63"/>
      <c r="K52" s="63"/>
      <c r="L52" s="63"/>
    </row>
    <row r="53" spans="1:13" ht="18" customHeight="1">
      <c r="A53" s="69" t="s">
        <v>467</v>
      </c>
      <c r="B53" s="69"/>
      <c r="C53" s="69"/>
      <c r="D53" s="69"/>
      <c r="E53" s="66">
        <f>_xlfn.IFNA(VLOOKUP(封面!B1,一般公共预算财政拨款支出决算具体情况!A:AM,39,FALSE),"")</f>
        <v>5095966.4000000004</v>
      </c>
      <c r="F53" s="66"/>
      <c r="G53" s="7" t="s">
        <v>187</v>
      </c>
      <c r="H53" s="64" t="s">
        <v>215</v>
      </c>
      <c r="I53" s="64"/>
      <c r="J53" s="66">
        <f>_xlfn.IFNA(VLOOKUP(封面!B1,一般公共预算财政拨款支出决算具体情况!A:AN,40,FALSE),"")</f>
        <v>4179559.6799999997</v>
      </c>
      <c r="K53" s="66"/>
      <c r="L53" s="11" t="s">
        <v>186</v>
      </c>
    </row>
    <row r="54" spans="1:13" ht="18" customHeight="1">
      <c r="B54" s="15" t="str">
        <f>IF(E53&gt;J53,"增加","减少")</f>
        <v>增加</v>
      </c>
      <c r="C54" s="66">
        <f>ABS(E53-J53)</f>
        <v>916406.72000000067</v>
      </c>
      <c r="D54" s="66"/>
      <c r="E54" s="7" t="s">
        <v>187</v>
      </c>
      <c r="F54" s="15" t="str">
        <f>IF(E53&gt;J53,"增长","下降")</f>
        <v>增长</v>
      </c>
      <c r="G54" s="34">
        <f>C54/J53</f>
        <v>0.21925915411261712</v>
      </c>
      <c r="H54" s="7" t="s">
        <v>352</v>
      </c>
      <c r="I54" s="11" t="s">
        <v>216</v>
      </c>
    </row>
    <row r="55" spans="1:13" ht="18" customHeight="1">
      <c r="A55" s="68" t="s">
        <v>222</v>
      </c>
      <c r="B55" s="68"/>
      <c r="C55" s="68"/>
      <c r="D55" s="68"/>
      <c r="E55" s="66">
        <f>_xlfn.IFNA(VLOOKUP(封面!B1,一般公共预算财政拨款支出决算具体情况!A:AO,41,FALSE),"")</f>
        <v>5095966.4000000004</v>
      </c>
      <c r="F55" s="66"/>
      <c r="G55" s="7" t="s">
        <v>187</v>
      </c>
      <c r="H55" s="64" t="s">
        <v>215</v>
      </c>
      <c r="I55" s="64"/>
      <c r="J55" s="66">
        <f>_xlfn.IFNA(VLOOKUP(封面!B1,一般公共预算财政拨款支出决算具体情况!A:AP,42,FALSE),"")</f>
        <v>4179559.6799999997</v>
      </c>
      <c r="K55" s="66"/>
      <c r="L55" s="11" t="s">
        <v>186</v>
      </c>
    </row>
    <row r="56" spans="1:13" ht="18" customHeight="1">
      <c r="A56" s="15"/>
      <c r="B56" s="15" t="str">
        <f>IF(E55&gt;J55,"增加","减少")</f>
        <v>增加</v>
      </c>
      <c r="C56" s="66">
        <f>ABS(E55-J55)</f>
        <v>916406.72000000067</v>
      </c>
      <c r="D56" s="66"/>
      <c r="E56" s="7" t="s">
        <v>187</v>
      </c>
      <c r="F56" s="15" t="str">
        <f>IF(E55&gt;J55,"增长","下降")</f>
        <v>增长</v>
      </c>
      <c r="G56" s="34">
        <f>C56/J55</f>
        <v>0.21925915411261712</v>
      </c>
      <c r="H56" s="7" t="s">
        <v>352</v>
      </c>
    </row>
    <row r="57" spans="1:13" ht="36" customHeight="1">
      <c r="B57" s="63" t="s">
        <v>457</v>
      </c>
      <c r="C57" s="63"/>
      <c r="D57" s="63"/>
      <c r="E57" s="63"/>
      <c r="F57" s="63"/>
      <c r="G57" s="63"/>
      <c r="H57" s="63"/>
      <c r="I57" s="63"/>
      <c r="J57" s="63"/>
      <c r="K57" s="63"/>
      <c r="L57" s="63"/>
    </row>
    <row r="58" spans="1:13" ht="18" customHeight="1">
      <c r="A58" s="6" t="s">
        <v>223</v>
      </c>
    </row>
    <row r="59" spans="1:13" ht="18" customHeight="1">
      <c r="A59" s="7" t="str">
        <f>IF(_xlfn.IFNA(VLOOKUP(封面!B1,'2020决算导出'!A:X,24,FALSE),"")=0,"本年度无此项支出。","")</f>
        <v/>
      </c>
    </row>
    <row r="60" spans="1:13" ht="18" customHeight="1">
      <c r="A60" s="7" t="s">
        <v>224</v>
      </c>
    </row>
    <row r="61" spans="1:13" ht="18" customHeight="1">
      <c r="A61" s="62" t="s">
        <v>225</v>
      </c>
      <c r="B61" s="62"/>
      <c r="C61" s="62"/>
      <c r="D61" s="62"/>
      <c r="E61" s="62"/>
      <c r="F61" s="66">
        <f>_xlfn.IFNA(VLOOKUP(封面!B1,'2020决算导出'!A:X,24,FALSE),"")</f>
        <v>250000</v>
      </c>
      <c r="G61" s="66"/>
      <c r="H61" s="7" t="s">
        <v>187</v>
      </c>
      <c r="I61" s="67" t="s">
        <v>208</v>
      </c>
      <c r="J61" s="67"/>
      <c r="K61" s="67"/>
      <c r="L61" s="67"/>
      <c r="M61" s="67"/>
    </row>
    <row r="62" spans="1:13" ht="18" customHeight="1">
      <c r="A62" s="62" t="s">
        <v>226</v>
      </c>
      <c r="B62" s="62"/>
      <c r="C62" s="62"/>
      <c r="D62" s="66">
        <f>_xlfn.IFNA(VLOOKUP(封面!B1,'2020决算导出'!A:Y,25,FALSE),"")</f>
        <v>250000</v>
      </c>
      <c r="E62" s="66"/>
      <c r="F62" s="7" t="s">
        <v>187</v>
      </c>
      <c r="G62" s="64" t="s">
        <v>210</v>
      </c>
      <c r="H62" s="64"/>
      <c r="I62" s="13">
        <v>100</v>
      </c>
      <c r="J62" s="7" t="s">
        <v>192</v>
      </c>
      <c r="K62" s="9"/>
      <c r="L62" s="9"/>
      <c r="M62" s="9"/>
    </row>
    <row r="63" spans="1:13" ht="18" customHeight="1">
      <c r="A63" s="7" t="s">
        <v>227</v>
      </c>
    </row>
    <row r="64" spans="1:13" ht="18" customHeight="1">
      <c r="A64" s="67" t="s">
        <v>228</v>
      </c>
      <c r="B64" s="67"/>
      <c r="C64" s="67"/>
      <c r="D64" s="67"/>
      <c r="E64" s="66">
        <f>_xlfn.IFNA(VLOOKUP(封面!B1,'2020决算导出'!A:Y,25,FALSE),"")</f>
        <v>250000</v>
      </c>
      <c r="F64" s="66"/>
      <c r="G64" s="7" t="s">
        <v>187</v>
      </c>
      <c r="H64" s="64" t="s">
        <v>215</v>
      </c>
      <c r="I64" s="64"/>
      <c r="J64" s="66">
        <f>_xlfn.IFNA(VLOOKUP(封面!B1,'2020决算导出'!A:Z,26,FALSE),"")</f>
        <v>0</v>
      </c>
      <c r="K64" s="66"/>
      <c r="L64" s="11" t="s">
        <v>186</v>
      </c>
    </row>
    <row r="65" spans="1:13" ht="18" customHeight="1">
      <c r="B65" s="15" t="str">
        <f>IF(E64&gt;J64,"增加","减少")</f>
        <v>增加</v>
      </c>
      <c r="C65" s="66">
        <f>ABS(E64-J64)</f>
        <v>250000</v>
      </c>
      <c r="D65" s="66"/>
      <c r="E65" s="7" t="s">
        <v>187</v>
      </c>
      <c r="F65" s="15" t="str">
        <f>IF(E64&gt;J64,"增长","下降")</f>
        <v>增长</v>
      </c>
      <c r="G65" s="34" t="e">
        <f>C65/J64</f>
        <v>#DIV/0!</v>
      </c>
      <c r="H65" s="7" t="s">
        <v>352</v>
      </c>
      <c r="I65" s="11" t="s">
        <v>216</v>
      </c>
    </row>
    <row r="66" spans="1:13" ht="18" customHeight="1">
      <c r="A66" s="68" t="s">
        <v>229</v>
      </c>
      <c r="B66" s="68"/>
      <c r="C66" s="68"/>
      <c r="D66" s="68"/>
      <c r="E66" s="66">
        <f>E64</f>
        <v>250000</v>
      </c>
      <c r="F66" s="66"/>
      <c r="G66" s="7" t="s">
        <v>187</v>
      </c>
      <c r="H66" s="64" t="s">
        <v>215</v>
      </c>
      <c r="I66" s="64"/>
      <c r="J66" s="66">
        <f>J64</f>
        <v>0</v>
      </c>
      <c r="K66" s="66"/>
      <c r="L66" s="11" t="s">
        <v>186</v>
      </c>
    </row>
    <row r="67" spans="1:13" ht="18" customHeight="1">
      <c r="A67" s="15"/>
      <c r="B67" s="15" t="str">
        <f>B65</f>
        <v>增加</v>
      </c>
      <c r="C67" s="66">
        <f>C65</f>
        <v>250000</v>
      </c>
      <c r="D67" s="66"/>
      <c r="E67" s="7" t="s">
        <v>187</v>
      </c>
      <c r="F67" s="15" t="str">
        <f>F65</f>
        <v>增长</v>
      </c>
      <c r="G67" s="34" t="e">
        <f>G65</f>
        <v>#DIV/0!</v>
      </c>
      <c r="H67" s="7" t="s">
        <v>352</v>
      </c>
    </row>
    <row r="68" spans="1:13" ht="36" customHeight="1">
      <c r="B68" s="63" t="s">
        <v>456</v>
      </c>
      <c r="C68" s="63"/>
      <c r="D68" s="63"/>
      <c r="E68" s="63"/>
      <c r="F68" s="63"/>
      <c r="G68" s="63"/>
      <c r="H68" s="63"/>
      <c r="I68" s="63"/>
      <c r="J68" s="63"/>
      <c r="K68" s="63"/>
      <c r="L68" s="63"/>
    </row>
    <row r="69" spans="1:13" ht="18" customHeight="1">
      <c r="A69" s="6" t="s">
        <v>230</v>
      </c>
    </row>
    <row r="70" spans="1:13" ht="18" customHeight="1">
      <c r="A70" s="7" t="s">
        <v>231</v>
      </c>
    </row>
    <row r="71" spans="1:13" ht="18" customHeight="1">
      <c r="A71" s="6" t="s">
        <v>232</v>
      </c>
    </row>
    <row r="72" spans="1:13" ht="18" customHeight="1">
      <c r="A72" s="7" t="s">
        <v>233</v>
      </c>
      <c r="G72" s="66">
        <f>_xlfn.IFNA(VLOOKUP(封面!B1,'2020决算导出'!A:AA,27,FALSE),"")</f>
        <v>51384454.979999997</v>
      </c>
      <c r="H72" s="66"/>
      <c r="I72" s="11" t="s">
        <v>187</v>
      </c>
    </row>
    <row r="73" spans="1:13" ht="130.19999999999999" customHeight="1">
      <c r="A73" s="63" t="s">
        <v>234</v>
      </c>
      <c r="B73" s="63"/>
      <c r="C73" s="63"/>
      <c r="D73" s="63"/>
      <c r="E73" s="63"/>
      <c r="F73" s="63"/>
      <c r="G73" s="63"/>
      <c r="H73" s="63"/>
      <c r="I73" s="63"/>
      <c r="J73" s="63"/>
      <c r="K73" s="63"/>
      <c r="L73" s="63"/>
      <c r="M73" s="63"/>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5">
    <mergeCell ref="G62:H62"/>
    <mergeCell ref="C54:D54"/>
    <mergeCell ref="A55:D55"/>
    <mergeCell ref="E55:F55"/>
    <mergeCell ref="C56:D56"/>
    <mergeCell ref="A53:D53"/>
    <mergeCell ref="E53:F53"/>
    <mergeCell ref="H53:I53"/>
    <mergeCell ref="J53:K53"/>
    <mergeCell ref="B57:L57"/>
    <mergeCell ref="A61:E61"/>
    <mergeCell ref="F61:G61"/>
    <mergeCell ref="I61:M61"/>
    <mergeCell ref="A62:C62"/>
    <mergeCell ref="D62:E62"/>
    <mergeCell ref="C67:D67"/>
    <mergeCell ref="B68:L68"/>
    <mergeCell ref="G72:H72"/>
    <mergeCell ref="A73:M73"/>
    <mergeCell ref="A64:D64"/>
    <mergeCell ref="E64:F64"/>
    <mergeCell ref="H64:I64"/>
    <mergeCell ref="J64:K64"/>
    <mergeCell ref="C65:D65"/>
    <mergeCell ref="A66:D66"/>
    <mergeCell ref="E66:F66"/>
    <mergeCell ref="H66:I66"/>
    <mergeCell ref="J66:K66"/>
    <mergeCell ref="C51:D51"/>
    <mergeCell ref="B52:L52"/>
    <mergeCell ref="A48:D48"/>
    <mergeCell ref="E48:F48"/>
    <mergeCell ref="H48:I48"/>
    <mergeCell ref="J48:K48"/>
    <mergeCell ref="C49:D49"/>
    <mergeCell ref="B47:L47"/>
    <mergeCell ref="H55:I55"/>
    <mergeCell ref="J55:K55"/>
    <mergeCell ref="C44:D44"/>
    <mergeCell ref="A45:D45"/>
    <mergeCell ref="E45:F45"/>
    <mergeCell ref="H45:I45"/>
    <mergeCell ref="J45:K45"/>
    <mergeCell ref="C46:D46"/>
    <mergeCell ref="A50:D50"/>
    <mergeCell ref="E50:F50"/>
    <mergeCell ref="H50:I50"/>
    <mergeCell ref="J50:K50"/>
    <mergeCell ref="C41:D41"/>
    <mergeCell ref="B42:L42"/>
    <mergeCell ref="C38:D38"/>
    <mergeCell ref="B39:L39"/>
    <mergeCell ref="A40:D40"/>
    <mergeCell ref="E40:F40"/>
    <mergeCell ref="H40:I40"/>
    <mergeCell ref="J40:K40"/>
    <mergeCell ref="A43:D43"/>
    <mergeCell ref="E43:F43"/>
    <mergeCell ref="H43:I43"/>
    <mergeCell ref="J43:K43"/>
    <mergeCell ref="B36:L36"/>
    <mergeCell ref="C33:D33"/>
    <mergeCell ref="C35:D35"/>
    <mergeCell ref="A34:D34"/>
    <mergeCell ref="E34:F34"/>
    <mergeCell ref="H34:I34"/>
    <mergeCell ref="J34:K34"/>
    <mergeCell ref="A37:D37"/>
    <mergeCell ref="E37:F37"/>
    <mergeCell ref="H37:I37"/>
    <mergeCell ref="J37:K37"/>
    <mergeCell ref="A32:D32"/>
    <mergeCell ref="E32:F32"/>
    <mergeCell ref="H32:I32"/>
    <mergeCell ref="J32:K32"/>
    <mergeCell ref="A30:C30"/>
    <mergeCell ref="D30:E30"/>
    <mergeCell ref="G30:H30"/>
    <mergeCell ref="G28:H28"/>
    <mergeCell ref="D27:E27"/>
    <mergeCell ref="G27:H27"/>
    <mergeCell ref="A28:C28"/>
    <mergeCell ref="A27:C27"/>
    <mergeCell ref="D28:E28"/>
    <mergeCell ref="A26:E26"/>
    <mergeCell ref="F26:G26"/>
    <mergeCell ref="A19:C19"/>
    <mergeCell ref="F19:G19"/>
    <mergeCell ref="A20:C20"/>
    <mergeCell ref="F20:G20"/>
    <mergeCell ref="A22:D22"/>
    <mergeCell ref="E22:F22"/>
    <mergeCell ref="A29:C29"/>
    <mergeCell ref="D29:E29"/>
    <mergeCell ref="G29:H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M4"/>
    <mergeCell ref="G6:M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A14" sqref="A14:N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279</v>
      </c>
      <c r="B1" s="60"/>
      <c r="C1" s="60"/>
      <c r="D1" s="60"/>
      <c r="E1" s="60"/>
      <c r="F1" s="60"/>
      <c r="G1" s="60"/>
      <c r="H1" s="60"/>
      <c r="I1" s="60"/>
      <c r="J1" s="60"/>
      <c r="K1" s="60"/>
      <c r="L1" s="60"/>
      <c r="M1" s="60"/>
      <c r="N1" s="60"/>
    </row>
    <row r="2" spans="1:14" ht="18" customHeight="1">
      <c r="A2" s="6" t="s">
        <v>235</v>
      </c>
    </row>
    <row r="3" spans="1:14" ht="18" customHeight="1">
      <c r="A3" s="16" t="str">
        <f>IF(_xlfn.IFNA(VLOOKUP(封面!B1,'2020决算导出'!A:AB,28,FALSE),"")=0,"本年度无此项支出。","")</f>
        <v/>
      </c>
    </row>
    <row r="4" spans="1:14" ht="18" customHeight="1">
      <c r="A4" s="7" t="s">
        <v>236</v>
      </c>
      <c r="F4" s="66">
        <f>_xlfn.IFNA(VLOOKUP(封面!B1,'2020决算导出'!A:AB,28,FALSE),"")</f>
        <v>5605.6</v>
      </c>
      <c r="G4" s="66"/>
      <c r="H4" s="7" t="s">
        <v>187</v>
      </c>
      <c r="I4" s="7" t="s">
        <v>237</v>
      </c>
    </row>
    <row r="5" spans="1:14" ht="18" customHeight="1">
      <c r="A5" s="71">
        <f>_xlfn.IFNA(VLOOKUP(封面!B1,'2020决算导出'!A:AC,29,FALSE),"")</f>
        <v>27000</v>
      </c>
      <c r="B5" s="71"/>
      <c r="C5" s="7" t="s">
        <v>186</v>
      </c>
      <c r="D5" s="30" t="str">
        <f>IF(F4&gt;A5,"增加","减少")</f>
        <v>减少</v>
      </c>
      <c r="E5" s="71">
        <f>ABS(F4-A5)</f>
        <v>21394.400000000001</v>
      </c>
      <c r="F5" s="71"/>
      <c r="G5" s="7" t="s">
        <v>239</v>
      </c>
    </row>
    <row r="6" spans="1:14" ht="18" customHeight="1">
      <c r="A6" s="7" t="s">
        <v>240</v>
      </c>
    </row>
    <row r="7" spans="1:14" ht="18" customHeight="1">
      <c r="A7" s="56" t="s">
        <v>451</v>
      </c>
      <c r="B7" s="19"/>
      <c r="C7" s="19"/>
      <c r="D7" s="19"/>
      <c r="E7" s="19"/>
      <c r="F7" s="19"/>
      <c r="G7" s="19"/>
      <c r="H7" s="19"/>
      <c r="I7" s="19"/>
      <c r="J7" s="19"/>
      <c r="K7" s="19"/>
      <c r="L7" s="19"/>
      <c r="M7" s="19"/>
      <c r="N7" s="19"/>
    </row>
    <row r="8" spans="1:14" ht="18" customHeight="1">
      <c r="A8" s="7" t="s">
        <v>242</v>
      </c>
    </row>
    <row r="9" spans="1:14" ht="39" customHeight="1">
      <c r="A9" s="70" t="s">
        <v>243</v>
      </c>
      <c r="B9" s="70"/>
      <c r="C9" s="70"/>
      <c r="D9" s="70"/>
      <c r="E9" s="70"/>
      <c r="F9" s="70"/>
      <c r="G9" s="70"/>
      <c r="H9" s="70"/>
      <c r="I9" s="70"/>
      <c r="J9" s="70"/>
      <c r="K9" s="70"/>
      <c r="L9" s="70"/>
      <c r="M9" s="70"/>
      <c r="N9" s="70"/>
    </row>
    <row r="10" spans="1:14" ht="18" customHeight="1">
      <c r="A10" s="7" t="s">
        <v>244</v>
      </c>
    </row>
    <row r="11" spans="1:14" ht="18" customHeight="1">
      <c r="A11" s="62" t="s">
        <v>241</v>
      </c>
      <c r="B11" s="62"/>
      <c r="C11" s="35">
        <f>_xlfn.IFNA(VLOOKUP(封面!B1,'2020决算导出'!A:AI,35,FALSE),"")</f>
        <v>5605.6</v>
      </c>
      <c r="D11" s="7" t="s">
        <v>187</v>
      </c>
      <c r="E11" s="62" t="s">
        <v>245</v>
      </c>
      <c r="F11" s="62"/>
      <c r="G11" s="62"/>
      <c r="H11" s="71">
        <f>_xlfn.IFNA(VLOOKUP(封面!B1,'2020决算导出'!A:AJ,36,FALSE),"")</f>
        <v>27000</v>
      </c>
      <c r="I11" s="71"/>
      <c r="J11" s="16" t="s">
        <v>186</v>
      </c>
      <c r="K11" s="30" t="str">
        <f>IF(C11&gt;H11,"增加","减少")</f>
        <v>减少</v>
      </c>
      <c r="L11" s="71">
        <f>ABS(C11-H11)</f>
        <v>21394.400000000001</v>
      </c>
      <c r="M11" s="71"/>
      <c r="N11" s="7" t="s">
        <v>238</v>
      </c>
    </row>
    <row r="12" spans="1:14" ht="18" customHeight="1">
      <c r="A12" s="62" t="s">
        <v>246</v>
      </c>
      <c r="B12" s="62"/>
      <c r="C12" s="62"/>
      <c r="D12" s="62"/>
      <c r="E12" s="62"/>
      <c r="F12" s="71">
        <f>_xlfn.IFNA(VLOOKUP(封面!B1,'2020决算导出'!A:AK,37,FALSE),"")</f>
        <v>0</v>
      </c>
      <c r="G12" s="71"/>
      <c r="H12" s="17" t="s">
        <v>187</v>
      </c>
      <c r="I12" s="62" t="s">
        <v>245</v>
      </c>
      <c r="J12" s="62"/>
      <c r="K12" s="62"/>
      <c r="L12" s="71">
        <f>_xlfn.IFNA(VLOOKUP(封面!B1,'2020决算导出'!A:AL,38,FALSE),"")</f>
        <v>0</v>
      </c>
      <c r="M12" s="71"/>
      <c r="N12" s="7" t="s">
        <v>186</v>
      </c>
    </row>
    <row r="13" spans="1:14" ht="18" customHeight="1">
      <c r="A13" s="15" t="str">
        <f>IF(F12&gt;L12,"增加","减少")</f>
        <v>减少</v>
      </c>
      <c r="B13" s="71">
        <f>ABS(F12-L12)</f>
        <v>0</v>
      </c>
      <c r="C13" s="71"/>
      <c r="D13" s="7" t="s">
        <v>238</v>
      </c>
      <c r="H13" s="71"/>
      <c r="I13" s="71"/>
      <c r="J13" s="16"/>
    </row>
    <row r="14" spans="1:14" ht="36" customHeight="1">
      <c r="A14" s="63" t="s">
        <v>459</v>
      </c>
      <c r="B14" s="63"/>
      <c r="C14" s="63"/>
      <c r="D14" s="63"/>
      <c r="E14" s="63"/>
      <c r="F14" s="63"/>
      <c r="G14" s="63"/>
      <c r="H14" s="63"/>
      <c r="I14" s="63"/>
      <c r="J14" s="63"/>
      <c r="K14" s="63"/>
      <c r="L14" s="63"/>
      <c r="M14" s="63"/>
      <c r="N14" s="63"/>
    </row>
    <row r="15" spans="1:14" ht="18" customHeight="1">
      <c r="A15" s="62" t="s">
        <v>247</v>
      </c>
      <c r="B15" s="62"/>
      <c r="C15" s="62"/>
      <c r="D15" s="8">
        <f>_xlfn.IFNA(VLOOKUP(封面!B1,'2020决算导出'!A:AM,39,FALSE),"")</f>
        <v>0</v>
      </c>
      <c r="E15" s="7" t="s">
        <v>248</v>
      </c>
      <c r="F15" s="62" t="s">
        <v>249</v>
      </c>
      <c r="G15" s="62"/>
      <c r="H15" s="71">
        <f>IF(D15=0,0,F12/D15)</f>
        <v>0</v>
      </c>
      <c r="I15" s="71"/>
      <c r="J15" s="7" t="s">
        <v>238</v>
      </c>
    </row>
    <row r="16" spans="1:14" ht="18" customHeight="1">
      <c r="A16" s="64" t="s">
        <v>250</v>
      </c>
      <c r="B16" s="64"/>
      <c r="C16" s="64"/>
      <c r="D16" s="64"/>
      <c r="E16" s="64"/>
      <c r="F16" s="71">
        <f>_xlfn.IFNA(VLOOKUP(封面!B1,'2020决算导出'!A:AO,41,FALSE),"")</f>
        <v>5605.6</v>
      </c>
      <c r="G16" s="71" t="s">
        <v>187</v>
      </c>
      <c r="H16" s="7" t="s">
        <v>187</v>
      </c>
      <c r="I16" s="7" t="s">
        <v>245</v>
      </c>
      <c r="L16" s="71">
        <f>_xlfn.IFNA(VLOOKUP(封面!B1,'2020决算导出'!A:AP,42,FALSE),"")</f>
        <v>27000</v>
      </c>
      <c r="M16" s="71" t="s">
        <v>187</v>
      </c>
      <c r="N16" s="7" t="s">
        <v>187</v>
      </c>
    </row>
    <row r="17" spans="1:14" ht="18" customHeight="1">
      <c r="A17" s="15" t="str">
        <f>IF(F16&gt;L16,"增加","减少")</f>
        <v>减少</v>
      </c>
      <c r="B17" s="71">
        <f>ABS(F16-L16)</f>
        <v>21394.400000000001</v>
      </c>
      <c r="C17" s="71"/>
      <c r="D17" s="7" t="s">
        <v>238</v>
      </c>
    </row>
    <row r="18" spans="1:14" ht="36" customHeight="1">
      <c r="A18" s="63" t="s">
        <v>251</v>
      </c>
      <c r="B18" s="63"/>
      <c r="C18" s="63"/>
      <c r="D18" s="63"/>
      <c r="E18" s="63"/>
      <c r="F18" s="63"/>
      <c r="G18" s="63"/>
      <c r="H18" s="63"/>
      <c r="I18" s="63"/>
      <c r="J18" s="63"/>
      <c r="K18" s="63"/>
      <c r="L18" s="63"/>
      <c r="M18" s="63"/>
      <c r="N18" s="63"/>
    </row>
    <row r="19" spans="1:14" ht="18" customHeight="1">
      <c r="A19" s="62" t="s">
        <v>252</v>
      </c>
      <c r="B19" s="62"/>
      <c r="C19" s="62"/>
      <c r="D19" s="62"/>
      <c r="E19" s="62"/>
      <c r="F19" s="62"/>
      <c r="G19" s="71">
        <f>_xlfn.IFNA(VLOOKUP(封面!B1,'2020决算导出'!A:AQ,43,FALSE),"")</f>
        <v>0</v>
      </c>
      <c r="H19" s="71" t="s">
        <v>187</v>
      </c>
      <c r="I19" s="7" t="s">
        <v>187</v>
      </c>
      <c r="J19" s="7" t="s">
        <v>253</v>
      </c>
      <c r="L19" s="71">
        <f>_xlfn.IFNA(VLOOKUP(封面!B1,'2020决算导出'!A:AR,44,FALSE),"")</f>
        <v>2424.9299999999998</v>
      </c>
      <c r="M19" s="71" t="s">
        <v>187</v>
      </c>
      <c r="N19" s="7" t="s">
        <v>187</v>
      </c>
    </row>
    <row r="20" spans="1:14" ht="18" customHeight="1">
      <c r="A20" s="62" t="s">
        <v>254</v>
      </c>
      <c r="B20" s="62"/>
      <c r="C20" s="71">
        <f>_xlfn.IFNA(VLOOKUP(封面!B1,'2020决算导出'!A:AS,45,FALSE),"")</f>
        <v>1884.42</v>
      </c>
      <c r="D20" s="71" t="s">
        <v>187</v>
      </c>
      <c r="E20" s="7" t="s">
        <v>187</v>
      </c>
      <c r="F20" s="62" t="s">
        <v>255</v>
      </c>
      <c r="G20" s="62"/>
      <c r="H20" s="62"/>
      <c r="I20" s="71">
        <f>_xlfn.IFNA(VLOOKUP(封面!B1,'2020决算导出'!A:AT,46,FALSE),"")</f>
        <v>1296.25</v>
      </c>
      <c r="J20" s="71" t="s">
        <v>187</v>
      </c>
      <c r="K20" s="7" t="s">
        <v>238</v>
      </c>
    </row>
    <row r="21" spans="1:14" ht="18" customHeight="1">
      <c r="A21" s="62" t="s">
        <v>256</v>
      </c>
      <c r="B21" s="62"/>
      <c r="C21" s="62"/>
      <c r="D21" s="8">
        <f>_xlfn.IFNA(VLOOKUP(封面!B1,'2020决算导出'!A:AU,47,FALSE),"")</f>
        <v>1</v>
      </c>
      <c r="E21" s="67" t="s">
        <v>447</v>
      </c>
      <c r="F21" s="67"/>
      <c r="G21" s="67"/>
      <c r="H21" s="67"/>
      <c r="I21" s="67"/>
      <c r="J21" s="67"/>
      <c r="K21" s="67"/>
      <c r="L21" s="67"/>
      <c r="M21" s="55">
        <f>F16/D21</f>
        <v>5605.6</v>
      </c>
      <c r="N21" s="7" t="s">
        <v>238</v>
      </c>
    </row>
    <row r="22" spans="1:14" ht="18" customHeight="1">
      <c r="A22" s="6" t="s">
        <v>257</v>
      </c>
    </row>
    <row r="23" spans="1:14" ht="18" customHeight="1">
      <c r="A23" s="7" t="s">
        <v>258</v>
      </c>
    </row>
    <row r="24" spans="1:14" ht="18" customHeight="1">
      <c r="A24" s="6" t="s">
        <v>259</v>
      </c>
    </row>
    <row r="25" spans="1:14" ht="18" customHeight="1">
      <c r="A25" s="62" t="s">
        <v>260</v>
      </c>
      <c r="B25" s="62"/>
      <c r="C25" s="62"/>
      <c r="D25" s="62"/>
      <c r="E25" s="66">
        <f>_xlfn.IFNA(VLOOKUP(封面!B1,'2020决算导出'!A:AW,49,FALSE),"")</f>
        <v>700162.5</v>
      </c>
      <c r="F25" s="66"/>
      <c r="G25" s="7" t="s">
        <v>187</v>
      </c>
      <c r="H25" s="62" t="s">
        <v>261</v>
      </c>
      <c r="I25" s="62"/>
      <c r="J25" s="62"/>
      <c r="K25" s="62"/>
      <c r="L25" s="66">
        <f>_xlfn.IFNA(VLOOKUP(封面!B1,'2020决算导出'!A:AX,50,FALSE),"")</f>
        <v>700162.5</v>
      </c>
      <c r="M25" s="66" t="s">
        <v>187</v>
      </c>
      <c r="N25" s="7" t="s">
        <v>187</v>
      </c>
    </row>
    <row r="26" spans="1:14" ht="18" customHeight="1">
      <c r="A26" s="62" t="s">
        <v>262</v>
      </c>
      <c r="B26" s="62"/>
      <c r="C26" s="62"/>
      <c r="D26" s="66">
        <f>_xlfn.IFNA(VLOOKUP(封面!B1,'2020决算导出'!A:AY,51,FALSE),"")</f>
        <v>0</v>
      </c>
      <c r="E26" s="66" t="s">
        <v>187</v>
      </c>
      <c r="F26" s="7" t="s">
        <v>187</v>
      </c>
      <c r="G26" s="62" t="s">
        <v>263</v>
      </c>
      <c r="H26" s="62"/>
      <c r="I26" s="62"/>
      <c r="J26" s="66">
        <f>_xlfn.IFNA(VLOOKUP(封面!B1,'2020决算导出'!A:AZ,52,FALSE),"")</f>
        <v>0</v>
      </c>
      <c r="K26" s="66" t="s">
        <v>187</v>
      </c>
      <c r="L26" s="7" t="s">
        <v>238</v>
      </c>
    </row>
    <row r="27" spans="1:14" ht="18" customHeight="1">
      <c r="A27" s="62" t="s">
        <v>264</v>
      </c>
      <c r="B27" s="62"/>
      <c r="C27" s="62"/>
      <c r="D27" s="62"/>
      <c r="E27" s="66">
        <f>_xlfn.IFNA(VLOOKUP(封面!B1,'2020决算导出'!A:BA,53,FALSE),"")</f>
        <v>0</v>
      </c>
      <c r="F27" s="66" t="s">
        <v>187</v>
      </c>
      <c r="G27" s="7" t="s">
        <v>187</v>
      </c>
      <c r="H27" s="64" t="s">
        <v>265</v>
      </c>
      <c r="I27" s="64"/>
      <c r="J27" s="64"/>
      <c r="K27" s="29">
        <f>E27/$E$25</f>
        <v>0</v>
      </c>
      <c r="L27" s="18" t="s">
        <v>350</v>
      </c>
      <c r="M27" s="7" t="s">
        <v>448</v>
      </c>
    </row>
    <row r="28" spans="1:14" ht="18" customHeight="1">
      <c r="A28" s="62" t="s">
        <v>266</v>
      </c>
      <c r="B28" s="62"/>
      <c r="C28" s="62"/>
      <c r="D28" s="62"/>
      <c r="E28" s="66">
        <f>_xlfn.IFNA(VLOOKUP(封面!B1,'2020决算导出'!A:BB,54,FALSE),"")</f>
        <v>0</v>
      </c>
      <c r="F28" s="66" t="s">
        <v>187</v>
      </c>
      <c r="G28" s="7" t="s">
        <v>187</v>
      </c>
      <c r="H28" s="64" t="s">
        <v>265</v>
      </c>
      <c r="I28" s="64"/>
      <c r="J28" s="64"/>
      <c r="K28" s="29">
        <f>E28/$E$25</f>
        <v>0</v>
      </c>
      <c r="L28" s="18" t="s">
        <v>352</v>
      </c>
    </row>
    <row r="29" spans="1:14" ht="18" customHeight="1">
      <c r="A29" s="6" t="s">
        <v>267</v>
      </c>
    </row>
    <row r="30" spans="1:14" ht="18" customHeight="1">
      <c r="A30" s="62" t="s">
        <v>268</v>
      </c>
      <c r="B30" s="62"/>
      <c r="C30" s="8">
        <f>_xlfn.IFNA(VLOOKUP(封面!B1,'2020决算导出'!A:BC,55,FALSE),"")</f>
        <v>1</v>
      </c>
      <c r="D30" s="7" t="s">
        <v>269</v>
      </c>
      <c r="M30" s="71">
        <f>_xlfn.IFNA(VLOOKUP(封面!B1,'2020决算导出'!A:BD,56,FALSE),"")</f>
        <v>156230</v>
      </c>
      <c r="N30" s="71" t="s">
        <v>187</v>
      </c>
    </row>
    <row r="31" spans="1:14" ht="18" customHeight="1">
      <c r="A31" s="12" t="s">
        <v>270</v>
      </c>
      <c r="B31" s="62" t="s">
        <v>271</v>
      </c>
      <c r="C31" s="62"/>
      <c r="D31" s="62"/>
      <c r="E31" s="62"/>
      <c r="F31" s="62"/>
      <c r="G31" s="8">
        <f>_xlfn.IFNA(VLOOKUP(封面!B1,'2020决算导出'!A:BE,57,FALSE),"")</f>
        <v>2</v>
      </c>
      <c r="H31" s="7" t="s">
        <v>272</v>
      </c>
      <c r="J31" s="7" t="s">
        <v>273</v>
      </c>
    </row>
    <row r="32" spans="1:14" ht="18" customHeight="1">
      <c r="A32" s="12">
        <f>_xlfn.IFNA(VLOOKUP(封面!B1,'2020决算导出'!A:BF,58,FALSE),"")</f>
        <v>0</v>
      </c>
      <c r="B32" s="7" t="s">
        <v>274</v>
      </c>
    </row>
    <row r="33" spans="1:14" ht="18" customHeight="1">
      <c r="A33" s="6" t="s">
        <v>275</v>
      </c>
    </row>
    <row r="34" spans="1:14" ht="18" customHeight="1">
      <c r="A34" s="7" t="s">
        <v>276</v>
      </c>
    </row>
    <row r="35" spans="1:14" ht="18" customHeight="1">
      <c r="A35" s="6" t="s">
        <v>277</v>
      </c>
    </row>
    <row r="36" spans="1:14" ht="304.2" customHeight="1">
      <c r="A36" s="63" t="s">
        <v>278</v>
      </c>
      <c r="B36" s="63"/>
      <c r="C36" s="63"/>
      <c r="D36" s="63"/>
      <c r="E36" s="63"/>
      <c r="F36" s="63"/>
      <c r="G36" s="63"/>
      <c r="H36" s="63"/>
      <c r="I36" s="63"/>
      <c r="J36" s="63"/>
      <c r="K36" s="63"/>
      <c r="L36" s="63"/>
      <c r="M36" s="63"/>
      <c r="N36" s="63"/>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RowHeight="13.8"/>
  <sheetData>
    <row r="1" spans="1:14" s="7" customFormat="1" ht="35.4" customHeight="1">
      <c r="A1" s="60" t="s">
        <v>280</v>
      </c>
      <c r="B1" s="60"/>
      <c r="C1" s="60"/>
      <c r="D1" s="60"/>
      <c r="E1" s="60"/>
      <c r="F1" s="60"/>
      <c r="G1" s="60"/>
      <c r="H1" s="60"/>
      <c r="I1" s="60"/>
      <c r="J1" s="60"/>
      <c r="K1" s="60"/>
      <c r="L1" s="60"/>
      <c r="M1" s="60"/>
      <c r="N1" s="60"/>
    </row>
    <row r="2" spans="1:14" ht="113.4" customHeight="1">
      <c r="A2" s="63" t="s">
        <v>462</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286</v>
      </c>
      <c r="B1" s="22" t="s">
        <v>287</v>
      </c>
      <c r="C1" s="22" t="s">
        <v>282</v>
      </c>
      <c r="D1" s="22" t="s">
        <v>288</v>
      </c>
      <c r="E1" s="22" t="s">
        <v>289</v>
      </c>
      <c r="F1" s="22" t="s">
        <v>290</v>
      </c>
      <c r="G1" s="22" t="s">
        <v>291</v>
      </c>
      <c r="H1" s="22" t="s">
        <v>292</v>
      </c>
      <c r="I1" s="22" t="s">
        <v>293</v>
      </c>
      <c r="J1" s="22" t="s">
        <v>294</v>
      </c>
      <c r="K1" s="22" t="s">
        <v>295</v>
      </c>
      <c r="L1" s="22" t="s">
        <v>296</v>
      </c>
      <c r="M1" s="22" t="s">
        <v>297</v>
      </c>
      <c r="N1" s="22" t="s">
        <v>298</v>
      </c>
      <c r="O1" s="22" t="s">
        <v>299</v>
      </c>
      <c r="P1" s="22" t="s">
        <v>300</v>
      </c>
      <c r="Q1" s="22" t="s">
        <v>301</v>
      </c>
      <c r="R1" s="22" t="s">
        <v>302</v>
      </c>
      <c r="S1" s="22" t="s">
        <v>303</v>
      </c>
      <c r="T1" s="22" t="s">
        <v>304</v>
      </c>
      <c r="U1" s="22" t="s">
        <v>305</v>
      </c>
      <c r="V1" s="22" t="s">
        <v>306</v>
      </c>
      <c r="W1" s="22" t="s">
        <v>307</v>
      </c>
      <c r="X1" s="22" t="s">
        <v>308</v>
      </c>
      <c r="Y1" s="22" t="s">
        <v>309</v>
      </c>
      <c r="Z1" s="22" t="s">
        <v>354</v>
      </c>
      <c r="AA1" s="22" t="s">
        <v>310</v>
      </c>
      <c r="AB1" s="22" t="s">
        <v>311</v>
      </c>
      <c r="AC1" s="22" t="s">
        <v>312</v>
      </c>
      <c r="AD1" s="22" t="s">
        <v>313</v>
      </c>
      <c r="AE1" s="22" t="s">
        <v>314</v>
      </c>
      <c r="AF1" s="22" t="s">
        <v>315</v>
      </c>
      <c r="AG1" s="22" t="s">
        <v>316</v>
      </c>
      <c r="AH1" s="22" t="s">
        <v>317</v>
      </c>
      <c r="AI1" s="22" t="s">
        <v>318</v>
      </c>
      <c r="AJ1" s="22" t="s">
        <v>319</v>
      </c>
      <c r="AK1" s="22" t="s">
        <v>320</v>
      </c>
      <c r="AL1" s="22" t="s">
        <v>321</v>
      </c>
      <c r="AM1" s="22" t="s">
        <v>355</v>
      </c>
      <c r="AN1" s="22" t="s">
        <v>356</v>
      </c>
      <c r="AO1" s="22" t="s">
        <v>322</v>
      </c>
      <c r="AP1" s="22" t="s">
        <v>323</v>
      </c>
      <c r="AQ1" s="22" t="s">
        <v>324</v>
      </c>
      <c r="AR1" s="22" t="s">
        <v>325</v>
      </c>
      <c r="AS1" s="22" t="s">
        <v>326</v>
      </c>
      <c r="AT1" s="22" t="s">
        <v>327</v>
      </c>
      <c r="AU1" s="22" t="s">
        <v>328</v>
      </c>
      <c r="AV1" s="22" t="s">
        <v>357</v>
      </c>
      <c r="AW1" s="22" t="s">
        <v>329</v>
      </c>
      <c r="AX1" s="22" t="s">
        <v>330</v>
      </c>
      <c r="AY1" s="22" t="s">
        <v>331</v>
      </c>
      <c r="AZ1" s="22" t="s">
        <v>332</v>
      </c>
      <c r="BA1" s="22" t="s">
        <v>333</v>
      </c>
      <c r="BB1" s="22" t="s">
        <v>334</v>
      </c>
      <c r="BC1" s="22" t="s">
        <v>335</v>
      </c>
      <c r="BD1" s="22" t="s">
        <v>449</v>
      </c>
      <c r="BE1" s="22" t="s">
        <v>336</v>
      </c>
      <c r="BF1" s="22" t="s">
        <v>337</v>
      </c>
    </row>
    <row r="2" spans="1:58">
      <c r="A2" s="24">
        <v>255001</v>
      </c>
      <c r="B2" s="25" t="s">
        <v>338</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339</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340</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286</v>
      </c>
      <c r="B1" s="22" t="s">
        <v>287</v>
      </c>
      <c r="C1" s="22" t="s">
        <v>341</v>
      </c>
      <c r="D1" s="22" t="s">
        <v>342</v>
      </c>
      <c r="E1" s="22" t="s">
        <v>343</v>
      </c>
      <c r="F1" s="22" t="s">
        <v>344</v>
      </c>
    </row>
    <row r="2" spans="1:6">
      <c r="A2" s="24">
        <v>255001</v>
      </c>
      <c r="B2" s="25" t="s">
        <v>338</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345</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346</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347</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348</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358</v>
      </c>
      <c r="B1" s="42" t="s">
        <v>395</v>
      </c>
      <c r="C1" s="42" t="s">
        <v>396</v>
      </c>
      <c r="D1" s="42" t="s">
        <v>397</v>
      </c>
      <c r="E1" s="42" t="s">
        <v>398</v>
      </c>
      <c r="F1" s="42" t="s">
        <v>399</v>
      </c>
      <c r="G1" s="42" t="s">
        <v>400</v>
      </c>
      <c r="H1" s="42" t="s">
        <v>401</v>
      </c>
      <c r="I1" s="42" t="s">
        <v>402</v>
      </c>
      <c r="J1" s="42" t="s">
        <v>403</v>
      </c>
      <c r="K1" s="42" t="s">
        <v>404</v>
      </c>
      <c r="L1" s="42" t="s">
        <v>405</v>
      </c>
      <c r="M1" s="42" t="s">
        <v>406</v>
      </c>
      <c r="N1" s="42" t="s">
        <v>407</v>
      </c>
      <c r="O1" s="42" t="s">
        <v>408</v>
      </c>
      <c r="P1" s="42" t="s">
        <v>409</v>
      </c>
      <c r="Q1" s="42" t="s">
        <v>410</v>
      </c>
      <c r="R1" s="42" t="s">
        <v>411</v>
      </c>
      <c r="S1" s="42" t="s">
        <v>412</v>
      </c>
      <c r="T1" s="42" t="s">
        <v>413</v>
      </c>
      <c r="U1" s="42" t="s">
        <v>414</v>
      </c>
      <c r="V1" s="42" t="s">
        <v>415</v>
      </c>
      <c r="W1" s="42" t="s">
        <v>416</v>
      </c>
      <c r="X1" s="42" t="s">
        <v>417</v>
      </c>
      <c r="Y1" s="42" t="s">
        <v>418</v>
      </c>
      <c r="Z1" s="42" t="s">
        <v>419</v>
      </c>
      <c r="AA1" s="42" t="s">
        <v>420</v>
      </c>
      <c r="AB1" s="42" t="s">
        <v>421</v>
      </c>
      <c r="AC1" s="42" t="s">
        <v>422</v>
      </c>
      <c r="AD1" s="42" t="s">
        <v>423</v>
      </c>
      <c r="AE1" s="42" t="s">
        <v>424</v>
      </c>
      <c r="AF1" s="42" t="s">
        <v>425</v>
      </c>
      <c r="AG1" s="42" t="s">
        <v>426</v>
      </c>
      <c r="AH1" s="42" t="s">
        <v>427</v>
      </c>
      <c r="AI1" s="42" t="s">
        <v>428</v>
      </c>
      <c r="AJ1" s="42" t="s">
        <v>429</v>
      </c>
      <c r="AK1" s="42" t="s">
        <v>430</v>
      </c>
      <c r="AL1" s="42" t="s">
        <v>431</v>
      </c>
      <c r="AM1" s="42" t="s">
        <v>432</v>
      </c>
      <c r="AN1" s="42" t="s">
        <v>433</v>
      </c>
      <c r="AO1" s="42" t="s">
        <v>434</v>
      </c>
      <c r="AP1" s="42" t="s">
        <v>435</v>
      </c>
    </row>
    <row r="2" spans="1:42">
      <c r="A2" s="43">
        <v>255001</v>
      </c>
      <c r="B2" s="44" t="s">
        <v>338</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339</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436</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437</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44140625" style="41" customWidth="1"/>
    <col min="6" max="6" width="19.6640625" style="23" customWidth="1"/>
    <col min="7" max="8" width="13.6640625" style="23" customWidth="1"/>
    <col min="9" max="16384" width="8.88671875" style="23"/>
  </cols>
  <sheetData>
    <row r="1" spans="1:8" ht="24">
      <c r="A1" s="21" t="s">
        <v>358</v>
      </c>
      <c r="B1" s="22" t="s">
        <v>287</v>
      </c>
      <c r="C1" s="37" t="s">
        <v>359</v>
      </c>
      <c r="D1" s="37" t="s">
        <v>360</v>
      </c>
      <c r="E1" s="38" t="s">
        <v>361</v>
      </c>
      <c r="F1" s="22" t="s">
        <v>362</v>
      </c>
      <c r="G1" s="22" t="s">
        <v>363</v>
      </c>
      <c r="H1" s="22" t="s">
        <v>364</v>
      </c>
    </row>
    <row r="2" spans="1:8">
      <c r="A2" s="24">
        <v>255001</v>
      </c>
      <c r="B2" s="25" t="s">
        <v>338</v>
      </c>
      <c r="C2" s="39" t="str">
        <f>LEFT(D2,3)</f>
        <v>205</v>
      </c>
      <c r="D2" s="39" t="str">
        <f>LEFT(E2,5)</f>
        <v>20502</v>
      </c>
      <c r="E2" s="39">
        <f>IF(ISNA(VLOOKUP(F2,'2020功能科目'!A:B,2,FALSE)),"",VLOOKUP(F2,'2020功能科目'!A:B,2,FALSE))</f>
        <v>2050201</v>
      </c>
      <c r="F2" s="25" t="s">
        <v>365</v>
      </c>
      <c r="G2" s="26">
        <v>91486047.549999997</v>
      </c>
      <c r="H2" s="26">
        <v>117849170.55</v>
      </c>
    </row>
    <row r="3" spans="1:8">
      <c r="A3" s="24">
        <v>255001</v>
      </c>
      <c r="B3" s="25" t="s">
        <v>338</v>
      </c>
      <c r="C3" s="39" t="str">
        <f t="shared" ref="C3:C66" si="0">LEFT(D3,3)</f>
        <v>205</v>
      </c>
      <c r="D3" s="39" t="str">
        <f t="shared" ref="D3:D66" si="1">LEFT(E3,5)</f>
        <v>20502</v>
      </c>
      <c r="E3" s="39">
        <f>IF(ISNA(VLOOKUP(F3,'2020功能科目'!A:B,2,FALSE)),"",VLOOKUP(F3,'2020功能科目'!A:B,2,FALSE))</f>
        <v>2050202</v>
      </c>
      <c r="F3" s="25" t="s">
        <v>366</v>
      </c>
      <c r="G3" s="26">
        <v>250000</v>
      </c>
      <c r="H3" s="26">
        <v>250000</v>
      </c>
    </row>
    <row r="4" spans="1:8">
      <c r="A4" s="24">
        <v>255001</v>
      </c>
      <c r="B4" s="25" t="s">
        <v>338</v>
      </c>
      <c r="C4" s="39" t="str">
        <f t="shared" si="0"/>
        <v>205</v>
      </c>
      <c r="D4" s="39" t="str">
        <f t="shared" si="1"/>
        <v>20502</v>
      </c>
      <c r="E4" s="39">
        <f>IF(ISNA(VLOOKUP(F4,'2020功能科目'!A:B,2,FALSE)),"",VLOOKUP(F4,'2020功能科目'!A:B,2,FALSE))</f>
        <v>2050204</v>
      </c>
      <c r="F4" s="25" t="s">
        <v>367</v>
      </c>
      <c r="G4" s="26">
        <v>1439000</v>
      </c>
      <c r="H4" s="26">
        <v>1439888.15</v>
      </c>
    </row>
    <row r="5" spans="1:8">
      <c r="A5" s="24">
        <v>255001</v>
      </c>
      <c r="B5" s="25" t="s">
        <v>338</v>
      </c>
      <c r="C5" s="39" t="str">
        <f t="shared" si="0"/>
        <v>205</v>
      </c>
      <c r="D5" s="39" t="str">
        <f t="shared" si="1"/>
        <v>20502</v>
      </c>
      <c r="E5" s="39">
        <f>IF(ISNA(VLOOKUP(F5,'2020功能科目'!A:B,2,FALSE)),"",VLOOKUP(F5,'2020功能科目'!A:B,2,FALSE))</f>
        <v>2050299</v>
      </c>
      <c r="F5" s="25" t="s">
        <v>368</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367</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368</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369</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370</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371</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372</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373</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374</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375</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376</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377</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378</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379</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380</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367</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368</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369</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370</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371</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372</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373</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374</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376</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377</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378</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379</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380</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367</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368</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369</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371</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372</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373</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374</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376</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377</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378</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379</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380</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367</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368</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369</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370</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371</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372</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373</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374</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376</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377</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378</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379</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380</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367</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369</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370</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371</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372</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373</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374</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376</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377</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378</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379</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380</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367</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370</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371</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372</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373</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374</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376</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377</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378</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379</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380</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367</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368</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369</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370</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371</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372</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373</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374</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375</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376</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377</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378</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379</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380</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367</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368</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369</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370</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371</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372</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373</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374</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376</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377</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378</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379</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380</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367</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368</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369</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370</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371</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372</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373</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374</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376</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377</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378</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379</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380</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367</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369</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370</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371</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372</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373</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374</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376</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377</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378</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379</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380</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367</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369</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370</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371</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372</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373</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374</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376</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377</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378</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379</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380</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367</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371</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372</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373</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374</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376</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377</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378</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379</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380</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367</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368</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369</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370</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371</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372</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373</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374</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376</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377</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378</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379</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380</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381</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368</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369</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370</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371</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372</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373</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374</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376</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377</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378</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379</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380</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367</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369</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370</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372</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373</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374</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376</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378</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379</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380</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367</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368</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369</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370</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371</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372</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373</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374</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376</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377</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378</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379</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380</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367</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368</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369</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370</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371</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372</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373</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374</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376</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377</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378</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379</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380</v>
      </c>
      <c r="G216" s="26">
        <v>4290503</v>
      </c>
      <c r="H216" s="26">
        <v>4304412</v>
      </c>
    </row>
    <row r="217" spans="1:8">
      <c r="A217" s="24">
        <v>255022</v>
      </c>
      <c r="B217" s="25" t="s">
        <v>339</v>
      </c>
      <c r="C217" s="39" t="str">
        <f t="shared" si="6"/>
        <v>205</v>
      </c>
      <c r="D217" s="39" t="str">
        <f t="shared" si="7"/>
        <v>20502</v>
      </c>
      <c r="E217" s="39">
        <f>IF(ISNA(VLOOKUP(F217,'2020功能科目'!A:B,2,FALSE)),"",VLOOKUP(F217,'2020功能科目'!A:B,2,FALSE))</f>
        <v>2050203</v>
      </c>
      <c r="F217" s="25" t="s">
        <v>381</v>
      </c>
      <c r="G217" s="26">
        <v>26873070.100000001</v>
      </c>
      <c r="H217" s="26">
        <v>22704196.510000002</v>
      </c>
    </row>
    <row r="218" spans="1:8">
      <c r="A218" s="24">
        <v>255022</v>
      </c>
      <c r="B218" s="25" t="s">
        <v>339</v>
      </c>
      <c r="C218" s="39" t="str">
        <f t="shared" si="6"/>
        <v>205</v>
      </c>
      <c r="D218" s="39" t="str">
        <f t="shared" si="7"/>
        <v>20502</v>
      </c>
      <c r="E218" s="39">
        <f>IF(ISNA(VLOOKUP(F218,'2020功能科目'!A:B,2,FALSE)),"",VLOOKUP(F218,'2020功能科目'!A:B,2,FALSE))</f>
        <v>2050204</v>
      </c>
      <c r="F218" s="25" t="s">
        <v>367</v>
      </c>
      <c r="G218" s="26">
        <v>46564</v>
      </c>
      <c r="H218" s="26">
        <v>51629</v>
      </c>
    </row>
    <row r="219" spans="1:8">
      <c r="A219" s="24">
        <v>255022</v>
      </c>
      <c r="B219" s="25" t="s">
        <v>339</v>
      </c>
      <c r="C219" s="39" t="str">
        <f t="shared" si="6"/>
        <v>205</v>
      </c>
      <c r="D219" s="39" t="str">
        <f t="shared" si="7"/>
        <v>20502</v>
      </c>
      <c r="E219" s="39">
        <f>IF(ISNA(VLOOKUP(F219,'2020功能科目'!A:B,2,FALSE)),"",VLOOKUP(F219,'2020功能科目'!A:B,2,FALSE))</f>
        <v>2050299</v>
      </c>
      <c r="F219" s="25" t="s">
        <v>368</v>
      </c>
      <c r="G219" s="26">
        <v>279.2</v>
      </c>
      <c r="H219" s="26">
        <v>0</v>
      </c>
    </row>
    <row r="220" spans="1:8">
      <c r="A220" s="24">
        <v>255022</v>
      </c>
      <c r="B220" s="25" t="s">
        <v>339</v>
      </c>
      <c r="C220" s="39" t="str">
        <f t="shared" si="6"/>
        <v>205</v>
      </c>
      <c r="D220" s="39" t="str">
        <f t="shared" si="7"/>
        <v>20508</v>
      </c>
      <c r="E220" s="39">
        <f>IF(ISNA(VLOOKUP(F220,'2020功能科目'!A:B,2,FALSE)),"",VLOOKUP(F220,'2020功能科目'!A:B,2,FALSE))</f>
        <v>2050803</v>
      </c>
      <c r="F220" s="25" t="s">
        <v>369</v>
      </c>
      <c r="G220" s="26">
        <v>36800</v>
      </c>
      <c r="H220" s="26">
        <v>73600</v>
      </c>
    </row>
    <row r="221" spans="1:8">
      <c r="A221" s="24">
        <v>255022</v>
      </c>
      <c r="B221" s="25" t="s">
        <v>339</v>
      </c>
      <c r="C221" s="39" t="str">
        <f t="shared" si="6"/>
        <v>205</v>
      </c>
      <c r="D221" s="39" t="str">
        <f t="shared" si="7"/>
        <v>20509</v>
      </c>
      <c r="E221" s="39">
        <f>IF(ISNA(VLOOKUP(F221,'2020功能科目'!A:B,2,FALSE)),"",VLOOKUP(F221,'2020功能科目'!A:B,2,FALSE))</f>
        <v>2050903</v>
      </c>
      <c r="F221" s="25" t="s">
        <v>370</v>
      </c>
      <c r="G221" s="26">
        <v>138743.4</v>
      </c>
      <c r="H221" s="26">
        <v>140000</v>
      </c>
    </row>
    <row r="222" spans="1:8">
      <c r="A222" s="24">
        <v>255022</v>
      </c>
      <c r="B222" s="25" t="s">
        <v>339</v>
      </c>
      <c r="C222" s="39" t="str">
        <f t="shared" si="6"/>
        <v>205</v>
      </c>
      <c r="D222" s="39" t="str">
        <f t="shared" si="7"/>
        <v>20509</v>
      </c>
      <c r="E222" s="39">
        <f>IF(ISNA(VLOOKUP(F222,'2020功能科目'!A:B,2,FALSE)),"",VLOOKUP(F222,'2020功能科目'!A:B,2,FALSE))</f>
        <v>2050904</v>
      </c>
      <c r="F222" s="25" t="s">
        <v>371</v>
      </c>
      <c r="G222" s="26">
        <v>1246675.0900000001</v>
      </c>
      <c r="H222" s="26">
        <v>1261160</v>
      </c>
    </row>
    <row r="223" spans="1:8">
      <c r="A223" s="24">
        <v>255022</v>
      </c>
      <c r="B223" s="25" t="s">
        <v>339</v>
      </c>
      <c r="C223" s="39" t="str">
        <f t="shared" si="6"/>
        <v>208</v>
      </c>
      <c r="D223" s="39" t="str">
        <f t="shared" si="7"/>
        <v>20805</v>
      </c>
      <c r="E223" s="39">
        <f>IF(ISNA(VLOOKUP(F223,'2020功能科目'!A:B,2,FALSE)),"",VLOOKUP(F223,'2020功能科目'!A:B,2,FALSE))</f>
        <v>2080502</v>
      </c>
      <c r="F223" s="25" t="s">
        <v>372</v>
      </c>
      <c r="G223" s="26">
        <v>2701675.56</v>
      </c>
      <c r="H223" s="26">
        <v>2070473.15</v>
      </c>
    </row>
    <row r="224" spans="1:8">
      <c r="A224" s="24">
        <v>255022</v>
      </c>
      <c r="B224" s="25" t="s">
        <v>339</v>
      </c>
      <c r="C224" s="39" t="str">
        <f t="shared" si="6"/>
        <v>208</v>
      </c>
      <c r="D224" s="39" t="str">
        <f t="shared" si="7"/>
        <v>20805</v>
      </c>
      <c r="E224" s="39">
        <f>IF(ISNA(VLOOKUP(F224,'2020功能科目'!A:B,2,FALSE)),"",VLOOKUP(F224,'2020功能科目'!A:B,2,FALSE))</f>
        <v>2080505</v>
      </c>
      <c r="F224" s="25" t="s">
        <v>373</v>
      </c>
      <c r="G224" s="26">
        <v>1964071.04</v>
      </c>
      <c r="H224" s="26">
        <v>2098399.36</v>
      </c>
    </row>
    <row r="225" spans="1:8">
      <c r="A225" s="24">
        <v>255022</v>
      </c>
      <c r="B225" s="25" t="s">
        <v>339</v>
      </c>
      <c r="C225" s="39" t="str">
        <f t="shared" si="6"/>
        <v>208</v>
      </c>
      <c r="D225" s="39" t="str">
        <f t="shared" si="7"/>
        <v>20805</v>
      </c>
      <c r="E225" s="39">
        <f>IF(ISNA(VLOOKUP(F225,'2020功能科目'!A:B,2,FALSE)),"",VLOOKUP(F225,'2020功能科目'!A:B,2,FALSE))</f>
        <v>2080506</v>
      </c>
      <c r="F225" s="25" t="s">
        <v>374</v>
      </c>
      <c r="G225" s="26">
        <v>982035.52</v>
      </c>
      <c r="H225" s="26">
        <v>1049199.68</v>
      </c>
    </row>
    <row r="226" spans="1:8">
      <c r="A226" s="24">
        <v>255022</v>
      </c>
      <c r="B226" s="25" t="s">
        <v>339</v>
      </c>
      <c r="C226" s="39" t="str">
        <f t="shared" si="6"/>
        <v>210</v>
      </c>
      <c r="D226" s="39" t="str">
        <f t="shared" si="7"/>
        <v>21011</v>
      </c>
      <c r="E226" s="39">
        <f>IF(ISNA(VLOOKUP(F226,'2020功能科目'!A:B,2,FALSE)),"",VLOOKUP(F226,'2020功能科目'!A:B,2,FALSE))</f>
        <v>2101102</v>
      </c>
      <c r="F226" s="25" t="s">
        <v>376</v>
      </c>
      <c r="G226" s="26">
        <v>2132507.06</v>
      </c>
      <c r="H226" s="26">
        <v>1704949.48</v>
      </c>
    </row>
    <row r="227" spans="1:8">
      <c r="A227" s="24">
        <v>255022</v>
      </c>
      <c r="B227" s="25" t="s">
        <v>339</v>
      </c>
      <c r="C227" s="39" t="str">
        <f t="shared" si="6"/>
        <v>210</v>
      </c>
      <c r="D227" s="39" t="str">
        <f t="shared" si="7"/>
        <v>21011</v>
      </c>
      <c r="E227" s="39">
        <f>IF(ISNA(VLOOKUP(F227,'2020功能科目'!A:B,2,FALSE)),"",VLOOKUP(F227,'2020功能科目'!A:B,2,FALSE))</f>
        <v>2101199</v>
      </c>
      <c r="F227" s="25" t="s">
        <v>377</v>
      </c>
      <c r="G227" s="26">
        <v>180000</v>
      </c>
      <c r="H227" s="26">
        <v>360000</v>
      </c>
    </row>
    <row r="228" spans="1:8">
      <c r="A228" s="24">
        <v>255022</v>
      </c>
      <c r="B228" s="25" t="s">
        <v>339</v>
      </c>
      <c r="C228" s="39" t="str">
        <f t="shared" si="6"/>
        <v>221</v>
      </c>
      <c r="D228" s="39" t="str">
        <f t="shared" si="7"/>
        <v>22102</v>
      </c>
      <c r="E228" s="39">
        <f>IF(ISNA(VLOOKUP(F228,'2020功能科目'!A:B,2,FALSE)),"",VLOOKUP(F228,'2020功能科目'!A:B,2,FALSE))</f>
        <v>2210201</v>
      </c>
      <c r="F228" s="25" t="s">
        <v>378</v>
      </c>
      <c r="G228" s="26">
        <v>2537027</v>
      </c>
      <c r="H228" s="26">
        <v>2125799.52</v>
      </c>
    </row>
    <row r="229" spans="1:8">
      <c r="A229" s="24">
        <v>255022</v>
      </c>
      <c r="B229" s="25" t="s">
        <v>339</v>
      </c>
      <c r="C229" s="39" t="str">
        <f t="shared" si="6"/>
        <v>221</v>
      </c>
      <c r="D229" s="39" t="str">
        <f t="shared" si="7"/>
        <v>22102</v>
      </c>
      <c r="E229" s="39">
        <f>IF(ISNA(VLOOKUP(F229,'2020功能科目'!A:B,2,FALSE)),"",VLOOKUP(F229,'2020功能科目'!A:B,2,FALSE))</f>
        <v>2210202</v>
      </c>
      <c r="F229" s="25" t="s">
        <v>379</v>
      </c>
      <c r="G229" s="26">
        <v>215560</v>
      </c>
      <c r="H229" s="26">
        <v>217920</v>
      </c>
    </row>
    <row r="230" spans="1:8">
      <c r="A230" s="24">
        <v>255022</v>
      </c>
      <c r="B230" s="25" t="s">
        <v>339</v>
      </c>
      <c r="C230" s="39" t="str">
        <f t="shared" si="6"/>
        <v>221</v>
      </c>
      <c r="D230" s="39" t="str">
        <f t="shared" si="7"/>
        <v>22102</v>
      </c>
      <c r="E230" s="39">
        <f>IF(ISNA(VLOOKUP(F230,'2020功能科目'!A:B,2,FALSE)),"",VLOOKUP(F230,'2020功能科目'!A:B,2,FALSE))</f>
        <v>2210203</v>
      </c>
      <c r="F230" s="25" t="s">
        <v>380</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367</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368</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369</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370</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371</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372</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373</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374</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376</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377</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378</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379</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380</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381</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368</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369</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370</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371</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372</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373</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374</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376</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377</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378</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379</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380</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381</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368</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369</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370</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371</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372</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373</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374</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376</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377</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378</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379</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380</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381</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367</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368</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369</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371</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372</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373</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374</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376</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377</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378</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379</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380</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381</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368</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369</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370</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371</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372</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373</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374</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376</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377</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378</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379</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380</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382</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383</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369</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384</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372</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373</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374</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375</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376</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377</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378</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379</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380</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368</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382</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369</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371</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384</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372</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373</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374</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376</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377</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378</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379</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380</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366</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367</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368</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369</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371</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372</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373</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374</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375</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376</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377</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378</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379</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380</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366</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368</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369</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371</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372</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373</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374</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376</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377</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378</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379</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380</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366</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368</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369</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371</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372</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373</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374</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376</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378</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379</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380</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366</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368</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369</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371</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372</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373</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374</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376</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378</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379</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380</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366</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368</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369</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371</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372</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373</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374</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376</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378</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379</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380</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366</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368</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369</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370</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371</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372</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373</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374</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376</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378</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379</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380</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366</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368</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369</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370</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371</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372</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373</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374</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376</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378</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379</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380</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366</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368</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369</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371</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372</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373</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374</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376</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378</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379</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380</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366</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368</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369</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370</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371</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372</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373</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374</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376</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378</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379</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380</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366</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368</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369</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370</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371</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372</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373</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374</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376</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377</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378</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379</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380</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366</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368</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369</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371</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372</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373</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374</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376</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378</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379</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380</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366</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368</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369</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370</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371</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372</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373</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374</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376</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377</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378</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379</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380</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366</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368</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369</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371</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372</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373</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374</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376</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378</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379</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380</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366</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368</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369</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370</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371</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372</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373</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374</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376</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377</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378</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379</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380</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366</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368</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369</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370</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371</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372</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373</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374</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376</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377</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378</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379</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380</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366</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368</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369</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370</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371</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372</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373</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374</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376</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378</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379</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380</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366</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368</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369</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370</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371</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372</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373</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374</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376</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377</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378</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379</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380</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366</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368</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369</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370</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371</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372</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373</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374</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376</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378</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379</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380</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366</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368</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369</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371</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372</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373</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374</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376</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378</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379</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380</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366</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368</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369</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370</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371</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372</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373</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374</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376</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378</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379</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380</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366</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368</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369</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370</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371</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372</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373</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374</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376</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377</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378</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379</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380</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366</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368</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369</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370</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371</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372</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373</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374</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376</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378</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379</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380</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366</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368</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369</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370</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371</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372</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373</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374</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376</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377</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378</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379</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380</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366</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368</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369</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370</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371</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372</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373</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374</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376</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378</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379</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380</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366</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368</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369</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370</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371</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385</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372</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373</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374</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375</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376</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378</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379</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380</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366</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368</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369</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371</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372</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373</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374</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376</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377</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378</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379</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380</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366</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368</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369</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370</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371</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372</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373</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374</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376</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377</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378</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379</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380</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366</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368</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369</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370</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371</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372</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373</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374</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376</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377</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378</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379</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380</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366</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368</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369</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371</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372</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373</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374</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376</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377</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378</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379</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380</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366</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368</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369</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370</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371</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372</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373</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374</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376</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377</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378</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379</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380</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366</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368</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369</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370</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371</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372</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373</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374</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376</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377</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378</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379</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380</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366</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368</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369</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371</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372</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373</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374</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376</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378</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379</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380</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366</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368</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369</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370</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371</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372</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373</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374</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376</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377</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378</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379</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380</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366</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368</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369</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370</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371</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372</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373</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374</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376</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377</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378</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379</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380</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365</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369</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385</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372</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373</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374</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376</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377</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378</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379</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380</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365</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369</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385</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372</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373</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374</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376</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377</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378</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379</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380</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365</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369</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385</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372</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373</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374</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376</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377</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378</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379</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380</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365</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369</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385</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372</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373</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374</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376</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378</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379</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380</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365</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369</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385</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372</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373</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374</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376</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378</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379</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380</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365</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369</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385</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372</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373</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374</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376</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377</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378</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379</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380</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365</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369</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385</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372</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373</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374</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376</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378</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379</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380</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365</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369</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385</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372</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373</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374</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376</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378</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379</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380</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372</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379</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365</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367</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368</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386</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369</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370</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371</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372</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373</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374</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376</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378</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379</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380</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365</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368</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386</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387</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369</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370</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371</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372</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373</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374</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376</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378</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379</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380</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368</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388</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369</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371</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372</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373</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374</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375</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376</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378</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379</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380</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368</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369</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385</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372</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373</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374</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376</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377</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378</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379</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380</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368</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369</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385</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389</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372</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373</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374</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376</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377</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378</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379</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380</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368</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369</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385</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372</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373</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374</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376</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378</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379</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380</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368</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369</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385</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372</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373</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374</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376</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378</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379</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380</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368</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369</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385</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372</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373</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374</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376</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378</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379</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380</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368</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369</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385</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372</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373</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374</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376</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378</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379</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380</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368</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369</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385</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372</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373</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374</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376</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378</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379</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380</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368</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390</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369</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385</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372</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373</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374</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376</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377</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378</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379</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380</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368</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369</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385</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372</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373</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374</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376</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378</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379</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380</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368</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369</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385</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372</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373</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374</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375</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376</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378</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379</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380</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368</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390</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369</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385</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372</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373</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374</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376</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378</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379</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380</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368</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369</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385</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372</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373</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374</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376</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378</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379</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380</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368</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369</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372</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373</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374</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376</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378</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379</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380</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368</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369</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373</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374</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376</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378</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379</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380</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368</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369</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385</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372</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373</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374</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376</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378</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379</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380</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368</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385</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372</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373</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374</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376</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378</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379</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380</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365</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369</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385</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372</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373</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374</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376</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378</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379</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380</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366</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368</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369</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370</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371</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372</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373</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374</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376</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378</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379</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380</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368</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369</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372</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373</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374</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376</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378</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379</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380</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367</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368</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369</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370</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371</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372</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373</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374</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376</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377</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378</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379</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380</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367</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368</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369</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370</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371</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372</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373</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374</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376</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377</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378</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379</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380</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367</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368</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369</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371</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372</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373</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374</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376</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377</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378</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379</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380</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367</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369</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370</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371</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372</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373</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374</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376</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377</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378</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379</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380</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367</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368</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369</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370</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371</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372</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373</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374</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376</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377</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378</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379</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380</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368</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382</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383</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369</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384</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372</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373</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374</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376</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377</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391</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378</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379</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380</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367</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369</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372</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373</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374</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376</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377</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378</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379</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380</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367</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368</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369</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370</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371</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372</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373</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374</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376</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377</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378</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379</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380</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367</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368</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369</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371</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372</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373</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374</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376</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377</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378</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379</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380</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367</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368</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369</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370</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371</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372</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373</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374</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376</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377</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378</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379</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380</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366</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368</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369</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370</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371</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372</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373</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374</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376</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377</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378</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379</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380</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366</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368</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369</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370</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371</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372</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373</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374</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376</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377</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378</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379</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380</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366</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368</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369</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370</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371</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372</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373</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374</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376</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378</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379</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380</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366</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368</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369</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370</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371</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372</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373</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374</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376</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377</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378</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379</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380</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366</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368</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369</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370</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371</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372</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373</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374</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375</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376</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377</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378</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379</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380</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366</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368</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369</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370</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371</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372</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373</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374</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376</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378</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379</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380</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366</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368</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369</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371</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372</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373</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374</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376</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378</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379</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380</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366</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368</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369</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370</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371</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372</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373</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374</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376</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378</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379</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380</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366</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368</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369</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371</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372</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373</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374</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376</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377</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378</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379</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380</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366</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368</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369</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370</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371</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372</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373</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374</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376</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377</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378</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379</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380</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366</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369</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371</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372</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373</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374</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376</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377</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378</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379</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380</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366</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368</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369</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370</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371</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372</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373</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374</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375</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376</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378</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379</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380</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366</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368</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369</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370</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371</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372</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373</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374</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376</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377</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378</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379</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380</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366</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368</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369</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370</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371</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372</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373</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374</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376</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378</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379</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380</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366</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368</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369</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370</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371</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372</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373</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374</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376</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377</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378</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379</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380</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366</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368</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369</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370</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371</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372</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373</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374</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376</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378</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379</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380</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366</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369</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370</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371</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372</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373</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374</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376</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377</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378</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379</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380</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366</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368</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369</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370</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371</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372</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373</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374</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376</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378</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379</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380</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366</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369</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370</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371</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372</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373</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374</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376</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378</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379</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380</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366</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368</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369</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371</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372</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373</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374</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376</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378</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379</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380</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366</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368</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369</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370</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371</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372</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373</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374</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376</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378</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379</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380</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366</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368</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369</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370</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371</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372</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373</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374</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376</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378</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379</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380</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365</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369</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385</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372</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373</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374</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376</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378</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379</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380</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365</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369</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385</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372</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373</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374</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376</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377</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378</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379</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380</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365</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369</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385</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372</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373</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374</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376</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377</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378</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379</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380</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365</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369</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372</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373</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374</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376</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378</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379</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380</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365</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369</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385</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372</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373</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374</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376</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378</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379</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380</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365</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369</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385</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372</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373</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374</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376</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378</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379</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380</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365</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369</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385</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372</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373</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374</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376</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378</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379</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380</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365</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369</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372</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373</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374</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376</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378</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379</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380</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365</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369</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385</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372</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373</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374</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376</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378</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379</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380</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365</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369</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385</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372</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373</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374</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376</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377</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378</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379</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380</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365</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369</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385</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372</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373</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374</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376</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378</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379</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380</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365</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369</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385</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372</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373</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374</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376</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378</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379</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380</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365</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369</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385</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372</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373</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374</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376</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378</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379</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380</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392</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369</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385</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372</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373</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374</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376</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377</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378</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379</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380</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393</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369</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385</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372</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373</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374</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376</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378</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379</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380</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368</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390</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369</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385</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372</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373</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374</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376</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377</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378</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379</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380</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368</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369</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385</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372</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373</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374</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376</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377</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378</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379</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380</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368</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369</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385</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389</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372</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373</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374</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376</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378</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379</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380</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368</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369</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385</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372</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373</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374</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376</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378</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379</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380</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368</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369</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372</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373</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374</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375</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376</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378</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379</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380</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365</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366</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381</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367</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368</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369</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370</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385</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372</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373</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374</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375</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376</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377</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394</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378</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379</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380</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368</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382</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383</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369</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384</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372</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373</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374</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376</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377</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378</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379</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380</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367</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368</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369</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370</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371</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372</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373</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374</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376</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377</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378</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379</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380</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367</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368</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369</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370</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371</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372</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373</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374</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376</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378</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379</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380</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368</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369</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385</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372</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373</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374</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376</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378</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379</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380</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365</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369</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385</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373</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374</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376</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378</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379</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380</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365</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369</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385</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373</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374</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376</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378</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379</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380</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366</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368</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369</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370</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371</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373</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374</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376</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378</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379</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380</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365</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369</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385</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372</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373</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374</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376</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378</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379</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380</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365</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369</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385</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373</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374</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376</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378</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379</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380</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365</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369</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385</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373</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374</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376</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378</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379</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380</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365</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369</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385</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373</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374</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376</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378</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379</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380</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365</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369</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385</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373</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374</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376</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378</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379</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380</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368</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369</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373</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374</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376</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378</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379</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380</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368</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373</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374</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376</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378</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368</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369</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385</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373</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374</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376</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378</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379</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380</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366</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369</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371</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373</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374</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376</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378</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379</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380</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365</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366</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381</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367</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368</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382</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383</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392</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393</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386</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388</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387</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390</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369</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370</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371</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384</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385</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389</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372</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373</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374</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375</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376</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377</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394</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391</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378</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379</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380</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438</v>
      </c>
      <c r="B1" s="52" t="s">
        <v>439</v>
      </c>
    </row>
    <row r="2" spans="1:2">
      <c r="A2" s="54" t="s">
        <v>440</v>
      </c>
      <c r="B2" s="52">
        <v>2050101</v>
      </c>
    </row>
    <row r="3" spans="1:2">
      <c r="A3" s="54" t="s">
        <v>441</v>
      </c>
      <c r="B3" s="52">
        <v>2050102</v>
      </c>
    </row>
    <row r="4" spans="1:2">
      <c r="A4" s="54" t="s">
        <v>365</v>
      </c>
      <c r="B4" s="52">
        <v>2050201</v>
      </c>
    </row>
    <row r="5" spans="1:2">
      <c r="A5" s="54" t="s">
        <v>366</v>
      </c>
      <c r="B5" s="52">
        <v>2050202</v>
      </c>
    </row>
    <row r="6" spans="1:2">
      <c r="A6" s="54" t="s">
        <v>381</v>
      </c>
      <c r="B6" s="52">
        <v>2050203</v>
      </c>
    </row>
    <row r="7" spans="1:2">
      <c r="A7" s="54" t="s">
        <v>367</v>
      </c>
      <c r="B7" s="52">
        <v>2050204</v>
      </c>
    </row>
    <row r="8" spans="1:2">
      <c r="A8" s="54" t="s">
        <v>368</v>
      </c>
      <c r="B8" s="52">
        <v>2050299</v>
      </c>
    </row>
    <row r="9" spans="1:2">
      <c r="A9" s="54" t="s">
        <v>382</v>
      </c>
      <c r="B9" s="52">
        <v>2050302</v>
      </c>
    </row>
    <row r="10" spans="1:2">
      <c r="A10" s="54" t="s">
        <v>442</v>
      </c>
      <c r="B10" s="52">
        <v>2050304</v>
      </c>
    </row>
    <row r="11" spans="1:2">
      <c r="A11" s="54" t="s">
        <v>383</v>
      </c>
      <c r="B11" s="52">
        <v>2050399</v>
      </c>
    </row>
    <row r="12" spans="1:2">
      <c r="A12" s="54" t="s">
        <v>392</v>
      </c>
      <c r="B12" s="52">
        <v>2050403</v>
      </c>
    </row>
    <row r="13" spans="1:2">
      <c r="A13" s="54" t="s">
        <v>393</v>
      </c>
      <c r="B13" s="52">
        <v>2050404</v>
      </c>
    </row>
    <row r="14" spans="1:2">
      <c r="A14" s="54" t="s">
        <v>386</v>
      </c>
      <c r="B14" s="52">
        <v>2050701</v>
      </c>
    </row>
    <row r="15" spans="1:2">
      <c r="A15" s="54" t="s">
        <v>388</v>
      </c>
      <c r="B15" s="52">
        <v>2050702</v>
      </c>
    </row>
    <row r="16" spans="1:2">
      <c r="A16" s="54" t="s">
        <v>387</v>
      </c>
      <c r="B16" s="52">
        <v>2050799</v>
      </c>
    </row>
    <row r="17" spans="1:2">
      <c r="A17" s="54" t="s">
        <v>390</v>
      </c>
      <c r="B17" s="52">
        <v>2050801</v>
      </c>
    </row>
    <row r="18" spans="1:2">
      <c r="A18" s="54" t="s">
        <v>369</v>
      </c>
      <c r="B18" s="52">
        <v>2050803</v>
      </c>
    </row>
    <row r="19" spans="1:2">
      <c r="A19" s="54" t="s">
        <v>370</v>
      </c>
      <c r="B19" s="52">
        <v>2050903</v>
      </c>
    </row>
    <row r="20" spans="1:2">
      <c r="A20" s="54" t="s">
        <v>371</v>
      </c>
      <c r="B20" s="52">
        <v>2050904</v>
      </c>
    </row>
    <row r="21" spans="1:2">
      <c r="A21" s="54" t="s">
        <v>384</v>
      </c>
      <c r="B21" s="52">
        <v>2050905</v>
      </c>
    </row>
    <row r="22" spans="1:2">
      <c r="A22" s="54" t="s">
        <v>385</v>
      </c>
      <c r="B22" s="52">
        <v>2050999</v>
      </c>
    </row>
    <row r="23" spans="1:2">
      <c r="A23" s="54" t="s">
        <v>389</v>
      </c>
      <c r="B23" s="52">
        <v>2060702</v>
      </c>
    </row>
    <row r="24" spans="1:2">
      <c r="A24" s="54" t="s">
        <v>443</v>
      </c>
      <c r="B24" s="52">
        <v>2080501</v>
      </c>
    </row>
    <row r="25" spans="1:2">
      <c r="A25" s="54" t="s">
        <v>372</v>
      </c>
      <c r="B25" s="52">
        <v>2080502</v>
      </c>
    </row>
    <row r="26" spans="1:2">
      <c r="A26" s="54" t="s">
        <v>373</v>
      </c>
      <c r="B26" s="52">
        <v>2080505</v>
      </c>
    </row>
    <row r="27" spans="1:2">
      <c r="A27" s="54" t="s">
        <v>374</v>
      </c>
      <c r="B27" s="52">
        <v>2080506</v>
      </c>
    </row>
    <row r="28" spans="1:2">
      <c r="A28" s="54" t="s">
        <v>375</v>
      </c>
      <c r="B28" s="52">
        <v>2080801</v>
      </c>
    </row>
    <row r="29" spans="1:2">
      <c r="A29" s="54" t="s">
        <v>444</v>
      </c>
      <c r="B29" s="52">
        <v>2101101</v>
      </c>
    </row>
    <row r="30" spans="1:2">
      <c r="A30" s="54" t="s">
        <v>376</v>
      </c>
      <c r="B30" s="52">
        <v>2101102</v>
      </c>
    </row>
    <row r="31" spans="1:2">
      <c r="A31" s="54" t="s">
        <v>377</v>
      </c>
      <c r="B31" s="52">
        <v>2101199</v>
      </c>
    </row>
    <row r="32" spans="1:2">
      <c r="A32" s="54" t="s">
        <v>394</v>
      </c>
      <c r="B32" s="52">
        <v>2120399</v>
      </c>
    </row>
    <row r="33" spans="1:2">
      <c r="A33" s="54" t="s">
        <v>378</v>
      </c>
      <c r="B33" s="52">
        <v>2210201</v>
      </c>
    </row>
    <row r="34" spans="1:2">
      <c r="A34" s="54" t="s">
        <v>379</v>
      </c>
      <c r="B34" s="52">
        <v>2210202</v>
      </c>
    </row>
    <row r="35" spans="1:2">
      <c r="A35" s="54" t="s">
        <v>380</v>
      </c>
      <c r="B35" s="52">
        <v>2210203</v>
      </c>
    </row>
    <row r="36" spans="1:2">
      <c r="A36" s="54" t="s">
        <v>445</v>
      </c>
      <c r="B36" s="52">
        <v>2296003</v>
      </c>
    </row>
    <row r="37" spans="1:2">
      <c r="A37" s="54" t="s">
        <v>446</v>
      </c>
      <c r="B37" s="52">
        <v>2340201</v>
      </c>
    </row>
    <row r="38" spans="1:2">
      <c r="A38" s="54" t="s">
        <v>391</v>
      </c>
      <c r="B38" s="52">
        <v>2130506</v>
      </c>
    </row>
    <row r="39" spans="1:2">
      <c r="A39" s="54"/>
      <c r="B39" s="52"/>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2021-09-07T02:32:48Z</cp:lastPrinted>
  <dcterms:created xsi:type="dcterms:W3CDTF">2021-08-26T09:47:38Z</dcterms:created>
  <dcterms:modified xsi:type="dcterms:W3CDTF">2021-09-08T01:12:57Z</dcterms:modified>
</cp:coreProperties>
</file>