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5" yWindow="-105" windowWidth="23250" windowHeight="1260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3" i="5" l="1"/>
  <c r="D29" i="5" l="1"/>
  <c r="A31" i="6"/>
  <c r="G30" i="6"/>
  <c r="M29" i="6"/>
  <c r="C29" i="6"/>
  <c r="E27" i="6" l="1"/>
  <c r="E26" i="6"/>
  <c r="J25" i="6"/>
  <c r="D25" i="6"/>
  <c r="L24" i="6"/>
  <c r="E24" i="6"/>
  <c r="D20" i="6"/>
  <c r="I19" i="6"/>
  <c r="C19" i="6"/>
  <c r="L18" i="6"/>
  <c r="G18" i="6"/>
  <c r="L15" i="6"/>
  <c r="F15" i="6"/>
  <c r="D14" i="6"/>
  <c r="H14" i="6" s="1"/>
  <c r="F11" i="6"/>
  <c r="L11"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c r="C1691" i="10" s="1"/>
  <c r="E1690" i="10"/>
  <c r="D1690" i="10" s="1"/>
  <c r="E1689" i="10"/>
  <c r="D1689" i="10" s="1"/>
  <c r="C1689" i="10" s="1"/>
  <c r="E1688" i="10"/>
  <c r="D1688" i="10" s="1"/>
  <c r="C1688" i="10" s="1"/>
  <c r="E1687" i="10"/>
  <c r="D1687" i="10"/>
  <c r="C1687" i="10"/>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c r="C1680" i="10" s="1"/>
  <c r="E1679" i="10"/>
  <c r="D1679" i="10" s="1"/>
  <c r="C1679" i="10" s="1"/>
  <c r="E1678" i="10"/>
  <c r="D1678" i="10" s="1"/>
  <c r="C1678" i="10" s="1"/>
  <c r="E1677" i="10"/>
  <c r="D1677" i="10" s="1"/>
  <c r="E1676" i="10"/>
  <c r="D1676" i="10" s="1"/>
  <c r="C1676" i="10" s="1"/>
  <c r="E1675" i="10"/>
  <c r="D1675" i="10"/>
  <c r="C1675" i="10" s="1"/>
  <c r="E1674" i="10"/>
  <c r="D1674" i="10" s="1"/>
  <c r="C1674" i="10" s="1"/>
  <c r="E1673" i="10"/>
  <c r="D1673" i="10" s="1"/>
  <c r="C1673" i="10" s="1"/>
  <c r="E1672" i="10"/>
  <c r="D1672" i="10" s="1"/>
  <c r="C1672" i="10" s="1"/>
  <c r="E1671" i="10"/>
  <c r="D1671" i="10"/>
  <c r="C1671" i="10"/>
  <c r="E1670" i="10"/>
  <c r="D1670" i="10" s="1"/>
  <c r="C1670" i="10" s="1"/>
  <c r="E1669" i="10"/>
  <c r="D1669" i="10" s="1"/>
  <c r="C1669" i="10" s="1"/>
  <c r="E1668" i="10"/>
  <c r="D1668" i="10"/>
  <c r="C1668" i="10" s="1"/>
  <c r="E1667" i="10"/>
  <c r="D1667" i="10" s="1"/>
  <c r="C1667" i="10" s="1"/>
  <c r="E1666" i="10"/>
  <c r="D1666" i="10" s="1"/>
  <c r="C1666" i="10" s="1"/>
  <c r="E1665" i="10"/>
  <c r="D1665" i="10" s="1"/>
  <c r="C1665" i="10" s="1"/>
  <c r="E1664" i="10"/>
  <c r="D1664" i="10"/>
  <c r="C1664" i="10" s="1"/>
  <c r="E1663" i="10"/>
  <c r="D1663" i="10" s="1"/>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c r="C1655" i="10"/>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c r="C1639" i="10"/>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c r="C1627" i="10" s="1"/>
  <c r="E1626" i="10"/>
  <c r="D1626" i="10" s="1"/>
  <c r="C1626" i="10" s="1"/>
  <c r="E1625" i="10"/>
  <c r="D1625" i="10" s="1"/>
  <c r="C1625" i="10" s="1"/>
  <c r="E1624" i="10"/>
  <c r="D1624" i="10" s="1"/>
  <c r="C1624" i="10" s="1"/>
  <c r="E1623" i="10"/>
  <c r="D1623" i="10" s="1"/>
  <c r="C1623" i="10"/>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s="1"/>
  <c r="C1596" i="10" s="1"/>
  <c r="E1595" i="10"/>
  <c r="D1595" i="10"/>
  <c r="C1595" i="10" s="1"/>
  <c r="E1594" i="10"/>
  <c r="D1594" i="10" s="1"/>
  <c r="C1594" i="10" s="1"/>
  <c r="E1593" i="10"/>
  <c r="D1593" i="10" s="1"/>
  <c r="C1593" i="10" s="1"/>
  <c r="E1592" i="10"/>
  <c r="D1592" i="10" s="1"/>
  <c r="C1592" i="10" s="1"/>
  <c r="E1591" i="10"/>
  <c r="D1591" i="10"/>
  <c r="C1591" i="10"/>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c r="C1575" i="10"/>
  <c r="E1574" i="10"/>
  <c r="D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s="1"/>
  <c r="C1560" i="10" s="1"/>
  <c r="E1559" i="10"/>
  <c r="D1559" i="10"/>
  <c r="C1559" i="10"/>
  <c r="E1558" i="10"/>
  <c r="D1558" i="10" s="1"/>
  <c r="C1558" i="10" s="1"/>
  <c r="E1557" i="10"/>
  <c r="D1557" i="10" s="1"/>
  <c r="C1557" i="10" s="1"/>
  <c r="E1556" i="10"/>
  <c r="D1556" i="10"/>
  <c r="C1556" i="10" s="1"/>
  <c r="E1555" i="10"/>
  <c r="D1555" i="10" s="1"/>
  <c r="C1555" i="10" s="1"/>
  <c r="E1554" i="10"/>
  <c r="D1554" i="10" s="1"/>
  <c r="E1553" i="10"/>
  <c r="D1553" i="10" s="1"/>
  <c r="C1553" i="10" s="1"/>
  <c r="E1552" i="10"/>
  <c r="D1552" i="10"/>
  <c r="C1552" i="10" s="1"/>
  <c r="E1551" i="10"/>
  <c r="D1551" i="10" s="1"/>
  <c r="C1551" i="10" s="1"/>
  <c r="E1550" i="10"/>
  <c r="D1550" i="10" s="1"/>
  <c r="C1550" i="10" s="1"/>
  <c r="E1549" i="10"/>
  <c r="D1549" i="10" s="1"/>
  <c r="C1549" i="10" s="1"/>
  <c r="E1548" i="10"/>
  <c r="D1548" i="10" s="1"/>
  <c r="C1548" i="10" s="1"/>
  <c r="E1547" i="10"/>
  <c r="D1547" i="10"/>
  <c r="C1547" i="10" s="1"/>
  <c r="E1546" i="10"/>
  <c r="D1546" i="10" s="1"/>
  <c r="C1546" i="10" s="1"/>
  <c r="E1545" i="10"/>
  <c r="D1545" i="10" s="1"/>
  <c r="C1545" i="10" s="1"/>
  <c r="E1544" i="10"/>
  <c r="D1544" i="10" s="1"/>
  <c r="C1544" i="10" s="1"/>
  <c r="E1543" i="10"/>
  <c r="D1543" i="10"/>
  <c r="C1543" i="10"/>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s="1"/>
  <c r="C1536" i="10" s="1"/>
  <c r="E1535" i="10"/>
  <c r="D1535" i="10" s="1"/>
  <c r="C1535" i="10" s="1"/>
  <c r="E1534" i="10"/>
  <c r="D1534" i="10" s="1"/>
  <c r="C1534" i="10" s="1"/>
  <c r="E1533" i="10"/>
  <c r="D1533" i="10" s="1"/>
  <c r="E1532" i="10"/>
  <c r="D1532" i="10" s="1"/>
  <c r="C1532" i="10" s="1"/>
  <c r="E1531" i="10"/>
  <c r="D1531" i="10"/>
  <c r="C1531" i="10" s="1"/>
  <c r="E1530" i="10"/>
  <c r="D1530" i="10" s="1"/>
  <c r="C1530" i="10" s="1"/>
  <c r="E1529" i="10"/>
  <c r="D1529" i="10" s="1"/>
  <c r="C1529" i="10" s="1"/>
  <c r="E1528" i="10"/>
  <c r="D1528" i="10" s="1"/>
  <c r="C1528" i="10" s="1"/>
  <c r="E1527" i="10"/>
  <c r="D1527" i="10"/>
  <c r="C1527" i="10"/>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c r="C1520" i="10" s="1"/>
  <c r="E1519" i="10"/>
  <c r="D1519" i="10" s="1"/>
  <c r="C1519" i="10" s="1"/>
  <c r="E1518" i="10"/>
  <c r="D1518" i="10" s="1"/>
  <c r="C1518" i="10" s="1"/>
  <c r="E1517" i="10"/>
  <c r="D1517" i="10" s="1"/>
  <c r="C1517" i="10" s="1"/>
  <c r="E1516" i="10"/>
  <c r="D1516" i="10" s="1"/>
  <c r="C1516" i="10" s="1"/>
  <c r="E1515" i="10"/>
  <c r="D1515" i="10"/>
  <c r="C1515" i="10" s="1"/>
  <c r="E1514" i="10"/>
  <c r="D1514" i="10" s="1"/>
  <c r="E1513" i="10"/>
  <c r="D1513" i="10" s="1"/>
  <c r="C1513" i="10" s="1"/>
  <c r="E1512" i="10"/>
  <c r="D1512" i="10" s="1"/>
  <c r="C1512" i="10" s="1"/>
  <c r="E1511" i="10"/>
  <c r="D1511" i="10"/>
  <c r="C1511" i="10"/>
  <c r="E1510" i="10"/>
  <c r="D1510" i="10" s="1"/>
  <c r="C1510" i="10" s="1"/>
  <c r="E1509" i="10"/>
  <c r="D1509" i="10" s="1"/>
  <c r="C1509" i="10" s="1"/>
  <c r="E1508" i="10"/>
  <c r="D1508" i="10"/>
  <c r="C1508" i="10" s="1"/>
  <c r="E1507" i="10"/>
  <c r="D1507" i="10" s="1"/>
  <c r="C1507" i="10" s="1"/>
  <c r="E1506" i="10"/>
  <c r="D1506" i="10" s="1"/>
  <c r="C1506" i="10" s="1"/>
  <c r="E1505" i="10"/>
  <c r="D1505" i="10" s="1"/>
  <c r="C1505" i="10" s="1"/>
  <c r="E1504" i="10"/>
  <c r="D1504" i="10"/>
  <c r="C1504" i="10" s="1"/>
  <c r="E1503" i="10"/>
  <c r="D1503" i="10" s="1"/>
  <c r="C1503" i="10" s="1"/>
  <c r="E1502" i="10"/>
  <c r="D1502" i="10" s="1"/>
  <c r="C1502" i="10" s="1"/>
  <c r="E1501" i="10"/>
  <c r="D1501" i="10" s="1"/>
  <c r="C1501" i="10" s="1"/>
  <c r="E1500" i="10"/>
  <c r="D1500" i="10" s="1"/>
  <c r="C1500" i="10" s="1"/>
  <c r="E1499" i="10"/>
  <c r="D1499" i="10"/>
  <c r="C1499" i="10" s="1"/>
  <c r="E1498" i="10"/>
  <c r="D1498" i="10" s="1"/>
  <c r="C1498" i="10" s="1"/>
  <c r="E1497" i="10"/>
  <c r="D1497" i="10" s="1"/>
  <c r="C1497" i="10" s="1"/>
  <c r="E1496" i="10"/>
  <c r="D1496" i="10" s="1"/>
  <c r="C1496" i="10" s="1"/>
  <c r="E1495" i="10"/>
  <c r="D1495" i="10"/>
  <c r="C1495" i="10"/>
  <c r="E1494" i="10"/>
  <c r="D1494" i="10" s="1"/>
  <c r="E1493" i="10"/>
  <c r="D1493" i="10" s="1"/>
  <c r="C1493" i="10" s="1"/>
  <c r="E1492" i="10"/>
  <c r="D1492" i="10"/>
  <c r="C1492" i="10" s="1"/>
  <c r="E1491" i="10"/>
  <c r="D1491" i="10" s="1"/>
  <c r="C1491" i="10" s="1"/>
  <c r="E1490" i="10"/>
  <c r="D1490" i="10" s="1"/>
  <c r="C1490" i="10" s="1"/>
  <c r="E1489" i="10"/>
  <c r="D1489" i="10" s="1"/>
  <c r="C1489" i="10" s="1"/>
  <c r="E1488" i="10"/>
  <c r="D1488" i="10"/>
  <c r="C1488" i="10" s="1"/>
  <c r="E1487" i="10"/>
  <c r="D1487" i="10" s="1"/>
  <c r="C1487" i="10" s="1"/>
  <c r="E1486" i="10"/>
  <c r="D1486" i="10" s="1"/>
  <c r="C1486" i="10" s="1"/>
  <c r="E1485" i="10"/>
  <c r="D1485" i="10" s="1"/>
  <c r="E1484" i="10"/>
  <c r="D1484" i="10" s="1"/>
  <c r="C1484" i="10" s="1"/>
  <c r="E1483" i="10"/>
  <c r="D1483" i="10"/>
  <c r="C1483" i="10" s="1"/>
  <c r="E1482" i="10"/>
  <c r="D1482" i="10" s="1"/>
  <c r="C1482" i="10" s="1"/>
  <c r="E1481" i="10"/>
  <c r="D1481" i="10" s="1"/>
  <c r="C1481" i="10" s="1"/>
  <c r="E1480" i="10"/>
  <c r="D1480" i="10" s="1"/>
  <c r="C1480" i="10" s="1"/>
  <c r="E1479" i="10"/>
  <c r="D1479" i="10"/>
  <c r="C1479" i="10"/>
  <c r="E1478" i="10"/>
  <c r="D1478" i="10" s="1"/>
  <c r="C1478" i="10" s="1"/>
  <c r="E1477" i="10"/>
  <c r="D1477" i="10" s="1"/>
  <c r="C1477" i="10" s="1"/>
  <c r="E1476" i="10"/>
  <c r="D1476" i="10"/>
  <c r="C1476" i="10" s="1"/>
  <c r="E1475" i="10"/>
  <c r="D1475" i="10" s="1"/>
  <c r="C1475" i="10" s="1"/>
  <c r="E1474" i="10"/>
  <c r="D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c r="C1459" i="10" s="1"/>
  <c r="E1458" i="10"/>
  <c r="D1458" i="10" s="1"/>
  <c r="C1458" i="10" s="1"/>
  <c r="E1457" i="10"/>
  <c r="D1457" i="10" s="1"/>
  <c r="C1457" i="10" s="1"/>
  <c r="E1456" i="10"/>
  <c r="D1456" i="10" s="1"/>
  <c r="C1456" i="10" s="1"/>
  <c r="E1455" i="10"/>
  <c r="D1455" i="10"/>
  <c r="C1455" i="10"/>
  <c r="E1454" i="10"/>
  <c r="D1454" i="10" s="1"/>
  <c r="C1454" i="10" s="1"/>
  <c r="E1453" i="10"/>
  <c r="D1453" i="10" s="1"/>
  <c r="E1452" i="10"/>
  <c r="D1452" i="10"/>
  <c r="C1452" i="10" s="1"/>
  <c r="E1451" i="10"/>
  <c r="D1451" i="10" s="1"/>
  <c r="C1451" i="10" s="1"/>
  <c r="E1450" i="10"/>
  <c r="D1450" i="10" s="1"/>
  <c r="C1450" i="10" s="1"/>
  <c r="E1449" i="10"/>
  <c r="D1449" i="10" s="1"/>
  <c r="C1449" i="10" s="1"/>
  <c r="E1448" i="10"/>
  <c r="D1448" i="10"/>
  <c r="C1448" i="10" s="1"/>
  <c r="E1447" i="10"/>
  <c r="D1447" i="10" s="1"/>
  <c r="C1447" i="10" s="1"/>
  <c r="E1446" i="10"/>
  <c r="D1446" i="10" s="1"/>
  <c r="C1446" i="10"/>
  <c r="E1445" i="10"/>
  <c r="D1445" i="10" s="1"/>
  <c r="C1445" i="10" s="1"/>
  <c r="E1444" i="10"/>
  <c r="D1444" i="10" s="1"/>
  <c r="C1444" i="10" s="1"/>
  <c r="E1443" i="10"/>
  <c r="D1443" i="10"/>
  <c r="C1443" i="10" s="1"/>
  <c r="E1442" i="10"/>
  <c r="D1442" i="10" s="1"/>
  <c r="C1442" i="10" s="1"/>
  <c r="E1441" i="10"/>
  <c r="D1441" i="10" s="1"/>
  <c r="E1440" i="10"/>
  <c r="D1440" i="10" s="1"/>
  <c r="C1440" i="10" s="1"/>
  <c r="E1439" i="10"/>
  <c r="D1439" i="10" s="1"/>
  <c r="C1439" i="10" s="1"/>
  <c r="E1438" i="10"/>
  <c r="D1438" i="10" s="1"/>
  <c r="C1438" i="10" s="1"/>
  <c r="E1437" i="10"/>
  <c r="D1437" i="10" s="1"/>
  <c r="C1437" i="10" s="1"/>
  <c r="E1436" i="10"/>
  <c r="D1436" i="10" s="1"/>
  <c r="C1436" i="10" s="1"/>
  <c r="E1435" i="10"/>
  <c r="D1435" i="10" s="1"/>
  <c r="C1435" i="10" s="1"/>
  <c r="E1434" i="10"/>
  <c r="D1434" i="10" s="1"/>
  <c r="C1434" i="10"/>
  <c r="E1433" i="10"/>
  <c r="D1433" i="10" s="1"/>
  <c r="C1433" i="10" s="1"/>
  <c r="E1432" i="10"/>
  <c r="D1432" i="10" s="1"/>
  <c r="C1432" i="10" s="1"/>
  <c r="E1431" i="10"/>
  <c r="D1431" i="10"/>
  <c r="C1431" i="10" s="1"/>
  <c r="E1430" i="10"/>
  <c r="D1430" i="10" s="1"/>
  <c r="C1430" i="10" s="1"/>
  <c r="E1429" i="10"/>
  <c r="D1429" i="10"/>
  <c r="C1429" i="10"/>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s="1"/>
  <c r="C1421" i="10" s="1"/>
  <c r="E1420" i="10"/>
  <c r="D1420" i="10" s="1"/>
  <c r="C1420" i="10" s="1"/>
  <c r="E1419" i="10"/>
  <c r="D1419" i="10" s="1"/>
  <c r="C1419" i="10" s="1"/>
  <c r="E1418" i="10"/>
  <c r="D1418" i="10"/>
  <c r="C1418" i="10"/>
  <c r="E1417" i="10"/>
  <c r="D1417" i="10" s="1"/>
  <c r="C1417" i="10" s="1"/>
  <c r="E1416" i="10"/>
  <c r="D1416" i="10" s="1"/>
  <c r="C1416" i="10" s="1"/>
  <c r="E1415" i="10"/>
  <c r="D1415" i="10" s="1"/>
  <c r="C1415" i="10" s="1"/>
  <c r="E1414" i="10"/>
  <c r="D1414" i="10"/>
  <c r="C1414" i="10" s="1"/>
  <c r="E1413" i="10"/>
  <c r="D1413" i="10"/>
  <c r="C1413" i="10"/>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s="1"/>
  <c r="C1403" i="10" s="1"/>
  <c r="E1402" i="10"/>
  <c r="D1402" i="10"/>
  <c r="C1402" i="10"/>
  <c r="E1401" i="10"/>
  <c r="D1401" i="10" s="1"/>
  <c r="C1401" i="10" s="1"/>
  <c r="E1400" i="10"/>
  <c r="D1400" i="10" s="1"/>
  <c r="C1400" i="10" s="1"/>
  <c r="E1399" i="10"/>
  <c r="D1399" i="10" s="1"/>
  <c r="C1399" i="10" s="1"/>
  <c r="E1398" i="10"/>
  <c r="D1398" i="10"/>
  <c r="C1398" i="10"/>
  <c r="E1397" i="10"/>
  <c r="D1397" i="10"/>
  <c r="C1397" i="10" s="1"/>
  <c r="E1396" i="10"/>
  <c r="D1396" i="10" s="1"/>
  <c r="C1396" i="10" s="1"/>
  <c r="E1395" i="10"/>
  <c r="D1395" i="10"/>
  <c r="C1395" i="10" s="1"/>
  <c r="E1394" i="10"/>
  <c r="D1394" i="10"/>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s="1"/>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c r="C1341" i="10" s="1"/>
  <c r="E1340" i="10"/>
  <c r="D1340" i="10" s="1"/>
  <c r="C1340" i="10" s="1"/>
  <c r="E1339" i="10"/>
  <c r="D1339" i="10"/>
  <c r="C1339" i="10" s="1"/>
  <c r="E1338" i="10"/>
  <c r="D1338" i="10" s="1"/>
  <c r="C1338" i="10" s="1"/>
  <c r="E1337" i="10"/>
  <c r="D1337" i="10" s="1"/>
  <c r="C1337" i="10" s="1"/>
  <c r="E1336" i="10"/>
  <c r="D1336" i="10" s="1"/>
  <c r="C1336" i="10" s="1"/>
  <c r="E1335" i="10"/>
  <c r="D1335" i="10" s="1"/>
  <c r="C1335" i="10" s="1"/>
  <c r="E1334" i="10"/>
  <c r="D1334" i="10" s="1"/>
  <c r="C1334" i="10" s="1"/>
  <c r="E1333" i="10"/>
  <c r="D1333" i="10"/>
  <c r="C1333" i="10" s="1"/>
  <c r="E1332" i="10"/>
  <c r="D1332" i="10" s="1"/>
  <c r="C1332" i="10" s="1"/>
  <c r="E1331" i="10"/>
  <c r="D1331" i="10"/>
  <c r="C1331" i="10" s="1"/>
  <c r="E1330" i="10"/>
  <c r="D1330" i="10" s="1"/>
  <c r="C1330" i="10" s="1"/>
  <c r="E1329" i="10"/>
  <c r="D1329" i="10" s="1"/>
  <c r="C1329" i="10" s="1"/>
  <c r="E1328" i="10"/>
  <c r="D1328" i="10" s="1"/>
  <c r="C1328" i="10" s="1"/>
  <c r="E1327" i="10"/>
  <c r="D1327" i="10" s="1"/>
  <c r="C1327" i="10" s="1"/>
  <c r="E1326" i="10"/>
  <c r="D1326" i="10" s="1"/>
  <c r="C1326" i="10" s="1"/>
  <c r="E1325" i="10"/>
  <c r="D1325" i="10"/>
  <c r="C1325" i="10" s="1"/>
  <c r="E1324" i="10"/>
  <c r="D1324" i="10" s="1"/>
  <c r="C1324" i="10" s="1"/>
  <c r="E1323" i="10"/>
  <c r="D1323" i="10"/>
  <c r="C1323" i="10" s="1"/>
  <c r="E1322" i="10"/>
  <c r="D1322" i="10" s="1"/>
  <c r="C1322" i="10" s="1"/>
  <c r="E1321" i="10"/>
  <c r="D1321" i="10" s="1"/>
  <c r="C1321" i="10" s="1"/>
  <c r="E1320" i="10"/>
  <c r="D1320" i="10" s="1"/>
  <c r="E1319" i="10"/>
  <c r="D1319" i="10" s="1"/>
  <c r="C1319" i="10" s="1"/>
  <c r="E1318" i="10"/>
  <c r="D1318" i="10" s="1"/>
  <c r="C1318" i="10" s="1"/>
  <c r="E1317" i="10"/>
  <c r="D1317" i="10"/>
  <c r="C1317" i="10" s="1"/>
  <c r="E1316" i="10"/>
  <c r="D1316" i="10" s="1"/>
  <c r="C1316" i="10" s="1"/>
  <c r="E1315" i="10"/>
  <c r="D1315" i="10"/>
  <c r="C1315" i="10" s="1"/>
  <c r="E1314" i="10"/>
  <c r="D1314" i="10" s="1"/>
  <c r="C1314" i="10" s="1"/>
  <c r="E1313" i="10"/>
  <c r="D1313" i="10" s="1"/>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c r="C1301" i="10" s="1"/>
  <c r="E1300" i="10"/>
  <c r="D1300" i="10" s="1"/>
  <c r="C1300" i="10" s="1"/>
  <c r="E1299" i="10"/>
  <c r="D1299" i="10"/>
  <c r="C1299" i="10" s="1"/>
  <c r="E1298" i="10"/>
  <c r="D1298" i="10" s="1"/>
  <c r="C1298" i="10" s="1"/>
  <c r="E1297" i="10"/>
  <c r="D1297" i="10" s="1"/>
  <c r="C1297" i="10" s="1"/>
  <c r="E1296" i="10"/>
  <c r="D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c r="C1285" i="10" s="1"/>
  <c r="E1284" i="10"/>
  <c r="D1284" i="10" s="1"/>
  <c r="E1283" i="10"/>
  <c r="D1283" i="10" s="1"/>
  <c r="C1283" i="10" s="1"/>
  <c r="E1282" i="10"/>
  <c r="D1282" i="10" s="1"/>
  <c r="C1282" i="10" s="1"/>
  <c r="E1281" i="10"/>
  <c r="D1281" i="10" s="1"/>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s="1"/>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s="1"/>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c r="C1190" i="10" s="1"/>
  <c r="E1189" i="10"/>
  <c r="D1189" i="10" s="1"/>
  <c r="C1189" i="10"/>
  <c r="E1188" i="10"/>
  <c r="D1188" i="10" s="1"/>
  <c r="C1188" i="10" s="1"/>
  <c r="E1187" i="10"/>
  <c r="D1187" i="10" s="1"/>
  <c r="C1187" i="10" s="1"/>
  <c r="E1186" i="10"/>
  <c r="D1186" i="10" s="1"/>
  <c r="C1186" i="10" s="1"/>
  <c r="E1185" i="10"/>
  <c r="D1185" i="10" s="1"/>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E1027" i="10"/>
  <c r="D1027" i="10"/>
  <c r="C1027" i="10" s="1"/>
  <c r="E1026" i="10"/>
  <c r="D1026" i="10"/>
  <c r="C1026" i="10" s="1"/>
  <c r="E1025" i="10"/>
  <c r="D1025" i="10" s="1"/>
  <c r="C1025" i="10" s="1"/>
  <c r="E1024" i="10"/>
  <c r="D1024" i="10" s="1"/>
  <c r="C1024" i="10" s="1"/>
  <c r="E1023" i="10"/>
  <c r="D1023" i="10" s="1"/>
  <c r="C1023" i="10" s="1"/>
  <c r="E1022" i="10"/>
  <c r="D1022" i="10" s="1"/>
  <c r="C1022" i="10"/>
  <c r="E1021" i="10"/>
  <c r="D1021" i="10"/>
  <c r="C1021" i="10" s="1"/>
  <c r="E1020" i="10"/>
  <c r="D1020" i="10" s="1"/>
  <c r="C1020" i="10" s="1"/>
  <c r="E1019" i="10"/>
  <c r="D1019" i="10"/>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c r="C959" i="10" s="1"/>
  <c r="E958" i="10"/>
  <c r="D958" i="10" s="1"/>
  <c r="C958" i="10" s="1"/>
  <c r="E957" i="10"/>
  <c r="D957" i="10" s="1"/>
  <c r="C957" i="10" s="1"/>
  <c r="E956" i="10"/>
  <c r="D956" i="10" s="1"/>
  <c r="C956" i="10" s="1"/>
  <c r="E955" i="10"/>
  <c r="D955" i="10"/>
  <c r="C955" i="10" s="1"/>
  <c r="E954" i="10"/>
  <c r="D954" i="10" s="1"/>
  <c r="C954" i="10" s="1"/>
  <c r="E953" i="10"/>
  <c r="D953" i="10" s="1"/>
  <c r="C953" i="10" s="1"/>
  <c r="E952" i="10"/>
  <c r="D952" i="10" s="1"/>
  <c r="C952" i="10" s="1"/>
  <c r="E951" i="10"/>
  <c r="D951" i="10"/>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s="1"/>
  <c r="C921" i="10" s="1"/>
  <c r="E920" i="10"/>
  <c r="D920" i="10" s="1"/>
  <c r="C920" i="10" s="1"/>
  <c r="E919" i="10"/>
  <c r="D919" i="10"/>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c r="C903" i="10" s="1"/>
  <c r="E902" i="10"/>
  <c r="D902" i="10" s="1"/>
  <c r="C902" i="10" s="1"/>
  <c r="E901" i="10"/>
  <c r="D901" i="10" s="1"/>
  <c r="C901" i="10" s="1"/>
  <c r="E900" i="10"/>
  <c r="D900" i="10" s="1"/>
  <c r="C900" i="10" s="1"/>
  <c r="E899" i="10"/>
  <c r="D899" i="10"/>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c r="C891" i="10" s="1"/>
  <c r="E890" i="10"/>
  <c r="D890" i="10"/>
  <c r="C890" i="10" s="1"/>
  <c r="E889" i="10"/>
  <c r="D889" i="10" s="1"/>
  <c r="C889" i="10" s="1"/>
  <c r="E888" i="10"/>
  <c r="D888" i="10" s="1"/>
  <c r="E887" i="10"/>
  <c r="D887" i="10" s="1"/>
  <c r="C887" i="10" s="1"/>
  <c r="E886" i="10"/>
  <c r="D886" i="10" s="1"/>
  <c r="C886" i="10" s="1"/>
  <c r="E885" i="10"/>
  <c r="D885" i="10"/>
  <c r="C885" i="10" s="1"/>
  <c r="E884" i="10"/>
  <c r="D884" i="10" s="1"/>
  <c r="C884" i="10" s="1"/>
  <c r="E883" i="10"/>
  <c r="D883" i="10"/>
  <c r="C883" i="10" s="1"/>
  <c r="E882" i="10"/>
  <c r="D882" i="10"/>
  <c r="C882" i="10" s="1"/>
  <c r="E881" i="10"/>
  <c r="D881" i="10"/>
  <c r="C881" i="10"/>
  <c r="E880" i="10"/>
  <c r="D880" i="10" s="1"/>
  <c r="C880" i="10" s="1"/>
  <c r="E879" i="10"/>
  <c r="D879" i="10"/>
  <c r="C879" i="10" s="1"/>
  <c r="E878" i="10"/>
  <c r="D878" i="10" s="1"/>
  <c r="C878" i="10" s="1"/>
  <c r="E877" i="10"/>
  <c r="D877" i="10"/>
  <c r="C877" i="10"/>
  <c r="E876" i="10"/>
  <c r="D876" i="10" s="1"/>
  <c r="E875" i="10"/>
  <c r="D875" i="10"/>
  <c r="C875" i="10" s="1"/>
  <c r="E874" i="10"/>
  <c r="D874" i="10" s="1"/>
  <c r="C874" i="10" s="1"/>
  <c r="E873" i="10"/>
  <c r="D873" i="10"/>
  <c r="C873" i="10" s="1"/>
  <c r="E872" i="10"/>
  <c r="D872" i="10" s="1"/>
  <c r="C872" i="10" s="1"/>
  <c r="E871" i="10"/>
  <c r="D871" i="10"/>
  <c r="C871" i="10" s="1"/>
  <c r="E870" i="10"/>
  <c r="D870" i="10"/>
  <c r="C870" i="10"/>
  <c r="E869" i="10"/>
  <c r="D869" i="10" s="1"/>
  <c r="C869" i="10" s="1"/>
  <c r="E868" i="10"/>
  <c r="D868" i="10" s="1"/>
  <c r="C868" i="10" s="1"/>
  <c r="E867" i="10"/>
  <c r="D867" i="10" s="1"/>
  <c r="C867" i="10" s="1"/>
  <c r="E866" i="10"/>
  <c r="D866" i="10"/>
  <c r="C866" i="10"/>
  <c r="E865" i="10"/>
  <c r="D865" i="10"/>
  <c r="C865" i="10"/>
  <c r="E864" i="10"/>
  <c r="D864" i="10" s="1"/>
  <c r="C864" i="10" s="1"/>
  <c r="E863" i="10"/>
  <c r="D863" i="10" s="1"/>
  <c r="C863" i="10" s="1"/>
  <c r="E862" i="10"/>
  <c r="D862" i="10"/>
  <c r="C862" i="10" s="1"/>
  <c r="E861" i="10"/>
  <c r="D861" i="10"/>
  <c r="C861" i="10"/>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s="1"/>
  <c r="C853" i="10" s="1"/>
  <c r="E852" i="10"/>
  <c r="D852" i="10" s="1"/>
  <c r="C852" i="10" s="1"/>
  <c r="E851" i="10"/>
  <c r="D851" i="10" s="1"/>
  <c r="C851" i="10" s="1"/>
  <c r="E850" i="10"/>
  <c r="D850" i="10"/>
  <c r="C850" i="10"/>
  <c r="E849" i="10"/>
  <c r="D849" i="10" s="1"/>
  <c r="C849" i="10" s="1"/>
  <c r="E848" i="10"/>
  <c r="D848" i="10" s="1"/>
  <c r="C848" i="10" s="1"/>
  <c r="E847" i="10"/>
  <c r="D847" i="10" s="1"/>
  <c r="C847" i="10" s="1"/>
  <c r="E846" i="10"/>
  <c r="D846" i="10"/>
  <c r="C846" i="10" s="1"/>
  <c r="E845" i="10"/>
  <c r="D845" i="10"/>
  <c r="C845" i="10"/>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c r="E833" i="10"/>
  <c r="D833" i="10" s="1"/>
  <c r="C833" i="10" s="1"/>
  <c r="E832" i="10"/>
  <c r="D832" i="10" s="1"/>
  <c r="C832" i="10" s="1"/>
  <c r="E831" i="10"/>
  <c r="D831" i="10" s="1"/>
  <c r="C831" i="10" s="1"/>
  <c r="E830" i="10"/>
  <c r="D830" i="10"/>
  <c r="C830" i="10" s="1"/>
  <c r="E829" i="10"/>
  <c r="D829" i="10"/>
  <c r="C829" i="10"/>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s="1"/>
  <c r="C821" i="10" s="1"/>
  <c r="E820" i="10"/>
  <c r="D820" i="10" s="1"/>
  <c r="C820" i="10" s="1"/>
  <c r="E819" i="10"/>
  <c r="D819" i="10" s="1"/>
  <c r="C819" i="10" s="1"/>
  <c r="E818" i="10"/>
  <c r="D818" i="10"/>
  <c r="C818" i="10"/>
  <c r="E817" i="10"/>
  <c r="D817" i="10" s="1"/>
  <c r="C817" i="10" s="1"/>
  <c r="E816" i="10"/>
  <c r="D816" i="10" s="1"/>
  <c r="C816" i="10" s="1"/>
  <c r="E815" i="10"/>
  <c r="D815" i="10" s="1"/>
  <c r="C815" i="10" s="1"/>
  <c r="E814" i="10"/>
  <c r="D814" i="10"/>
  <c r="C814" i="10" s="1"/>
  <c r="E813" i="10"/>
  <c r="D813" i="10"/>
  <c r="C813" i="10"/>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s="1"/>
  <c r="C805" i="10" s="1"/>
  <c r="E804" i="10"/>
  <c r="D804" i="10" s="1"/>
  <c r="C804" i="10" s="1"/>
  <c r="E803" i="10"/>
  <c r="D803" i="10" s="1"/>
  <c r="C803" i="10" s="1"/>
  <c r="E802" i="10"/>
  <c r="D802" i="10"/>
  <c r="C802" i="10"/>
  <c r="E801" i="10"/>
  <c r="D801" i="10" s="1"/>
  <c r="C801" i="10" s="1"/>
  <c r="E800" i="10"/>
  <c r="D800" i="10" s="1"/>
  <c r="C800" i="10" s="1"/>
  <c r="E799" i="10"/>
  <c r="D799" i="10" s="1"/>
  <c r="C799" i="10" s="1"/>
  <c r="E798" i="10"/>
  <c r="D798" i="10"/>
  <c r="C798" i="10" s="1"/>
  <c r="E797" i="10"/>
  <c r="D797" i="10"/>
  <c r="C797" i="10"/>
  <c r="E796" i="10"/>
  <c r="D796" i="10" s="1"/>
  <c r="C796" i="10" s="1"/>
  <c r="E795" i="10"/>
  <c r="D795" i="10"/>
  <c r="C795" i="10" s="1"/>
  <c r="E794" i="10"/>
  <c r="D794" i="10" s="1"/>
  <c r="C794" i="10" s="1"/>
  <c r="E793" i="10"/>
  <c r="D793" i="10"/>
  <c r="C793" i="10" s="1"/>
  <c r="E792" i="10"/>
  <c r="D792" i="10" s="1"/>
  <c r="E791" i="10"/>
  <c r="D791" i="10"/>
  <c r="C791" i="10" s="1"/>
  <c r="E790" i="10"/>
  <c r="D790" i="10" s="1"/>
  <c r="C790" i="10" s="1"/>
  <c r="E789" i="10"/>
  <c r="D789" i="10" s="1"/>
  <c r="C789" i="10" s="1"/>
  <c r="E788" i="10"/>
  <c r="D788" i="10" s="1"/>
  <c r="C788" i="10" s="1"/>
  <c r="E787" i="10"/>
  <c r="D787" i="10" s="1"/>
  <c r="C787" i="10" s="1"/>
  <c r="E786" i="10"/>
  <c r="D786" i="10"/>
  <c r="C786" i="10"/>
  <c r="E785" i="10"/>
  <c r="D785" i="10" s="1"/>
  <c r="C785" i="10" s="1"/>
  <c r="E784" i="10"/>
  <c r="D784" i="10" s="1"/>
  <c r="C784" i="10" s="1"/>
  <c r="E783" i="10"/>
  <c r="D783" i="10" s="1"/>
  <c r="C783" i="10" s="1"/>
  <c r="E782" i="10"/>
  <c r="D782" i="10"/>
  <c r="C782" i="10" s="1"/>
  <c r="E781" i="10"/>
  <c r="D781" i="10"/>
  <c r="C781" i="10"/>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s="1"/>
  <c r="C773" i="10" s="1"/>
  <c r="E772" i="10"/>
  <c r="D772" i="10" s="1"/>
  <c r="E771" i="10"/>
  <c r="D771" i="10" s="1"/>
  <c r="C771" i="10" s="1"/>
  <c r="E770" i="10"/>
  <c r="D770" i="10"/>
  <c r="C770" i="10"/>
  <c r="E769" i="10"/>
  <c r="D769" i="10" s="1"/>
  <c r="C769" i="10" s="1"/>
  <c r="E768" i="10"/>
  <c r="D768" i="10" s="1"/>
  <c r="C768" i="10" s="1"/>
  <c r="E767" i="10"/>
  <c r="D767" i="10" s="1"/>
  <c r="C767" i="10" s="1"/>
  <c r="E766" i="10"/>
  <c r="D766" i="10"/>
  <c r="C766" i="10" s="1"/>
  <c r="E765" i="10"/>
  <c r="D765" i="10"/>
  <c r="C765" i="10"/>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s="1"/>
  <c r="C757" i="10" s="1"/>
  <c r="E756" i="10"/>
  <c r="D756" i="10" s="1"/>
  <c r="C756" i="10" s="1"/>
  <c r="E755" i="10"/>
  <c r="D755" i="10" s="1"/>
  <c r="C755" i="10" s="1"/>
  <c r="E754" i="10"/>
  <c r="D754" i="10"/>
  <c r="C754" i="10"/>
  <c r="E753" i="10"/>
  <c r="D753" i="10" s="1"/>
  <c r="C753" i="10" s="1"/>
  <c r="E752" i="10"/>
  <c r="D752" i="10" s="1"/>
  <c r="C752" i="10" s="1"/>
  <c r="E751" i="10"/>
  <c r="D751" i="10" s="1"/>
  <c r="C751" i="10" s="1"/>
  <c r="E750" i="10"/>
  <c r="D750" i="10"/>
  <c r="C750" i="10" s="1"/>
  <c r="E749" i="10"/>
  <c r="D749" i="10"/>
  <c r="C749" i="10"/>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s="1"/>
  <c r="C741" i="10" s="1"/>
  <c r="E740" i="10"/>
  <c r="D740" i="10" s="1"/>
  <c r="C740" i="10" s="1"/>
  <c r="E739" i="10"/>
  <c r="D739" i="10" s="1"/>
  <c r="C739" i="10" s="1"/>
  <c r="E738" i="10"/>
  <c r="D738" i="10"/>
  <c r="C738" i="10"/>
  <c r="E737" i="10"/>
  <c r="D737" i="10" s="1"/>
  <c r="C737" i="10" s="1"/>
  <c r="E736" i="10"/>
  <c r="D736" i="10" s="1"/>
  <c r="C736" i="10" s="1"/>
  <c r="E735" i="10"/>
  <c r="D735" i="10" s="1"/>
  <c r="C735" i="10" s="1"/>
  <c r="E734" i="10"/>
  <c r="D734" i="10"/>
  <c r="C734" i="10" s="1"/>
  <c r="E733" i="10"/>
  <c r="D733" i="10"/>
  <c r="C733" i="10"/>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s="1"/>
  <c r="C725" i="10" s="1"/>
  <c r="E724" i="10"/>
  <c r="D724" i="10" s="1"/>
  <c r="C724" i="10" s="1"/>
  <c r="E723" i="10"/>
  <c r="D723" i="10" s="1"/>
  <c r="C723" i="10" s="1"/>
  <c r="E722" i="10"/>
  <c r="D722" i="10"/>
  <c r="C722" i="10"/>
  <c r="E721" i="10"/>
  <c r="D721" i="10" s="1"/>
  <c r="C721" i="10" s="1"/>
  <c r="E720" i="10"/>
  <c r="D720" i="10" s="1"/>
  <c r="C720" i="10" s="1"/>
  <c r="E719" i="10"/>
  <c r="D719" i="10" s="1"/>
  <c r="C719" i="10" s="1"/>
  <c r="E718" i="10"/>
  <c r="D718" i="10"/>
  <c r="C718" i="10" s="1"/>
  <c r="E717" i="10"/>
  <c r="D717" i="10"/>
  <c r="C717" i="10"/>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s="1"/>
  <c r="C709" i="10" s="1"/>
  <c r="E708" i="10"/>
  <c r="D708" i="10" s="1"/>
  <c r="C708" i="10" s="1"/>
  <c r="E707" i="10"/>
  <c r="D707" i="10" s="1"/>
  <c r="C707" i="10" s="1"/>
  <c r="E706" i="10"/>
  <c r="D706" i="10"/>
  <c r="C706" i="10"/>
  <c r="E705" i="10"/>
  <c r="D705" i="10" s="1"/>
  <c r="C705" i="10" s="1"/>
  <c r="E704" i="10"/>
  <c r="D704" i="10" s="1"/>
  <c r="C704" i="10" s="1"/>
  <c r="E703" i="10"/>
  <c r="D703" i="10" s="1"/>
  <c r="C703" i="10" s="1"/>
  <c r="E702" i="10"/>
  <c r="D702" i="10"/>
  <c r="C702" i="10" s="1"/>
  <c r="E701" i="10"/>
  <c r="D701" i="10"/>
  <c r="C701" i="10"/>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s="1"/>
  <c r="C693" i="10" s="1"/>
  <c r="E692" i="10"/>
  <c r="D692" i="10" s="1"/>
  <c r="C692" i="10" s="1"/>
  <c r="E691" i="10"/>
  <c r="D691" i="10" s="1"/>
  <c r="C691" i="10" s="1"/>
  <c r="E690" i="10"/>
  <c r="D690" i="10"/>
  <c r="C690" i="10"/>
  <c r="E689" i="10"/>
  <c r="D689" i="10" s="1"/>
  <c r="C689" i="10" s="1"/>
  <c r="E688" i="10"/>
  <c r="D688" i="10" s="1"/>
  <c r="C688" i="10" s="1"/>
  <c r="E687" i="10"/>
  <c r="D687" i="10" s="1"/>
  <c r="C687" i="10" s="1"/>
  <c r="E686" i="10"/>
  <c r="D686" i="10"/>
  <c r="C686" i="10" s="1"/>
  <c r="E685" i="10"/>
  <c r="D685" i="10"/>
  <c r="C685" i="10"/>
  <c r="E684" i="10"/>
  <c r="D684" i="10" s="1"/>
  <c r="C684" i="10" s="1"/>
  <c r="E683" i="10"/>
  <c r="D683" i="10"/>
  <c r="C683" i="10" s="1"/>
  <c r="E682" i="10"/>
  <c r="D682" i="10" s="1"/>
  <c r="C682" i="10" s="1"/>
  <c r="E681" i="10"/>
  <c r="D681" i="10"/>
  <c r="C681" i="10" s="1"/>
  <c r="E680" i="10"/>
  <c r="D680" i="10" s="1"/>
  <c r="C680" i="10" s="1"/>
  <c r="E679" i="10"/>
  <c r="D679" i="10"/>
  <c r="C679" i="10" s="1"/>
  <c r="E678" i="10"/>
  <c r="D678" i="10" s="1"/>
  <c r="C678" i="10" s="1"/>
  <c r="E677" i="10"/>
  <c r="D677" i="10" s="1"/>
  <c r="C677" i="10" s="1"/>
  <c r="E676" i="10"/>
  <c r="D676" i="10" s="1"/>
  <c r="E675" i="10"/>
  <c r="D675" i="10" s="1"/>
  <c r="C675" i="10" s="1"/>
  <c r="E674" i="10"/>
  <c r="D674" i="10"/>
  <c r="C674" i="10"/>
  <c r="E673" i="10"/>
  <c r="D673" i="10" s="1"/>
  <c r="C673" i="10" s="1"/>
  <c r="E672" i="10"/>
  <c r="D672" i="10" s="1"/>
  <c r="C672" i="10" s="1"/>
  <c r="E671" i="10"/>
  <c r="D671" i="10" s="1"/>
  <c r="C671" i="10" s="1"/>
  <c r="E670" i="10"/>
  <c r="D670" i="10"/>
  <c r="C670" i="10" s="1"/>
  <c r="E669" i="10"/>
  <c r="D669" i="10"/>
  <c r="C669" i="10"/>
  <c r="E668" i="10"/>
  <c r="D668" i="10" s="1"/>
  <c r="C668" i="10" s="1"/>
  <c r="E667" i="10"/>
  <c r="D667" i="10"/>
  <c r="C667" i="10" s="1"/>
  <c r="E666" i="10"/>
  <c r="D666" i="10" s="1"/>
  <c r="C666" i="10" s="1"/>
  <c r="E665" i="10"/>
  <c r="D665" i="10"/>
  <c r="C665" i="10" s="1"/>
  <c r="E664" i="10"/>
  <c r="D664" i="10" s="1"/>
  <c r="E663" i="10"/>
  <c r="D663" i="10"/>
  <c r="C663" i="10" s="1"/>
  <c r="E662" i="10"/>
  <c r="D662" i="10" s="1"/>
  <c r="C662" i="10" s="1"/>
  <c r="E661" i="10"/>
  <c r="D661" i="10" s="1"/>
  <c r="C661" i="10" s="1"/>
  <c r="E660" i="10"/>
  <c r="D660" i="10" s="1"/>
  <c r="C660" i="10" s="1"/>
  <c r="E659" i="10"/>
  <c r="D659" i="10" s="1"/>
  <c r="C659" i="10" s="1"/>
  <c r="E658" i="10"/>
  <c r="D658" i="10"/>
  <c r="C658" i="10"/>
  <c r="E657" i="10"/>
  <c r="D657" i="10" s="1"/>
  <c r="C657" i="10" s="1"/>
  <c r="E656" i="10"/>
  <c r="D656" i="10" s="1"/>
  <c r="C656" i="10" s="1"/>
  <c r="E655" i="10"/>
  <c r="D655" i="10" s="1"/>
  <c r="C655" i="10" s="1"/>
  <c r="E654" i="10"/>
  <c r="D654" i="10"/>
  <c r="C654" i="10" s="1"/>
  <c r="E653" i="10"/>
  <c r="D653" i="10"/>
  <c r="C653" i="10"/>
  <c r="E652" i="10"/>
  <c r="D652" i="10" s="1"/>
  <c r="C652" i="10" s="1"/>
  <c r="E651" i="10"/>
  <c r="D651" i="10"/>
  <c r="C651" i="10" s="1"/>
  <c r="E650" i="10"/>
  <c r="D650" i="10" s="1"/>
  <c r="C650" i="10" s="1"/>
  <c r="E649" i="10"/>
  <c r="D649" i="10"/>
  <c r="C649" i="10" s="1"/>
  <c r="E648" i="10"/>
  <c r="D648" i="10" s="1"/>
  <c r="C648" i="10" s="1"/>
  <c r="E647" i="10"/>
  <c r="D647" i="10"/>
  <c r="C647" i="10" s="1"/>
  <c r="E646" i="10"/>
  <c r="D646" i="10" s="1"/>
  <c r="C646" i="10" s="1"/>
  <c r="E645" i="10"/>
  <c r="D645" i="10" s="1"/>
  <c r="C645" i="10" s="1"/>
  <c r="E644" i="10"/>
  <c r="D644" i="10" s="1"/>
  <c r="C644" i="10" s="1"/>
  <c r="E643" i="10"/>
  <c r="D643" i="10" s="1"/>
  <c r="C643" i="10" s="1"/>
  <c r="E642" i="10"/>
  <c r="D642" i="10"/>
  <c r="C642" i="10"/>
  <c r="E641" i="10"/>
  <c r="D641" i="10" s="1"/>
  <c r="C641" i="10" s="1"/>
  <c r="E640" i="10"/>
  <c r="D640" i="10" s="1"/>
  <c r="C640" i="10" s="1"/>
  <c r="E639" i="10"/>
  <c r="D639" i="10" s="1"/>
  <c r="C639" i="10" s="1"/>
  <c r="E638" i="10"/>
  <c r="D638" i="10"/>
  <c r="C638" i="10" s="1"/>
  <c r="E637" i="10"/>
  <c r="D637" i="10"/>
  <c r="C637" i="10"/>
  <c r="E636" i="10"/>
  <c r="D636" i="10" s="1"/>
  <c r="C636" i="10" s="1"/>
  <c r="E635" i="10"/>
  <c r="D635" i="10"/>
  <c r="C635" i="10" s="1"/>
  <c r="E634" i="10"/>
  <c r="D634" i="10" s="1"/>
  <c r="C634" i="10" s="1"/>
  <c r="E633" i="10"/>
  <c r="D633" i="10"/>
  <c r="C633" i="10" s="1"/>
  <c r="E632" i="10"/>
  <c r="D632" i="10" s="1"/>
  <c r="C632" i="10" s="1"/>
  <c r="E631" i="10"/>
  <c r="D631" i="10"/>
  <c r="C631" i="10" s="1"/>
  <c r="E630" i="10"/>
  <c r="D630" i="10" s="1"/>
  <c r="C630" i="10" s="1"/>
  <c r="E629" i="10"/>
  <c r="D629" i="10" s="1"/>
  <c r="C629" i="10" s="1"/>
  <c r="E628" i="10"/>
  <c r="D628" i="10" s="1"/>
  <c r="C628" i="10" s="1"/>
  <c r="E627" i="10"/>
  <c r="D627" i="10" s="1"/>
  <c r="C627" i="10" s="1"/>
  <c r="E626" i="10"/>
  <c r="D626" i="10"/>
  <c r="C626" i="10"/>
  <c r="E625" i="10"/>
  <c r="D625" i="10" s="1"/>
  <c r="C625" i="10" s="1"/>
  <c r="E624" i="10"/>
  <c r="D624" i="10" s="1"/>
  <c r="C624" i="10" s="1"/>
  <c r="E623" i="10"/>
  <c r="D623" i="10" s="1"/>
  <c r="C623" i="10" s="1"/>
  <c r="E622" i="10"/>
  <c r="D622" i="10"/>
  <c r="C622" i="10" s="1"/>
  <c r="E621" i="10"/>
  <c r="D621" i="10"/>
  <c r="C621" i="10"/>
  <c r="E620" i="10"/>
  <c r="D620" i="10" s="1"/>
  <c r="C620" i="10" s="1"/>
  <c r="E619" i="10"/>
  <c r="D619" i="10"/>
  <c r="C619" i="10" s="1"/>
  <c r="E618" i="10"/>
  <c r="D618" i="10" s="1"/>
  <c r="C618" i="10" s="1"/>
  <c r="E617" i="10"/>
  <c r="D617" i="10"/>
  <c r="C617" i="10"/>
  <c r="E616" i="10"/>
  <c r="D616" i="10" s="1"/>
  <c r="C616" i="10" s="1"/>
  <c r="E615" i="10"/>
  <c r="D615" i="10" s="1"/>
  <c r="C615" i="10" s="1"/>
  <c r="E614" i="10"/>
  <c r="D614" i="10" s="1"/>
  <c r="C614" i="10" s="1"/>
  <c r="E613" i="10"/>
  <c r="D613" i="10" s="1"/>
  <c r="C613" i="10" s="1"/>
  <c r="E612" i="10"/>
  <c r="D612" i="10" s="1"/>
  <c r="E611" i="10"/>
  <c r="D611" i="10" s="1"/>
  <c r="C611" i="10" s="1"/>
  <c r="E610" i="10"/>
  <c r="D610" i="10"/>
  <c r="C610" i="10" s="1"/>
  <c r="E609" i="10"/>
  <c r="D609" i="10" s="1"/>
  <c r="C609" i="10" s="1"/>
  <c r="E608" i="10"/>
  <c r="D608" i="10" s="1"/>
  <c r="C608" i="10" s="1"/>
  <c r="E607" i="10"/>
  <c r="D607" i="10" s="1"/>
  <c r="C607" i="10" s="1"/>
  <c r="E606" i="10"/>
  <c r="D606" i="10" s="1"/>
  <c r="C606" i="10" s="1"/>
  <c r="E605" i="10"/>
  <c r="D605" i="10"/>
  <c r="C605" i="10" s="1"/>
  <c r="E604" i="10"/>
  <c r="D604" i="10" s="1"/>
  <c r="C604" i="10" s="1"/>
  <c r="E603" i="10"/>
  <c r="D603" i="10"/>
  <c r="C603" i="10" s="1"/>
  <c r="E602" i="10"/>
  <c r="D602" i="10"/>
  <c r="C602" i="10" s="1"/>
  <c r="E601" i="10"/>
  <c r="D601" i="10" s="1"/>
  <c r="C601" i="10" s="1"/>
  <c r="E600" i="10"/>
  <c r="D600" i="10" s="1"/>
  <c r="E599" i="10"/>
  <c r="D599" i="10" s="1"/>
  <c r="C599" i="10" s="1"/>
  <c r="E598" i="10"/>
  <c r="D598" i="10" s="1"/>
  <c r="C598" i="10" s="1"/>
  <c r="E597" i="10"/>
  <c r="D597" i="10"/>
  <c r="C597" i="10" s="1"/>
  <c r="E596" i="10"/>
  <c r="D596" i="10" s="1"/>
  <c r="C596" i="10" s="1"/>
  <c r="E595" i="10"/>
  <c r="D595" i="10"/>
  <c r="C595" i="10" s="1"/>
  <c r="E594" i="10"/>
  <c r="D594" i="10"/>
  <c r="C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c r="C586" i="10" s="1"/>
  <c r="E585" i="10"/>
  <c r="D585" i="10" s="1"/>
  <c r="C585" i="10" s="1"/>
  <c r="E584" i="10"/>
  <c r="D584" i="10" s="1"/>
  <c r="C584" i="10" s="1"/>
  <c r="E583" i="10"/>
  <c r="D583" i="10" s="1"/>
  <c r="C583" i="10" s="1"/>
  <c r="E582" i="10"/>
  <c r="D582" i="10" s="1"/>
  <c r="C582" i="10" s="1"/>
  <c r="E581" i="10"/>
  <c r="D581" i="10"/>
  <c r="C581" i="10" s="1"/>
  <c r="E580" i="10"/>
  <c r="D580" i="10" s="1"/>
  <c r="C580" i="10" s="1"/>
  <c r="E579" i="10"/>
  <c r="D579" i="10"/>
  <c r="C579" i="10" s="1"/>
  <c r="E578" i="10"/>
  <c r="D578" i="10"/>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c r="C571" i="10" s="1"/>
  <c r="E570" i="10"/>
  <c r="D570" i="10"/>
  <c r="C570" i="10" s="1"/>
  <c r="E569" i="10"/>
  <c r="D569" i="10" s="1"/>
  <c r="C569" i="10" s="1"/>
  <c r="E568" i="10"/>
  <c r="D568" i="10" s="1"/>
  <c r="C568" i="10" s="1"/>
  <c r="E567" i="10"/>
  <c r="D567" i="10" s="1"/>
  <c r="C567" i="10" s="1"/>
  <c r="E566" i="10"/>
  <c r="D566" i="10" s="1"/>
  <c r="C566" i="10" s="1"/>
  <c r="E565" i="10"/>
  <c r="D565" i="10"/>
  <c r="C565" i="10" s="1"/>
  <c r="E564" i="10"/>
  <c r="D564" i="10" s="1"/>
  <c r="C564" i="10" s="1"/>
  <c r="E563" i="10"/>
  <c r="D563" i="10"/>
  <c r="C563" i="10" s="1"/>
  <c r="E562" i="10"/>
  <c r="D562" i="10"/>
  <c r="C562" i="10" s="1"/>
  <c r="E561" i="10"/>
  <c r="D561" i="10" s="1"/>
  <c r="C561" i="10" s="1"/>
  <c r="E560" i="10"/>
  <c r="D560" i="10" s="1"/>
  <c r="C560" i="10" s="1"/>
  <c r="E559" i="10"/>
  <c r="D559" i="10" s="1"/>
  <c r="C559" i="10" s="1"/>
  <c r="E558" i="10"/>
  <c r="D558" i="10" s="1"/>
  <c r="C558" i="10" s="1"/>
  <c r="E557" i="10"/>
  <c r="D557" i="10"/>
  <c r="C557" i="10" s="1"/>
  <c r="E556" i="10"/>
  <c r="D556" i="10" s="1"/>
  <c r="C556" i="10" s="1"/>
  <c r="E555" i="10"/>
  <c r="D555" i="10"/>
  <c r="C555" i="10" s="1"/>
  <c r="E554" i="10"/>
  <c r="D554" i="10"/>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c r="C547" i="10" s="1"/>
  <c r="E546" i="10"/>
  <c r="D546" i="10"/>
  <c r="C546" i="10" s="1"/>
  <c r="E545" i="10"/>
  <c r="D545" i="10" s="1"/>
  <c r="C545" i="10" s="1"/>
  <c r="E544" i="10"/>
  <c r="D544" i="10" s="1"/>
  <c r="C544" i="10" s="1"/>
  <c r="E543" i="10"/>
  <c r="D543" i="10" s="1"/>
  <c r="C543" i="10" s="1"/>
  <c r="E542" i="10"/>
  <c r="D542" i="10" s="1"/>
  <c r="C542" i="10" s="1"/>
  <c r="E541" i="10"/>
  <c r="D541" i="10"/>
  <c r="C541" i="10" s="1"/>
  <c r="E540" i="10"/>
  <c r="D540" i="10" s="1"/>
  <c r="C540" i="10" s="1"/>
  <c r="E539" i="10"/>
  <c r="D539" i="10"/>
  <c r="C539" i="10" s="1"/>
  <c r="E538" i="10"/>
  <c r="D538" i="10"/>
  <c r="C538" i="10" s="1"/>
  <c r="E537" i="10"/>
  <c r="D537" i="10" s="1"/>
  <c r="C537" i="10" s="1"/>
  <c r="E536" i="10"/>
  <c r="D536" i="10" s="1"/>
  <c r="C536" i="10" s="1"/>
  <c r="E535" i="10"/>
  <c r="D535" i="10" s="1"/>
  <c r="C535" i="10" s="1"/>
  <c r="E534" i="10"/>
  <c r="D534" i="10" s="1"/>
  <c r="C534" i="10" s="1"/>
  <c r="E533" i="10"/>
  <c r="D533" i="10"/>
  <c r="C533" i="10" s="1"/>
  <c r="E532" i="10"/>
  <c r="D532" i="10" s="1"/>
  <c r="C532" i="10" s="1"/>
  <c r="E531" i="10"/>
  <c r="D531" i="10"/>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c r="C523" i="10" s="1"/>
  <c r="E522" i="10"/>
  <c r="D522" i="10"/>
  <c r="C522" i="10" s="1"/>
  <c r="E521" i="10"/>
  <c r="D521" i="10" s="1"/>
  <c r="C521" i="10" s="1"/>
  <c r="E520" i="10"/>
  <c r="D520" i="10" s="1"/>
  <c r="C520" i="10" s="1"/>
  <c r="E519" i="10"/>
  <c r="D519" i="10" s="1"/>
  <c r="C519" i="10" s="1"/>
  <c r="E518" i="10"/>
  <c r="D518" i="10" s="1"/>
  <c r="C518" i="10" s="1"/>
  <c r="E517" i="10"/>
  <c r="D517" i="10"/>
  <c r="C517" i="10" s="1"/>
  <c r="E516" i="10"/>
  <c r="D516" i="10" s="1"/>
  <c r="C516" i="10" s="1"/>
  <c r="E515" i="10"/>
  <c r="D515" i="10"/>
  <c r="C515" i="10" s="1"/>
  <c r="E514" i="10"/>
  <c r="D514" i="10"/>
  <c r="C514" i="10" s="1"/>
  <c r="E513" i="10"/>
  <c r="D513" i="10" s="1"/>
  <c r="C513" i="10" s="1"/>
  <c r="E512" i="10"/>
  <c r="D512" i="10" s="1"/>
  <c r="C512" i="10" s="1"/>
  <c r="E511" i="10"/>
  <c r="D511" i="10" s="1"/>
  <c r="C511" i="10" s="1"/>
  <c r="E510" i="10"/>
  <c r="D510" i="10" s="1"/>
  <c r="C510" i="10" s="1"/>
  <c r="E509" i="10"/>
  <c r="D509" i="10"/>
  <c r="C509" i="10" s="1"/>
  <c r="E508" i="10"/>
  <c r="D508" i="10" s="1"/>
  <c r="C508" i="10" s="1"/>
  <c r="E507" i="10"/>
  <c r="D507" i="10"/>
  <c r="C507" i="10" s="1"/>
  <c r="E506" i="10"/>
  <c r="D506" i="10"/>
  <c r="C506" i="10" s="1"/>
  <c r="E505" i="10"/>
  <c r="D505" i="10" s="1"/>
  <c r="C505" i="10" s="1"/>
  <c r="E504" i="10"/>
  <c r="D504" i="10" s="1"/>
  <c r="C504" i="10" s="1"/>
  <c r="E503" i="10"/>
  <c r="D503" i="10" s="1"/>
  <c r="C503" i="10" s="1"/>
  <c r="E502" i="10"/>
  <c r="D502" i="10" s="1"/>
  <c r="C502" i="10" s="1"/>
  <c r="E501" i="10"/>
  <c r="D501" i="10"/>
  <c r="C501" i="10" s="1"/>
  <c r="E500" i="10"/>
  <c r="D500" i="10" s="1"/>
  <c r="C500" i="10" s="1"/>
  <c r="E499" i="10"/>
  <c r="D499" i="10"/>
  <c r="C499" i="10" s="1"/>
  <c r="E498" i="10"/>
  <c r="D498" i="10"/>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c r="C491" i="10" s="1"/>
  <c r="E490" i="10"/>
  <c r="D490" i="10"/>
  <c r="C490" i="10" s="1"/>
  <c r="E489" i="10"/>
  <c r="D489" i="10" s="1"/>
  <c r="C489" i="10" s="1"/>
  <c r="E488" i="10"/>
  <c r="D488" i="10" s="1"/>
  <c r="C488" i="10" s="1"/>
  <c r="E487" i="10"/>
  <c r="D487" i="10" s="1"/>
  <c r="C487" i="10" s="1"/>
  <c r="E486" i="10"/>
  <c r="D486" i="10" s="1"/>
  <c r="C486" i="10" s="1"/>
  <c r="E485" i="10"/>
  <c r="D485" i="10"/>
  <c r="C485" i="10" s="1"/>
  <c r="E484" i="10"/>
  <c r="D484" i="10" s="1"/>
  <c r="C484" i="10" s="1"/>
  <c r="E483" i="10"/>
  <c r="D483" i="10"/>
  <c r="C483" i="10" s="1"/>
  <c r="E482" i="10"/>
  <c r="D482" i="10"/>
  <c r="C482" i="10" s="1"/>
  <c r="E481" i="10"/>
  <c r="D481" i="10" s="1"/>
  <c r="C481" i="10" s="1"/>
  <c r="E480" i="10"/>
  <c r="D480" i="10" s="1"/>
  <c r="C480" i="10" s="1"/>
  <c r="E479" i="10"/>
  <c r="D479" i="10" s="1"/>
  <c r="C479" i="10" s="1"/>
  <c r="E478" i="10"/>
  <c r="D478" i="10" s="1"/>
  <c r="C478" i="10" s="1"/>
  <c r="E477" i="10"/>
  <c r="D477" i="10"/>
  <c r="C477" i="10" s="1"/>
  <c r="E476" i="10"/>
  <c r="D476" i="10" s="1"/>
  <c r="E475" i="10"/>
  <c r="D475" i="10"/>
  <c r="C475" i="10" s="1"/>
  <c r="E474" i="10"/>
  <c r="D474" i="10"/>
  <c r="C474" i="10" s="1"/>
  <c r="E473" i="10"/>
  <c r="D473" i="10" s="1"/>
  <c r="C473" i="10" s="1"/>
  <c r="E472" i="10"/>
  <c r="D472" i="10" s="1"/>
  <c r="C472" i="10" s="1"/>
  <c r="E471" i="10"/>
  <c r="D471" i="10" s="1"/>
  <c r="C471" i="10" s="1"/>
  <c r="E470" i="10"/>
  <c r="D470" i="10" s="1"/>
  <c r="C470" i="10" s="1"/>
  <c r="E469" i="10"/>
  <c r="D469" i="10"/>
  <c r="C469" i="10" s="1"/>
  <c r="E468" i="10"/>
  <c r="D468" i="10" s="1"/>
  <c r="C468" i="10" s="1"/>
  <c r="E467" i="10"/>
  <c r="D467" i="10"/>
  <c r="C467" i="10" s="1"/>
  <c r="E466" i="10"/>
  <c r="D466" i="10"/>
  <c r="C466" i="10" s="1"/>
  <c r="E465" i="10"/>
  <c r="D465" i="10" s="1"/>
  <c r="C465" i="10" s="1"/>
  <c r="E464" i="10"/>
  <c r="D464" i="10" s="1"/>
  <c r="C464" i="10" s="1"/>
  <c r="E463" i="10"/>
  <c r="D463" i="10" s="1"/>
  <c r="C463" i="10" s="1"/>
  <c r="E462" i="10"/>
  <c r="D462" i="10" s="1"/>
  <c r="C462" i="10" s="1"/>
  <c r="E461" i="10"/>
  <c r="D461" i="10"/>
  <c r="C461" i="10" s="1"/>
  <c r="E460" i="10"/>
  <c r="D460" i="10" s="1"/>
  <c r="C460" i="10" s="1"/>
  <c r="E459" i="10"/>
  <c r="D459" i="10"/>
  <c r="C459" i="10" s="1"/>
  <c r="E458" i="10"/>
  <c r="D458" i="10"/>
  <c r="C458" i="10" s="1"/>
  <c r="E457" i="10"/>
  <c r="D457" i="10" s="1"/>
  <c r="C457" i="10" s="1"/>
  <c r="E456" i="10"/>
  <c r="D456" i="10" s="1"/>
  <c r="C456" i="10" s="1"/>
  <c r="E455" i="10"/>
  <c r="D455" i="10" s="1"/>
  <c r="C455" i="10" s="1"/>
  <c r="E454" i="10"/>
  <c r="D454" i="10" s="1"/>
  <c r="C454" i="10" s="1"/>
  <c r="E453" i="10"/>
  <c r="D453" i="10"/>
  <c r="C453" i="10" s="1"/>
  <c r="E452" i="10"/>
  <c r="D452" i="10" s="1"/>
  <c r="E451" i="10"/>
  <c r="D451" i="10"/>
  <c r="C451" i="10" s="1"/>
  <c r="E450" i="10"/>
  <c r="D450" i="10"/>
  <c r="C450" i="10" s="1"/>
  <c r="E449" i="10"/>
  <c r="D449" i="10" s="1"/>
  <c r="C449" i="10" s="1"/>
  <c r="E448" i="10"/>
  <c r="D448" i="10" s="1"/>
  <c r="C448" i="10" s="1"/>
  <c r="E447" i="10"/>
  <c r="D447" i="10" s="1"/>
  <c r="C447" i="10" s="1"/>
  <c r="E446" i="10"/>
  <c r="D446" i="10" s="1"/>
  <c r="C446" i="10" s="1"/>
  <c r="E445" i="10"/>
  <c r="D445" i="10"/>
  <c r="C445" i="10" s="1"/>
  <c r="E444" i="10"/>
  <c r="D444" i="10" s="1"/>
  <c r="C444" i="10" s="1"/>
  <c r="E443" i="10"/>
  <c r="D443" i="10"/>
  <c r="C443" i="10" s="1"/>
  <c r="E442" i="10"/>
  <c r="D442" i="10"/>
  <c r="C442" i="10" s="1"/>
  <c r="E441" i="10"/>
  <c r="D441" i="10" s="1"/>
  <c r="C441" i="10" s="1"/>
  <c r="E440" i="10"/>
  <c r="D440" i="10" s="1"/>
  <c r="C440" i="10" s="1"/>
  <c r="E439" i="10"/>
  <c r="D439" i="10" s="1"/>
  <c r="C439" i="10" s="1"/>
  <c r="E438" i="10"/>
  <c r="D438" i="10" s="1"/>
  <c r="C438" i="10" s="1"/>
  <c r="E437" i="10"/>
  <c r="D437" i="10"/>
  <c r="C437" i="10" s="1"/>
  <c r="E436" i="10"/>
  <c r="D436" i="10" s="1"/>
  <c r="C436" i="10" s="1"/>
  <c r="E435" i="10"/>
  <c r="D435" i="10"/>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c r="C426" i="10" s="1"/>
  <c r="E425" i="10"/>
  <c r="D425" i="10" s="1"/>
  <c r="C425" i="10" s="1"/>
  <c r="E424" i="10"/>
  <c r="D424" i="10" s="1"/>
  <c r="C424" i="10" s="1"/>
  <c r="E423" i="10"/>
  <c r="D423" i="10" s="1"/>
  <c r="C423" i="10" s="1"/>
  <c r="E422" i="10"/>
  <c r="D422" i="10" s="1"/>
  <c r="C422" i="10" s="1"/>
  <c r="E421" i="10"/>
  <c r="D421" i="10"/>
  <c r="C421" i="10" s="1"/>
  <c r="E420" i="10"/>
  <c r="D420" i="10" s="1"/>
  <c r="C420" i="10" s="1"/>
  <c r="E419" i="10"/>
  <c r="D419" i="10"/>
  <c r="C419" i="10" s="1"/>
  <c r="E418" i="10"/>
  <c r="D418" i="10"/>
  <c r="C418" i="10" s="1"/>
  <c r="E417" i="10"/>
  <c r="D417" i="10" s="1"/>
  <c r="C417" i="10" s="1"/>
  <c r="E416" i="10"/>
  <c r="D416" i="10" s="1"/>
  <c r="E415" i="10"/>
  <c r="D415" i="10" s="1"/>
  <c r="C415" i="10" s="1"/>
  <c r="E414" i="10"/>
  <c r="D414" i="10" s="1"/>
  <c r="C414" i="10" s="1"/>
  <c r="E413" i="10"/>
  <c r="D413" i="10"/>
  <c r="C413" i="10" s="1"/>
  <c r="E412" i="10"/>
  <c r="D412" i="10" s="1"/>
  <c r="C412" i="10" s="1"/>
  <c r="E411" i="10"/>
  <c r="D411" i="10"/>
  <c r="C411" i="10" s="1"/>
  <c r="E410" i="10"/>
  <c r="D410" i="10"/>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c r="C403" i="10" s="1"/>
  <c r="E402" i="10"/>
  <c r="D402" i="10"/>
  <c r="C402" i="10" s="1"/>
  <c r="E401" i="10"/>
  <c r="D401" i="10" s="1"/>
  <c r="C401" i="10" s="1"/>
  <c r="E400" i="10"/>
  <c r="D400" i="10" s="1"/>
  <c r="C400" i="10" s="1"/>
  <c r="E399" i="10"/>
  <c r="D399" i="10" s="1"/>
  <c r="C399" i="10" s="1"/>
  <c r="E398" i="10"/>
  <c r="D398" i="10" s="1"/>
  <c r="C398" i="10" s="1"/>
  <c r="E397" i="10"/>
  <c r="D397" i="10"/>
  <c r="C397" i="10" s="1"/>
  <c r="E396" i="10"/>
  <c r="D396" i="10" s="1"/>
  <c r="C396" i="10" s="1"/>
  <c r="E395" i="10"/>
  <c r="D395" i="10"/>
  <c r="C395" i="10" s="1"/>
  <c r="E394" i="10"/>
  <c r="D394" i="10"/>
  <c r="C394" i="10" s="1"/>
  <c r="E393" i="10"/>
  <c r="D393" i="10" s="1"/>
  <c r="C393" i="10" s="1"/>
  <c r="E392" i="10"/>
  <c r="D392" i="10" s="1"/>
  <c r="C392" i="10" s="1"/>
  <c r="E391" i="10"/>
  <c r="D391" i="10" s="1"/>
  <c r="C391" i="10" s="1"/>
  <c r="E390" i="10"/>
  <c r="D390" i="10" s="1"/>
  <c r="C390" i="10" s="1"/>
  <c r="E389" i="10"/>
  <c r="D389" i="10"/>
  <c r="C389" i="10" s="1"/>
  <c r="E388" i="10"/>
  <c r="D388" i="10" s="1"/>
  <c r="C388" i="10" s="1"/>
  <c r="E387" i="10"/>
  <c r="D387" i="10"/>
  <c r="C387" i="10" s="1"/>
  <c r="E386" i="10"/>
  <c r="D386" i="10"/>
  <c r="C386" i="10" s="1"/>
  <c r="E385" i="10"/>
  <c r="D385" i="10" s="1"/>
  <c r="C385" i="10" s="1"/>
  <c r="E384" i="10"/>
  <c r="D384" i="10" s="1"/>
  <c r="C384" i="10" s="1"/>
  <c r="E383" i="10"/>
  <c r="D383" i="10" s="1"/>
  <c r="C383" i="10" s="1"/>
  <c r="E382" i="10"/>
  <c r="D382" i="10" s="1"/>
  <c r="C382" i="10" s="1"/>
  <c r="E381" i="10"/>
  <c r="D381" i="10"/>
  <c r="C381" i="10" s="1"/>
  <c r="E380" i="10"/>
  <c r="D380" i="10" s="1"/>
  <c r="C380" i="10" s="1"/>
  <c r="E379" i="10"/>
  <c r="D379" i="10"/>
  <c r="C379" i="10" s="1"/>
  <c r="E378" i="10"/>
  <c r="D378" i="10"/>
  <c r="C378" i="10" s="1"/>
  <c r="E377" i="10"/>
  <c r="D377" i="10" s="1"/>
  <c r="C377" i="10" s="1"/>
  <c r="E376" i="10"/>
  <c r="D376" i="10" s="1"/>
  <c r="C376" i="10" s="1"/>
  <c r="E375" i="10"/>
  <c r="D375" i="10" s="1"/>
  <c r="C375" i="10" s="1"/>
  <c r="E374" i="10"/>
  <c r="D374" i="10" s="1"/>
  <c r="C374" i="10" s="1"/>
  <c r="E373" i="10"/>
  <c r="D373" i="10"/>
  <c r="C373" i="10" s="1"/>
  <c r="E372" i="10"/>
  <c r="D372" i="10" s="1"/>
  <c r="C372" i="10" s="1"/>
  <c r="E371" i="10"/>
  <c r="D371" i="10"/>
  <c r="C371" i="10" s="1"/>
  <c r="E370" i="10"/>
  <c r="D370" i="10"/>
  <c r="C370" i="10" s="1"/>
  <c r="E369" i="10"/>
  <c r="D369" i="10" s="1"/>
  <c r="C369" i="10" s="1"/>
  <c r="E368" i="10"/>
  <c r="D368" i="10" s="1"/>
  <c r="C368" i="10" s="1"/>
  <c r="E367" i="10"/>
  <c r="D367" i="10" s="1"/>
  <c r="C367" i="10" s="1"/>
  <c r="E366" i="10"/>
  <c r="D366" i="10" s="1"/>
  <c r="C366" i="10" s="1"/>
  <c r="E365" i="10"/>
  <c r="D365" i="10"/>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c r="C357" i="10" s="1"/>
  <c r="E356" i="10"/>
  <c r="D356" i="10" s="1"/>
  <c r="C356" i="10" s="1"/>
  <c r="E355" i="10"/>
  <c r="D355" i="10"/>
  <c r="C355" i="10" s="1"/>
  <c r="E354" i="10"/>
  <c r="D354" i="10"/>
  <c r="C354" i="10" s="1"/>
  <c r="E353" i="10"/>
  <c r="D353" i="10" s="1"/>
  <c r="C353" i="10" s="1"/>
  <c r="E352" i="10"/>
  <c r="D352" i="10" s="1"/>
  <c r="C352" i="10" s="1"/>
  <c r="E351" i="10"/>
  <c r="D351" i="10" s="1"/>
  <c r="C351" i="10" s="1"/>
  <c r="E350" i="10"/>
  <c r="D350" i="10" s="1"/>
  <c r="C350" i="10" s="1"/>
  <c r="E349" i="10"/>
  <c r="D349" i="10"/>
  <c r="C349" i="10" s="1"/>
  <c r="E348" i="10"/>
  <c r="D348" i="10" s="1"/>
  <c r="E347" i="10"/>
  <c r="D347" i="10"/>
  <c r="C347" i="10" s="1"/>
  <c r="E346" i="10"/>
  <c r="D346" i="10"/>
  <c r="C346" i="10" s="1"/>
  <c r="E345" i="10"/>
  <c r="D345" i="10" s="1"/>
  <c r="C345" i="10" s="1"/>
  <c r="E344" i="10"/>
  <c r="D344" i="10" s="1"/>
  <c r="C344" i="10" s="1"/>
  <c r="E343" i="10"/>
  <c r="D343" i="10" s="1"/>
  <c r="C343" i="10" s="1"/>
  <c r="E342" i="10"/>
  <c r="D342" i="10" s="1"/>
  <c r="C342" i="10" s="1"/>
  <c r="E341" i="10"/>
  <c r="D341" i="10"/>
  <c r="C341" i="10" s="1"/>
  <c r="E340" i="10"/>
  <c r="D340" i="10" s="1"/>
  <c r="C340" i="10" s="1"/>
  <c r="E339" i="10"/>
  <c r="D339" i="10"/>
  <c r="C339" i="10" s="1"/>
  <c r="E338" i="10"/>
  <c r="D338" i="10"/>
  <c r="C338" i="10" s="1"/>
  <c r="E337" i="10"/>
  <c r="D337" i="10" s="1"/>
  <c r="C337" i="10" s="1"/>
  <c r="E336" i="10"/>
  <c r="D336" i="10" s="1"/>
  <c r="E335" i="10"/>
  <c r="D335" i="10" s="1"/>
  <c r="C335" i="10" s="1"/>
  <c r="E334" i="10"/>
  <c r="D334" i="10" s="1"/>
  <c r="C334" i="10" s="1"/>
  <c r="E333" i="10"/>
  <c r="D333" i="10"/>
  <c r="C333" i="10" s="1"/>
  <c r="E332" i="10"/>
  <c r="D332" i="10" s="1"/>
  <c r="C332" i="10" s="1"/>
  <c r="E331" i="10"/>
  <c r="D331" i="10"/>
  <c r="C331" i="10" s="1"/>
  <c r="E330" i="10"/>
  <c r="D330" i="10"/>
  <c r="C330" i="10" s="1"/>
  <c r="E329" i="10"/>
  <c r="D329" i="10" s="1"/>
  <c r="C329" i="10" s="1"/>
  <c r="E328" i="10"/>
  <c r="D328" i="10" s="1"/>
  <c r="C328" i="10" s="1"/>
  <c r="E327" i="10"/>
  <c r="D327" i="10" s="1"/>
  <c r="C327" i="10" s="1"/>
  <c r="E326" i="10"/>
  <c r="D326" i="10" s="1"/>
  <c r="C326" i="10" s="1"/>
  <c r="E325" i="10"/>
  <c r="D325" i="10"/>
  <c r="C325" i="10" s="1"/>
  <c r="E324" i="10"/>
  <c r="D324" i="10" s="1"/>
  <c r="C324" i="10" s="1"/>
  <c r="E323" i="10"/>
  <c r="D323" i="10"/>
  <c r="C323" i="10" s="1"/>
  <c r="E322" i="10"/>
  <c r="D322" i="10"/>
  <c r="C322" i="10" s="1"/>
  <c r="E321" i="10"/>
  <c r="D321" i="10" s="1"/>
  <c r="C321" i="10" s="1"/>
  <c r="E320" i="10"/>
  <c r="D320" i="10" s="1"/>
  <c r="C320" i="10" s="1"/>
  <c r="E319" i="10"/>
  <c r="D319" i="10" s="1"/>
  <c r="C319" i="10" s="1"/>
  <c r="E318" i="10"/>
  <c r="D318" i="10" s="1"/>
  <c r="C318" i="10" s="1"/>
  <c r="E317" i="10"/>
  <c r="D317" i="10"/>
  <c r="C317" i="10" s="1"/>
  <c r="E316" i="10"/>
  <c r="D316" i="10" s="1"/>
  <c r="C316" i="10" s="1"/>
  <c r="E315" i="10"/>
  <c r="D315" i="10"/>
  <c r="C315" i="10" s="1"/>
  <c r="E314" i="10"/>
  <c r="D314" i="10"/>
  <c r="C314" i="10" s="1"/>
  <c r="E313" i="10"/>
  <c r="D313" i="10" s="1"/>
  <c r="C313" i="10" s="1"/>
  <c r="E312" i="10"/>
  <c r="D312" i="10" s="1"/>
  <c r="C312" i="10" s="1"/>
  <c r="E311" i="10"/>
  <c r="D311" i="10" s="1"/>
  <c r="C311" i="10" s="1"/>
  <c r="E310" i="10"/>
  <c r="D310" i="10" s="1"/>
  <c r="C310" i="10" s="1"/>
  <c r="E309" i="10"/>
  <c r="D309" i="10"/>
  <c r="C309" i="10" s="1"/>
  <c r="E308" i="10"/>
  <c r="D308" i="10" s="1"/>
  <c r="C308" i="10" s="1"/>
  <c r="E307" i="10"/>
  <c r="D307" i="10"/>
  <c r="C307" i="10" s="1"/>
  <c r="E306" i="10"/>
  <c r="D306" i="10"/>
  <c r="C306" i="10" s="1"/>
  <c r="E305" i="10"/>
  <c r="D305" i="10" s="1"/>
  <c r="C305" i="10" s="1"/>
  <c r="E304" i="10"/>
  <c r="D304" i="10" s="1"/>
  <c r="C304" i="10" s="1"/>
  <c r="E303" i="10"/>
  <c r="D303" i="10" s="1"/>
  <c r="C303" i="10" s="1"/>
  <c r="E302" i="10"/>
  <c r="D302" i="10" s="1"/>
  <c r="C302" i="10" s="1"/>
  <c r="E301" i="10"/>
  <c r="D301" i="10"/>
  <c r="C301" i="10" s="1"/>
  <c r="E300" i="10"/>
  <c r="D300" i="10" s="1"/>
  <c r="C300" i="10" s="1"/>
  <c r="E299" i="10"/>
  <c r="D299" i="10"/>
  <c r="C299" i="10" s="1"/>
  <c r="E298" i="10"/>
  <c r="D298" i="10"/>
  <c r="C298" i="10" s="1"/>
  <c r="E297" i="10"/>
  <c r="D297" i="10" s="1"/>
  <c r="C297" i="10" s="1"/>
  <c r="E296" i="10"/>
  <c r="D296" i="10" s="1"/>
  <c r="E295" i="10"/>
  <c r="D295" i="10" s="1"/>
  <c r="C295" i="10" s="1"/>
  <c r="E294" i="10"/>
  <c r="D294" i="10" s="1"/>
  <c r="C294" i="10" s="1"/>
  <c r="E293" i="10"/>
  <c r="D293" i="10"/>
  <c r="C293" i="10" s="1"/>
  <c r="E292" i="10"/>
  <c r="D292" i="10" s="1"/>
  <c r="C292" i="10" s="1"/>
  <c r="E291" i="10"/>
  <c r="D291" i="10"/>
  <c r="C291" i="10" s="1"/>
  <c r="E290" i="10"/>
  <c r="D290" i="10"/>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c r="C283" i="10" s="1"/>
  <c r="E282" i="10"/>
  <c r="D282" i="10"/>
  <c r="C282" i="10" s="1"/>
  <c r="E281" i="10"/>
  <c r="D281" i="10" s="1"/>
  <c r="C281" i="10" s="1"/>
  <c r="E280" i="10"/>
  <c r="D280" i="10" s="1"/>
  <c r="C280" i="10" s="1"/>
  <c r="E279" i="10"/>
  <c r="D279" i="10" s="1"/>
  <c r="C279" i="10" s="1"/>
  <c r="E278" i="10"/>
  <c r="D278" i="10" s="1"/>
  <c r="C278" i="10" s="1"/>
  <c r="E277" i="10"/>
  <c r="D277" i="10"/>
  <c r="C277" i="10" s="1"/>
  <c r="E276" i="10"/>
  <c r="D276" i="10" s="1"/>
  <c r="C276" i="10" s="1"/>
  <c r="E275" i="10"/>
  <c r="D275" i="10"/>
  <c r="C275" i="10" s="1"/>
  <c r="E274" i="10"/>
  <c r="D274" i="10"/>
  <c r="C274" i="10" s="1"/>
  <c r="E273" i="10"/>
  <c r="D273" i="10" s="1"/>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c r="C259" i="10" s="1"/>
  <c r="E258" i="10"/>
  <c r="D258" i="10"/>
  <c r="C258" i="10" s="1"/>
  <c r="E257" i="10"/>
  <c r="D257" i="10" s="1"/>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c r="C243" i="10" s="1"/>
  <c r="E242" i="10"/>
  <c r="D242" i="10"/>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c r="C229" i="10" s="1"/>
  <c r="E228" i="10"/>
  <c r="D228" i="10" s="1"/>
  <c r="C228" i="10" s="1"/>
  <c r="E227" i="10"/>
  <c r="D227" i="10"/>
  <c r="C227" i="10" s="1"/>
  <c r="E226" i="10"/>
  <c r="D226" i="10"/>
  <c r="C226" i="10" s="1"/>
  <c r="E225" i="10"/>
  <c r="D225" i="10" s="1"/>
  <c r="C225" i="10" s="1"/>
  <c r="E224" i="10"/>
  <c r="D224" i="10" s="1"/>
  <c r="C224" i="10" s="1"/>
  <c r="E223" i="10"/>
  <c r="D223" i="10" s="1"/>
  <c r="C223" i="10" s="1"/>
  <c r="E222" i="10"/>
  <c r="D222" i="10"/>
  <c r="C222" i="10" s="1"/>
  <c r="E221" i="10"/>
  <c r="D221" i="10"/>
  <c r="C221" i="10" s="1"/>
  <c r="E220" i="10"/>
  <c r="D220" i="10" s="1"/>
  <c r="C220" i="10" s="1"/>
  <c r="E219" i="10"/>
  <c r="D219" i="10"/>
  <c r="C219" i="10" s="1"/>
  <c r="E218" i="10"/>
  <c r="D218" i="10"/>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K26" i="6" l="1"/>
  <c r="K27" i="6"/>
  <c r="M20" i="6"/>
  <c r="B12" i="6"/>
  <c r="A16" i="6"/>
  <c r="B16" i="6"/>
  <c r="A12"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J57" i="5" s="1"/>
  <c r="AJ27" i="11"/>
  <c r="AF27" i="11"/>
  <c r="AB27" i="11"/>
  <c r="J52" i="5" s="1"/>
  <c r="D27" i="11"/>
  <c r="J31" i="5" s="1"/>
  <c r="AM27" i="11"/>
  <c r="E57" i="5" s="1"/>
  <c r="AI27" i="11"/>
  <c r="AE27" i="11"/>
  <c r="AA27" i="11"/>
  <c r="E52" i="5" s="1"/>
  <c r="C27" i="11"/>
  <c r="E31" i="5" s="1"/>
  <c r="V27" i="11"/>
  <c r="J45" i="5" s="1"/>
  <c r="R27" i="11"/>
  <c r="U27" i="11"/>
  <c r="E45" i="5" s="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J47" i="5" s="1"/>
  <c r="T27" i="11"/>
  <c r="P27" i="11"/>
  <c r="J42" i="5" s="1"/>
  <c r="L27" i="11"/>
  <c r="H27" i="11"/>
  <c r="J36" i="5" s="1"/>
  <c r="W27" i="11"/>
  <c r="E47" i="5" s="1"/>
  <c r="S27" i="11"/>
  <c r="O27" i="11"/>
  <c r="E42" i="5" s="1"/>
  <c r="K27" i="11"/>
  <c r="G27" i="11"/>
  <c r="E36" i="5" s="1"/>
  <c r="AP27" i="11"/>
  <c r="J59" i="5" s="1"/>
  <c r="AL27" i="11"/>
  <c r="AH27" i="11"/>
  <c r="AD27" i="11"/>
  <c r="J54" i="5" s="1"/>
  <c r="Z27" i="11"/>
  <c r="N27" i="11"/>
  <c r="J39" i="5" s="1"/>
  <c r="J27" i="11"/>
  <c r="F27" i="11"/>
  <c r="J33" i="5" s="1"/>
  <c r="AO27" i="11"/>
  <c r="E59" i="5" s="1"/>
  <c r="AK27" i="11"/>
  <c r="AG27" i="11"/>
  <c r="AC27" i="11"/>
  <c r="E54" i="5" s="1"/>
  <c r="Y27" i="11"/>
  <c r="E50" i="5" s="1"/>
  <c r="M27" i="11"/>
  <c r="E39" i="5" s="1"/>
  <c r="I27" i="11"/>
  <c r="E27" i="11"/>
  <c r="E33" i="5" s="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40" i="5" l="1"/>
  <c r="C40" i="5"/>
  <c r="G40" i="5" s="1"/>
  <c r="F40" i="5"/>
  <c r="F43" i="5"/>
  <c r="C43" i="5"/>
  <c r="G43" i="5" s="1"/>
  <c r="B43" i="5"/>
  <c r="F46" i="5"/>
  <c r="B46" i="5"/>
  <c r="C46" i="5"/>
  <c r="G46" i="5" s="1"/>
  <c r="C53" i="5"/>
  <c r="G53" i="5" s="1"/>
  <c r="F53" i="5"/>
  <c r="B53" i="5"/>
  <c r="B60" i="5"/>
  <c r="C60" i="5"/>
  <c r="G60" i="5" s="1"/>
  <c r="F60" i="5"/>
  <c r="B34" i="5"/>
  <c r="F34" i="5"/>
  <c r="C34" i="5"/>
  <c r="B55" i="5"/>
  <c r="C55" i="5"/>
  <c r="G55" i="5" s="1"/>
  <c r="F55" i="5"/>
  <c r="F37" i="5"/>
  <c r="B37" i="5"/>
  <c r="C37" i="5"/>
  <c r="G37" i="5" s="1"/>
  <c r="C48" i="5"/>
  <c r="G48" i="5" s="1"/>
  <c r="F48" i="5"/>
  <c r="B48" i="5"/>
  <c r="F32" i="5"/>
  <c r="C32" i="5"/>
  <c r="G32" i="5" s="1"/>
  <c r="B32" i="5"/>
  <c r="F58" i="5"/>
  <c r="C58" i="5"/>
  <c r="G58" i="5" s="1"/>
  <c r="B58"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0" i="6" l="1"/>
  <c r="C10" i="6"/>
  <c r="A4" i="6"/>
  <c r="F3" i="6"/>
  <c r="G67" i="5"/>
  <c r="F25" i="5"/>
  <c r="D28" i="5"/>
  <c r="D27" i="5"/>
  <c r="D26" i="5"/>
  <c r="E21" i="5"/>
  <c r="K21" i="5" s="1"/>
  <c r="D19" i="5"/>
  <c r="D18" i="5"/>
  <c r="D17" i="5"/>
  <c r="J17" i="5" s="1"/>
  <c r="D15" i="5"/>
  <c r="D14" i="5"/>
  <c r="D13" i="5"/>
  <c r="D12" i="5"/>
  <c r="D11" i="5"/>
  <c r="D10" i="5"/>
  <c r="D8" i="5"/>
  <c r="J8" i="5" s="1"/>
  <c r="K10" i="6" l="1"/>
  <c r="L10" i="6"/>
  <c r="H10" i="5"/>
  <c r="K10" i="5" s="1"/>
  <c r="J10" i="5"/>
  <c r="E4" i="6"/>
  <c r="D4" i="6"/>
  <c r="G8" i="5"/>
  <c r="H12" i="5"/>
  <c r="G10" i="5"/>
  <c r="H19" i="5"/>
  <c r="H8" i="5"/>
  <c r="K8" i="5" s="1"/>
  <c r="H11" i="5"/>
  <c r="H14" i="5"/>
  <c r="H17" i="5"/>
  <c r="K17" i="5" s="1"/>
  <c r="H15" i="5"/>
  <c r="I21" i="5"/>
  <c r="L21" i="5" s="1"/>
  <c r="G17" i="5"/>
  <c r="H13" i="5"/>
  <c r="H18" i="5"/>
  <c r="H21" i="5"/>
  <c r="I26" i="5"/>
  <c r="I28" i="5"/>
  <c r="I29" i="5"/>
  <c r="I27" i="5"/>
  <c r="E6" i="5" l="1"/>
</calcChain>
</file>

<file path=xl/sharedStrings.xml><?xml version="1.0" encoding="utf-8"?>
<sst xmlns="http://schemas.openxmlformats.org/spreadsheetml/2006/main" count="4638" uniqueCount="463">
  <si>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</si>
  <si>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</si>
  <si>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</si>
  <si>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</si>
  <si>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</si>
  <si>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</si>
  <si>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</si>
  <si>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</si>
  <si>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</si>
  <si>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</si>
  <si>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</si>
  <si>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</si>
  <si>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</si>
  <si>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</si>
  <si>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</si>
  <si>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</si>
  <si>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</si>
  <si>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</si>
  <si>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</si>
  <si>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</si>
  <si>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</si>
  <si>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</si>
  <si>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</si>
  <si>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</si>
  <si>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</si>
  <si>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</si>
  <si>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</si>
  <si>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</si>
  <si>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</si>
  <si>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</si>
  <si>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</si>
  <si>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</si>
  <si>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</si>
  <si>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</si>
  <si>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</si>
  <si>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</si>
  <si>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</si>
  <si>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</si>
  <si>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</si>
  <si>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</si>
  <si>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</si>
  <si>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</si>
  <si>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</si>
  <si>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</si>
  <si>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</si>
  <si>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</si>
  <si>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</si>
  <si>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</si>
  <si>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</si>
  <si>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</si>
  <si>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</si>
  <si>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</si>
  <si>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</si>
  <si>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</si>
  <si>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</si>
  <si>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</si>
  <si>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</si>
  <si>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</si>
  <si>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</si>
  <si>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</si>
  <si>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</si>
  <si>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</si>
  <si>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</si>
  <si>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</si>
  <si>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</si>
  <si>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</si>
  <si>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</si>
  <si>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</si>
  <si>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</si>
  <si>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</si>
  <si>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</si>
  <si>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</si>
  <si>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</si>
  <si>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</si>
  <si>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</si>
  <si>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</si>
  <si>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</si>
  <si>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</si>
  <si>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</si>
  <si>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</si>
  <si>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</si>
  <si>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</si>
  <si>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</si>
  <si>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</si>
  <si>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</si>
  <si>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</si>
  <si>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</si>
  <si>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</si>
  <si>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</si>
  <si>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</si>
  <si>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</si>
  <si>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</si>
  <si>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</si>
  <si>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</si>
  <si>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</si>
  <si>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</si>
  <si>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</si>
  <si>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</si>
  <si>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</si>
  <si>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</si>
  <si>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</si>
  <si>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</si>
  <si>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</si>
  <si>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</si>
  <si>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</si>
  <si>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</si>
  <si>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</si>
  <si>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</si>
  <si>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</si>
  <si>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</si>
  <si>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</si>
  <si>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</si>
  <si>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</si>
  <si>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</si>
  <si>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</si>
  <si>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</si>
  <si>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</si>
  <si>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</si>
  <si>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</si>
  <si>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</si>
  <si>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</si>
  <si>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</si>
  <si>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</si>
  <si>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</si>
  <si>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</si>
  <si>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</si>
  <si>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</si>
  <si>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</si>
  <si>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</si>
  <si>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</si>
  <si>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</si>
  <si>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</si>
  <si>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</si>
  <si>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</si>
  <si>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</si>
  <si>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</si>
  <si>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</si>
  <si>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</si>
  <si>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</si>
  <si>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</si>
  <si>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</si>
  <si>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</si>
  <si>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</si>
  <si>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</si>
  <si>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</si>
  <si>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</si>
  <si>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</si>
  <si>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</si>
  <si>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</si>
  <si>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</si>
  <si>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</si>
  <si>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</si>
  <si>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</si>
  <si>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</si>
  <si>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</si>
  <si>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</si>
  <si>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</si>
  <si>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</si>
  <si>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</si>
  <si>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</si>
  <si>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</si>
  <si>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</si>
  <si>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</si>
  <si>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</si>
  <si>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</si>
  <si>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</si>
  <si>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</si>
  <si>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</si>
  <si>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</si>
  <si>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</si>
  <si>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</si>
  <si>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</si>
  <si>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</si>
  <si>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</si>
  <si>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</si>
  <si>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</si>
  <si>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</si>
  <si>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</si>
  <si>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</si>
  <si>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</si>
  <si>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</si>
  <si>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</si>
  <si>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</si>
  <si>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</si>
  <si>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</si>
  <si>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</si>
  <si>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</si>
  <si>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</si>
  <si>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</si>
  <si>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</si>
  <si>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</si>
  <si>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</si>
  <si>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</si>
  <si>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</si>
  <si>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</si>
  <si>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</si>
  <si>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</si>
  <si>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</si>
  <si>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</si>
  <si>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</si>
  <si>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</si>
  <si>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</si>
  <si>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</si>
  <si>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</si>
  <si>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</si>
  <si>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</si>
  <si>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</si>
  <si>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</si>
  <si>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</si>
  <si>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</si>
  <si>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</si>
  <si>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</si>
  <si>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</si>
  <si>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</si>
  <si>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</si>
  <si>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</si>
  <si>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职业教育（款）2020年度决算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</si>
  <si>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</si>
  <si>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</si>
  <si>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</si>
  <si>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</si>
  <si>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</si>
  <si>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</si>
  <si>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</si>
  <si>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</si>
  <si>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</si>
  <si>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</si>
  <si>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</si>
  <si>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</si>
  <si>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</si>
  <si>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</si>
  <si>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</si>
  <si>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</si>
  <si>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</si>
  <si>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</si>
  <si>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</si>
  <si>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</si>
  <si>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</si>
  <si>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</si>
  <si>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</si>
  <si>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</si>
  <si>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</si>
  <si>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</si>
  <si>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</si>
  <si>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</si>
  <si>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</si>
  <si>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</si>
  <si>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</si>
  <si>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</si>
  <si>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</si>
  <si>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</si>
  <si>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</si>
  <si>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</si>
  <si>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</si>
  <si>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</si>
  <si>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</si>
  <si>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</si>
  <si>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</si>
  <si>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</si>
  <si>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</si>
  <si>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</si>
  <si>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</si>
  <si>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</si>
  <si>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</si>
  <si>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</si>
  <si>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</si>
  <si>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</si>
  <si>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</si>
  <si>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</si>
  <si>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</si>
  <si>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</si>
  <si>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</si>
  <si>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</si>
  <si>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</si>
  <si>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</si>
  <si>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</si>
  <si>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</si>
  <si>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</si>
  <si>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</si>
  <si>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</si>
  <si>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</si>
  <si>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</si>
  <si>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</si>
  <si>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</si>
  <si>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</si>
  <si>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</si>
  <si>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</si>
  <si>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</si>
  <si>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</si>
  <si>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</si>
  <si>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</si>
  <si>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</si>
  <si>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</si>
  <si>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</si>
  <si>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</si>
  <si>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</si>
  <si>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</si>
  <si>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</si>
  <si>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</si>
  <si>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</si>
  <si>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</si>
  <si>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</si>
  <si>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</si>
  <si>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</si>
  <si>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</si>
  <si>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</si>
  <si>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</si>
  <si>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</si>
  <si>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</si>
  <si>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</si>
  <si>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</si>
  <si>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</si>
  <si>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</si>
  <si>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</si>
  <si>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</si>
  <si>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</si>
  <si>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</si>
  <si>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</si>
  <si>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</si>
  <si>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</si>
  <si>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</si>
  <si>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</si>
  <si>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</si>
  <si>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</si>
  <si>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</si>
  <si>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</si>
  <si>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</si>
  <si>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</si>
  <si>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</si>
  <si>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</si>
  <si>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</si>
  <si>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</si>
  <si>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</si>
  <si>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</si>
  <si>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</si>
  <si>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</si>
  <si>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</si>
  <si>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</si>
  <si>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</si>
  <si>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</si>
  <si>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</si>
  <si>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</si>
  <si>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</si>
  <si>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</si>
  <si>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</si>
  <si>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</si>
  <si>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</si>
  <si>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</si>
  <si>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</si>
  <si>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</si>
  <si>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</si>
  <si>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</si>
  <si>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</si>
  <si>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</si>
  <si>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</si>
  <si>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</si>
  <si>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</si>
  <si>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</si>
  <si>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</si>
  <si>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</si>
  <si>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</si>
  <si>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</si>
  <si>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</si>
  <si>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</si>
  <si>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</si>
  <si>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</si>
  <si>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</si>
  <si>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</si>
  <si>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</si>
  <si>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</si>
  <si>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</si>
  <si>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</si>
  <si>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</si>
  <si>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</si>
  <si>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</si>
  <si>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</si>
  <si>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</si>
  <si>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</si>
  <si>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</si>
  <si>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</si>
  <si>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</si>
  <si>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</si>
  <si>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</si>
  <si>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</si>
  <si>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</si>
  <si>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</si>
  <si>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</si>
  <si>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</si>
  <si>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</si>
  <si>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</si>
  <si>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</si>
  <si>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</si>
  <si>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</si>
  <si>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</si>
  <si>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</si>
  <si>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</si>
  <si>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</si>
  <si>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</si>
  <si>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</si>
  <si>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</si>
  <si>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</si>
  <si>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</si>
  <si>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</si>
  <si>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</si>
  <si>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</si>
  <si>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</si>
  <si>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</si>
  <si>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</si>
  <si>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</si>
  <si>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</si>
  <si>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</si>
  <si>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</si>
  <si>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</si>
  <si>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</si>
  <si>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</si>
  <si>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</si>
  <si>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</si>
  <si>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</si>
  <si>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</si>
  <si>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</si>
  <si>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</si>
  <si>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</si>
  <si>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</si>
  <si>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</si>
  <si>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</si>
  <si>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</si>
  <si>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</si>
  <si>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</si>
  <si>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</si>
  <si>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</si>
  <si>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</si>
  <si>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</si>
  <si>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</si>
  <si>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</si>
  <si>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</si>
  <si>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</si>
  <si>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</si>
  <si>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</si>
  <si>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</si>
  <si>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</si>
  <si>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</si>
  <si>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</si>
  <si>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t>
  </si>
  <si>
    <t>报表详见附件</t>
    <phoneticPr fontId="3" type="noConversion"/>
  </si>
  <si>
    <t>2020年度无因公出国（境）费用。</t>
    <phoneticPr fontId="3" type="noConversion"/>
  </si>
  <si>
    <t>1.教育支出（类）2020年度决算</t>
    <phoneticPr fontId="3" type="noConversion"/>
  </si>
  <si>
    <t>主要原因是社保7月调整医保基数，在职医保缴费支出增加。</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</si>
  <si>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</si>
  <si>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北京市西城职业学校对2020年度部门项目支出实施绩效评价，评价项目4个，占项目总数的38.55%，涉及金额397.95万元。为加强预算绩效管理，强化支出责任，建立科学、合理的财政支出绩效跟踪机制，提高财政资金使用效益，绩效评价的内容包括预算执行情况、管理情况、绩效目标实现程度等。运用科学、合理的绩效信息汇总分析方法，对财政支出的预算执行、管理和绩效目标运行等情况进行跟踪和审核，及时发现问题并采取有效的措施予以纠正。</t>
    <phoneticPr fontId="3" type="noConversion"/>
  </si>
  <si>
    <t>主要原因是在职人员经费支出减少，人员一次性核增绩效工资及平安西城发放比去年减少。</t>
    <phoneticPr fontId="3" type="noConversion"/>
  </si>
  <si>
    <t>主要原因是社保7月调整养老保险基数，在职养老保险、职业年金支出增加。</t>
    <phoneticPr fontId="3" type="noConversion"/>
  </si>
  <si>
    <t xml:space="preserve">    西城职业学校在职教改革的大背景下，坚持以立德树人为根本，坚持育人为本，德育为先，全员参与，崇德强技的德育理念，促进我校中职生职业素养全面发展。学校稳步推进教学工作，落实学历教育各项工作目标，推进信息化教学，贯彻落实“三有（有趣、有用、有效）”课堂。不断完善人才方案、教学方案，与3+2衔接高校开展深度合作，开展教师交流、学生交往、专业研讨活动，促进专业质量不断提升。
     北京市西城职业学校按照工作需要及职责分工内设处室12个，处室设置及职责如下：
1.校长办公室：在校长领导下，负责学校行政组织管理及校内外事务工作。
2.党委办公室：在党委领导下，负责党委党务及党员教育管理工作。
3.德育处：在德育主管校长领导下，负责学生思想教育及班级管理工作。
4.体卫处：在德育主管校长领导下，负责学校体育卫生工作。
5.教学教务处：在教学主管校长领导下，负责学校教学、教务和教研组工作。
6.教科研室：在教学主管校长领导下，负责学校教育科研工作。
7.专业办公室：在教学主管校长领导下，履行专业教学主任职责，全面负责专业教学及专业教师管理工作。
8.总务处：在行政主管校长领导下，全面负责总务和安全保卫的工作。
9.财务处：在行政主管校长领导下，全面负责学校财务工作。
10.招生就业办公室：在主管校长领导下，全面负责学校招生和就业工作。
11.社区办公室：在党委领导下，全面负责学校社区教育和宣传工作。
12.共青团团委：在党委领导下，全面负责团委工作，与德育处配合抓好学生的思想教育工作。
</t>
    <phoneticPr fontId="3" type="noConversion"/>
  </si>
  <si>
    <t>主要原因是发放普通高中国家助学金、免学费及免教科书费补助。</t>
    <phoneticPr fontId="3" type="noConversion"/>
  </si>
  <si>
    <t>主要原因是财政追加了专项经费及在职人员补发了绩效工资</t>
    <phoneticPr fontId="3" type="noConversion"/>
  </si>
  <si>
    <t>主要原因是我校“修缮类－北京市实美职业学校（西址）消防改造”项目由基建处做，此项目财政收回</t>
    <phoneticPr fontId="3" type="noConversion"/>
  </si>
  <si>
    <t>主要原因是2020年退休去世20人，财政追加去世离退休人员丧葬抚恤金支出</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</si>
  <si>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</si>
  <si>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主要原因是主要原因是进一步落实中央、北京市的有关厉行节约、压缩财政成本等规定，加强管理，严格控制公务用车运行维护费支出。</t>
    <phoneticPr fontId="3" type="noConversion"/>
  </si>
  <si>
    <t>主要原因是在职人员退休，购房补贴支出减少。</t>
    <phoneticPr fontId="3" type="noConversion"/>
  </si>
  <si>
    <t>主要原因是财政收回培训费50%。</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</si>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</sst>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2"/>
      <color theme="1"/>
      <name val="FangSong"/>
      <family val="3"/>
      <charset val="134"/>
    </font>
  </fonts>
  <fills count="6">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3">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10" fillId="5" borderId="0" xfId="0" applyFont="1" applyFill="1" applyAlignment="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22" fillId="0" borderId="0" xfId="0" applyFont="1" applyAlignment="1">
      <alignment horizontal="left" vertical="top" wrapTex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7"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6" t="s">
        <v>0</v>
      </c>
      <c r="B1" s="27">
        <v>255031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北京市西城职业学校</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2"/>
    <col min="2" max="2" width="23.625" style="22" customWidth="1"/>
    <col min="3" max="4" width="7.25" style="39" customWidth="1"/>
    <col min="5" max="5" width="8.5" style="40" customWidth="1"/>
    <col min="6" max="6" width="19.625" style="22" customWidth="1"/>
    <col min="7" max="8" width="13.625" style="22" customWidth="1"/>
    <col min="9" max="16384" width="8.875" style="22"/>
  </cols>
  <sheetData>
    <row r="1" spans="1:8" ht="24">
      <c r="A1" s="20" t="s">
        <v>350</v>
      </c>
      <c r="B1" s="21" t="s">
        <v>279</v>
      </c>
      <c r="C1" s="36" t="s">
        <v>351</v>
      </c>
      <c r="D1" s="36" t="s">
        <v>352</v>
      </c>
      <c r="E1" s="37" t="s">
        <v>353</v>
      </c>
      <c r="F1" s="21" t="s">
        <v>354</v>
      </c>
      <c r="G1" s="21" t="s">
        <v>355</v>
      </c>
      <c r="H1" s="21" t="s">
        <v>356</v>
      </c>
    </row>
    <row r="2" spans="1:8">
      <c r="A2" s="23">
        <v>255001</v>
      </c>
      <c r="B2" s="24" t="s">
        <v>330</v>
      </c>
      <c r="C2" s="38" t="str">
        <f>LEFT(D2,3)</f>
        <v>205</v>
      </c>
      <c r="D2" s="38" t="str">
        <f>LEFT(E2,5)</f>
        <v>20502</v>
      </c>
      <c r="E2" s="38">
        <f>IF(ISNA(VLOOKUP(F2,'2020功能科目'!A:B,2,FALSE)),"",VLOOKUP(F2,'2020功能科目'!A:B,2,FALSE))</f>
        <v>2050201</v>
      </c>
      <c r="F2" s="24" t="s">
        <v>357</v>
      </c>
      <c r="G2" s="25">
        <v>91486047.549999997</v>
      </c>
      <c r="H2" s="25">
        <v>117849170.55</v>
      </c>
    </row>
    <row r="3" spans="1:8">
      <c r="A3" s="23">
        <v>255001</v>
      </c>
      <c r="B3" s="24" t="s">
        <v>330</v>
      </c>
      <c r="C3" s="38" t="str">
        <f t="shared" ref="C3:C66" si="0">LEFT(D3,3)</f>
        <v>205</v>
      </c>
      <c r="D3" s="38" t="str">
        <f t="shared" ref="D3:D66" si="1">LEFT(E3,5)</f>
        <v>20502</v>
      </c>
      <c r="E3" s="38">
        <f>IF(ISNA(VLOOKUP(F3,'2020功能科目'!A:B,2,FALSE)),"",VLOOKUP(F3,'2020功能科目'!A:B,2,FALSE))</f>
        <v>2050202</v>
      </c>
      <c r="F3" s="24" t="s">
        <v>358</v>
      </c>
      <c r="G3" s="25">
        <v>250000</v>
      </c>
      <c r="H3" s="25">
        <v>250000</v>
      </c>
    </row>
    <row r="4" spans="1:8">
      <c r="A4" s="23">
        <v>255001</v>
      </c>
      <c r="B4" s="24" t="s">
        <v>330</v>
      </c>
      <c r="C4" s="38" t="str">
        <f t="shared" si="0"/>
        <v>205</v>
      </c>
      <c r="D4" s="38" t="str">
        <f t="shared" si="1"/>
        <v>20502</v>
      </c>
      <c r="E4" s="38">
        <f>IF(ISNA(VLOOKUP(F4,'2020功能科目'!A:B,2,FALSE)),"",VLOOKUP(F4,'2020功能科目'!A:B,2,FALSE))</f>
        <v>2050204</v>
      </c>
      <c r="F4" s="24" t="s">
        <v>359</v>
      </c>
      <c r="G4" s="25">
        <v>1439000</v>
      </c>
      <c r="H4" s="25">
        <v>1439888.15</v>
      </c>
    </row>
    <row r="5" spans="1:8">
      <c r="A5" s="23">
        <v>255001</v>
      </c>
      <c r="B5" s="24" t="s">
        <v>330</v>
      </c>
      <c r="C5" s="38" t="str">
        <f t="shared" si="0"/>
        <v>205</v>
      </c>
      <c r="D5" s="38" t="str">
        <f t="shared" si="1"/>
        <v>20502</v>
      </c>
      <c r="E5" s="38">
        <f>IF(ISNA(VLOOKUP(F5,'2020功能科目'!A:B,2,FALSE)),"",VLOOKUP(F5,'2020功能科目'!A:B,2,FALSE))</f>
        <v>2050299</v>
      </c>
      <c r="F5" s="24" t="s">
        <v>360</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359</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360</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361</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362</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363</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364</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365</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366</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367</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368</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369</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370</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371</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372</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359</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360</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361</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362</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363</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364</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365</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366</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368</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369</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370</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371</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372</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359</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360</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361</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363</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364</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365</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366</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368</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369</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370</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371</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372</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359</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360</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361</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362</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363</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364</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365</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366</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368</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369</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370</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371</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372</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359</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361</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362</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363</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364</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365</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366</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368</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369</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370</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371</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372</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359</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362</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363</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364</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365</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366</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368</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369</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370</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371</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372</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359</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360</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361</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362</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363</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364</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365</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366</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367</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368</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369</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370</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371</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372</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359</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360</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361</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362</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363</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364</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365</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366</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368</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369</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370</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371</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372</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359</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360</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361</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362</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363</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364</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365</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366</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368</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369</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370</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371</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372</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359</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361</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362</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363</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364</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365</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366</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368</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369</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370</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371</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372</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359</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361</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362</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363</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364</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365</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366</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368</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369</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370</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371</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372</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359</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363</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364</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365</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366</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368</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369</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370</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371</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372</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359</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360</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361</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362</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363</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364</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365</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366</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368</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369</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370</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371</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372</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373</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360</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361</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362</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363</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364</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365</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366</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368</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369</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370</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371</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372</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359</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361</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362</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364</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365</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366</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368</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370</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371</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372</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359</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360</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361</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362</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363</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364</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365</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366</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368</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369</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370</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371</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372</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359</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360</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361</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362</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363</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364</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365</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366</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368</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369</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370</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371</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372</v>
      </c>
      <c r="G216" s="25">
        <v>4290503</v>
      </c>
      <c r="H216" s="25">
        <v>4304412</v>
      </c>
    </row>
    <row r="217" spans="1:8">
      <c r="A217" s="23">
        <v>255022</v>
      </c>
      <c r="B217" s="24" t="s">
        <v>331</v>
      </c>
      <c r="C217" s="38" t="str">
        <f t="shared" si="6"/>
        <v>205</v>
      </c>
      <c r="D217" s="38" t="str">
        <f t="shared" si="7"/>
        <v>20502</v>
      </c>
      <c r="E217" s="38">
        <f>IF(ISNA(VLOOKUP(F217,'2020功能科目'!A:B,2,FALSE)),"",VLOOKUP(F217,'2020功能科目'!A:B,2,FALSE))</f>
        <v>2050203</v>
      </c>
      <c r="F217" s="24" t="s">
        <v>373</v>
      </c>
      <c r="G217" s="25">
        <v>26873070.100000001</v>
      </c>
      <c r="H217" s="25">
        <v>22704196.510000002</v>
      </c>
    </row>
    <row r="218" spans="1:8">
      <c r="A218" s="23">
        <v>255022</v>
      </c>
      <c r="B218" s="24" t="s">
        <v>331</v>
      </c>
      <c r="C218" s="38" t="str">
        <f t="shared" si="6"/>
        <v>205</v>
      </c>
      <c r="D218" s="38" t="str">
        <f t="shared" si="7"/>
        <v>20502</v>
      </c>
      <c r="E218" s="38">
        <f>IF(ISNA(VLOOKUP(F218,'2020功能科目'!A:B,2,FALSE)),"",VLOOKUP(F218,'2020功能科目'!A:B,2,FALSE))</f>
        <v>2050204</v>
      </c>
      <c r="F218" s="24" t="s">
        <v>359</v>
      </c>
      <c r="G218" s="25">
        <v>46564</v>
      </c>
      <c r="H218" s="25">
        <v>51629</v>
      </c>
    </row>
    <row r="219" spans="1:8">
      <c r="A219" s="23">
        <v>255022</v>
      </c>
      <c r="B219" s="24" t="s">
        <v>331</v>
      </c>
      <c r="C219" s="38" t="str">
        <f t="shared" si="6"/>
        <v>205</v>
      </c>
      <c r="D219" s="38" t="str">
        <f t="shared" si="7"/>
        <v>20502</v>
      </c>
      <c r="E219" s="38">
        <f>IF(ISNA(VLOOKUP(F219,'2020功能科目'!A:B,2,FALSE)),"",VLOOKUP(F219,'2020功能科目'!A:B,2,FALSE))</f>
        <v>2050299</v>
      </c>
      <c r="F219" s="24" t="s">
        <v>360</v>
      </c>
      <c r="G219" s="25">
        <v>279.2</v>
      </c>
      <c r="H219" s="25">
        <v>0</v>
      </c>
    </row>
    <row r="220" spans="1:8">
      <c r="A220" s="23">
        <v>255022</v>
      </c>
      <c r="B220" s="24" t="s">
        <v>331</v>
      </c>
      <c r="C220" s="38" t="str">
        <f t="shared" si="6"/>
        <v>205</v>
      </c>
      <c r="D220" s="38" t="str">
        <f t="shared" si="7"/>
        <v>20508</v>
      </c>
      <c r="E220" s="38">
        <f>IF(ISNA(VLOOKUP(F220,'2020功能科目'!A:B,2,FALSE)),"",VLOOKUP(F220,'2020功能科目'!A:B,2,FALSE))</f>
        <v>2050803</v>
      </c>
      <c r="F220" s="24" t="s">
        <v>361</v>
      </c>
      <c r="G220" s="25">
        <v>36800</v>
      </c>
      <c r="H220" s="25">
        <v>73600</v>
      </c>
    </row>
    <row r="221" spans="1:8">
      <c r="A221" s="23">
        <v>255022</v>
      </c>
      <c r="B221" s="24" t="s">
        <v>331</v>
      </c>
      <c r="C221" s="38" t="str">
        <f t="shared" si="6"/>
        <v>205</v>
      </c>
      <c r="D221" s="38" t="str">
        <f t="shared" si="7"/>
        <v>20509</v>
      </c>
      <c r="E221" s="38">
        <f>IF(ISNA(VLOOKUP(F221,'2020功能科目'!A:B,2,FALSE)),"",VLOOKUP(F221,'2020功能科目'!A:B,2,FALSE))</f>
        <v>2050903</v>
      </c>
      <c r="F221" s="24" t="s">
        <v>362</v>
      </c>
      <c r="G221" s="25">
        <v>138743.4</v>
      </c>
      <c r="H221" s="25">
        <v>140000</v>
      </c>
    </row>
    <row r="222" spans="1:8">
      <c r="A222" s="23">
        <v>255022</v>
      </c>
      <c r="B222" s="24" t="s">
        <v>331</v>
      </c>
      <c r="C222" s="38" t="str">
        <f t="shared" si="6"/>
        <v>205</v>
      </c>
      <c r="D222" s="38" t="str">
        <f t="shared" si="7"/>
        <v>20509</v>
      </c>
      <c r="E222" s="38">
        <f>IF(ISNA(VLOOKUP(F222,'2020功能科目'!A:B,2,FALSE)),"",VLOOKUP(F222,'2020功能科目'!A:B,2,FALSE))</f>
        <v>2050904</v>
      </c>
      <c r="F222" s="24" t="s">
        <v>363</v>
      </c>
      <c r="G222" s="25">
        <v>1246675.0900000001</v>
      </c>
      <c r="H222" s="25">
        <v>1261160</v>
      </c>
    </row>
    <row r="223" spans="1:8">
      <c r="A223" s="23">
        <v>255022</v>
      </c>
      <c r="B223" s="24" t="s">
        <v>331</v>
      </c>
      <c r="C223" s="38" t="str">
        <f t="shared" si="6"/>
        <v>208</v>
      </c>
      <c r="D223" s="38" t="str">
        <f t="shared" si="7"/>
        <v>20805</v>
      </c>
      <c r="E223" s="38">
        <f>IF(ISNA(VLOOKUP(F223,'2020功能科目'!A:B,2,FALSE)),"",VLOOKUP(F223,'2020功能科目'!A:B,2,FALSE))</f>
        <v>2080502</v>
      </c>
      <c r="F223" s="24" t="s">
        <v>364</v>
      </c>
      <c r="G223" s="25">
        <v>2701675.56</v>
      </c>
      <c r="H223" s="25">
        <v>2070473.15</v>
      </c>
    </row>
    <row r="224" spans="1:8">
      <c r="A224" s="23">
        <v>255022</v>
      </c>
      <c r="B224" s="24" t="s">
        <v>331</v>
      </c>
      <c r="C224" s="38" t="str">
        <f t="shared" si="6"/>
        <v>208</v>
      </c>
      <c r="D224" s="38" t="str">
        <f t="shared" si="7"/>
        <v>20805</v>
      </c>
      <c r="E224" s="38">
        <f>IF(ISNA(VLOOKUP(F224,'2020功能科目'!A:B,2,FALSE)),"",VLOOKUP(F224,'2020功能科目'!A:B,2,FALSE))</f>
        <v>2080505</v>
      </c>
      <c r="F224" s="24" t="s">
        <v>365</v>
      </c>
      <c r="G224" s="25">
        <v>1964071.04</v>
      </c>
      <c r="H224" s="25">
        <v>2098399.36</v>
      </c>
    </row>
    <row r="225" spans="1:8">
      <c r="A225" s="23">
        <v>255022</v>
      </c>
      <c r="B225" s="24" t="s">
        <v>331</v>
      </c>
      <c r="C225" s="38" t="str">
        <f t="shared" si="6"/>
        <v>208</v>
      </c>
      <c r="D225" s="38" t="str">
        <f t="shared" si="7"/>
        <v>20805</v>
      </c>
      <c r="E225" s="38">
        <f>IF(ISNA(VLOOKUP(F225,'2020功能科目'!A:B,2,FALSE)),"",VLOOKUP(F225,'2020功能科目'!A:B,2,FALSE))</f>
        <v>2080506</v>
      </c>
      <c r="F225" s="24" t="s">
        <v>366</v>
      </c>
      <c r="G225" s="25">
        <v>982035.52</v>
      </c>
      <c r="H225" s="25">
        <v>1049199.68</v>
      </c>
    </row>
    <row r="226" spans="1:8">
      <c r="A226" s="23">
        <v>255022</v>
      </c>
      <c r="B226" s="24" t="s">
        <v>331</v>
      </c>
      <c r="C226" s="38" t="str">
        <f t="shared" si="6"/>
        <v>210</v>
      </c>
      <c r="D226" s="38" t="str">
        <f t="shared" si="7"/>
        <v>21011</v>
      </c>
      <c r="E226" s="38">
        <f>IF(ISNA(VLOOKUP(F226,'2020功能科目'!A:B,2,FALSE)),"",VLOOKUP(F226,'2020功能科目'!A:B,2,FALSE))</f>
        <v>2101102</v>
      </c>
      <c r="F226" s="24" t="s">
        <v>368</v>
      </c>
      <c r="G226" s="25">
        <v>2132507.06</v>
      </c>
      <c r="H226" s="25">
        <v>1704949.48</v>
      </c>
    </row>
    <row r="227" spans="1:8">
      <c r="A227" s="23">
        <v>255022</v>
      </c>
      <c r="B227" s="24" t="s">
        <v>331</v>
      </c>
      <c r="C227" s="38" t="str">
        <f t="shared" si="6"/>
        <v>210</v>
      </c>
      <c r="D227" s="38" t="str">
        <f t="shared" si="7"/>
        <v>21011</v>
      </c>
      <c r="E227" s="38">
        <f>IF(ISNA(VLOOKUP(F227,'2020功能科目'!A:B,2,FALSE)),"",VLOOKUP(F227,'2020功能科目'!A:B,2,FALSE))</f>
        <v>2101199</v>
      </c>
      <c r="F227" s="24" t="s">
        <v>369</v>
      </c>
      <c r="G227" s="25">
        <v>180000</v>
      </c>
      <c r="H227" s="25">
        <v>360000</v>
      </c>
    </row>
    <row r="228" spans="1:8">
      <c r="A228" s="23">
        <v>255022</v>
      </c>
      <c r="B228" s="24" t="s">
        <v>331</v>
      </c>
      <c r="C228" s="38" t="str">
        <f t="shared" si="6"/>
        <v>221</v>
      </c>
      <c r="D228" s="38" t="str">
        <f t="shared" si="7"/>
        <v>22102</v>
      </c>
      <c r="E228" s="38">
        <f>IF(ISNA(VLOOKUP(F228,'2020功能科目'!A:B,2,FALSE)),"",VLOOKUP(F228,'2020功能科目'!A:B,2,FALSE))</f>
        <v>2210201</v>
      </c>
      <c r="F228" s="24" t="s">
        <v>370</v>
      </c>
      <c r="G228" s="25">
        <v>2537027</v>
      </c>
      <c r="H228" s="25">
        <v>2125799.52</v>
      </c>
    </row>
    <row r="229" spans="1:8">
      <c r="A229" s="23">
        <v>255022</v>
      </c>
      <c r="B229" s="24" t="s">
        <v>331</v>
      </c>
      <c r="C229" s="38" t="str">
        <f t="shared" si="6"/>
        <v>221</v>
      </c>
      <c r="D229" s="38" t="str">
        <f t="shared" si="7"/>
        <v>22102</v>
      </c>
      <c r="E229" s="38">
        <f>IF(ISNA(VLOOKUP(F229,'2020功能科目'!A:B,2,FALSE)),"",VLOOKUP(F229,'2020功能科目'!A:B,2,FALSE))</f>
        <v>2210202</v>
      </c>
      <c r="F229" s="24" t="s">
        <v>371</v>
      </c>
      <c r="G229" s="25">
        <v>215560</v>
      </c>
      <c r="H229" s="25">
        <v>217920</v>
      </c>
    </row>
    <row r="230" spans="1:8">
      <c r="A230" s="23">
        <v>255022</v>
      </c>
      <c r="B230" s="24" t="s">
        <v>331</v>
      </c>
      <c r="C230" s="38" t="str">
        <f t="shared" si="6"/>
        <v>221</v>
      </c>
      <c r="D230" s="38" t="str">
        <f t="shared" si="7"/>
        <v>22102</v>
      </c>
      <c r="E230" s="38">
        <f>IF(ISNA(VLOOKUP(F230,'2020功能科目'!A:B,2,FALSE)),"",VLOOKUP(F230,'2020功能科目'!A:B,2,FALSE))</f>
        <v>2210203</v>
      </c>
      <c r="F230" s="24" t="s">
        <v>372</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359</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360</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361</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362</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363</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364</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365</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366</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368</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369</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370</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371</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372</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373</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360</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361</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362</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363</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364</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365</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366</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368</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369</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370</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371</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372</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373</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360</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361</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362</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363</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364</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365</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366</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368</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369</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370</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371</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372</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373</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359</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360</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361</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363</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364</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365</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366</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368</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369</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370</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371</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372</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373</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360</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361</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362</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363</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364</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365</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366</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368</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369</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370</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371</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372</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374</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375</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361</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376</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364</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365</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366</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367</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368</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369</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370</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371</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372</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360</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374</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361</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363</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376</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364</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365</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366</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368</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369</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370</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371</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372</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358</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359</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360</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361</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363</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364</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365</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366</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367</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368</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369</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370</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371</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372</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358</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360</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361</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363</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364</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365</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366</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368</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369</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370</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371</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372</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358</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360</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361</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363</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364</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365</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366</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368</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370</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371</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372</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358</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360</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361</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363</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364</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365</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366</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368</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370</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371</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372</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358</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360</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361</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363</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364</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365</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366</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368</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370</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371</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372</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358</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360</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361</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362</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363</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364</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365</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366</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368</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370</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371</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372</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358</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360</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361</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362</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363</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364</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365</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366</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368</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370</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371</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372</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358</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360</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361</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363</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364</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365</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366</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368</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370</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371</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372</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358</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360</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361</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362</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363</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364</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365</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366</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368</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370</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371</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372</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358</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360</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361</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362</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363</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364</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365</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366</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368</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369</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370</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371</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372</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358</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360</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361</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363</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364</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365</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366</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368</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370</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371</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372</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358</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360</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361</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362</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363</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364</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365</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366</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368</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369</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370</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371</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372</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358</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360</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361</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363</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364</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365</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366</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368</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370</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371</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372</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358</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360</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361</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362</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363</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364</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365</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366</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368</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369</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370</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371</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372</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358</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360</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361</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362</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363</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364</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365</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366</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368</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369</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370</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371</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372</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358</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360</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361</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362</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363</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364</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365</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366</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368</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370</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371</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372</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358</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360</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361</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362</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363</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364</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365</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366</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368</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369</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370</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371</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372</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358</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360</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361</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362</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363</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364</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365</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366</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368</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370</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371</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372</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358</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360</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361</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363</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364</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365</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366</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368</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370</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371</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372</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358</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360</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361</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362</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363</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364</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365</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366</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368</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370</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371</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372</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358</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360</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361</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362</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363</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364</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365</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366</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368</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369</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370</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371</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372</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358</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360</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361</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362</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363</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364</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365</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366</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368</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370</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371</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372</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358</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360</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361</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362</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363</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364</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365</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366</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368</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369</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370</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371</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372</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358</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360</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361</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362</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363</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364</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365</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366</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368</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370</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371</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372</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358</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360</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361</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362</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363</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377</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364</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365</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366</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367</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368</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370</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371</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372</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358</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360</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361</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363</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364</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365</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366</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368</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369</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370</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371</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372</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358</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360</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361</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362</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363</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364</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365</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366</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368</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369</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370</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371</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372</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358</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360</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361</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362</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363</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364</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365</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366</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368</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369</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370</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371</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372</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358</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360</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361</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363</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364</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365</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366</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368</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369</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370</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371</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372</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358</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360</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361</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362</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363</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364</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365</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366</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368</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369</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370</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371</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372</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358</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360</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361</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362</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363</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364</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365</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366</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368</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369</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370</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371</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372</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358</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360</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361</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363</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364</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365</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366</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368</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370</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371</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372</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358</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360</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361</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362</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363</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364</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365</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366</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368</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369</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370</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371</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372</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358</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360</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361</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362</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363</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364</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365</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366</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368</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369</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370</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371</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372</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357</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361</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377</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364</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365</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366</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368</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369</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370</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371</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372</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357</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361</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377</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364</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365</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366</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368</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369</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370</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371</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372</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357</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361</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377</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364</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365</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366</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368</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369</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370</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371</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372</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357</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361</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377</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364</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365</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366</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368</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370</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371</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372</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357</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361</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377</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364</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365</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366</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368</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370</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371</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372</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357</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361</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377</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364</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365</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366</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368</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369</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370</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371</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372</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357</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361</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377</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364</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365</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366</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368</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370</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371</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372</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357</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361</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377</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364</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365</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366</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368</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370</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371</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372</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364</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371</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357</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359</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360</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378</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361</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362</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363</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364</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365</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366</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368</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370</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371</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372</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357</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360</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378</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379</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361</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362</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363</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364</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365</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366</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368</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370</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371</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372</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360</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380</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361</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363</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364</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365</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366</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367</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368</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370</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371</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372</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360</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361</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377</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364</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365</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366</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368</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369</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370</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371</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372</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360</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361</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377</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381</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364</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365</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366</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368</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369</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370</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371</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372</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360</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361</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377</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364</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365</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366</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368</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370</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371</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372</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360</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361</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377</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364</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365</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366</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368</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370</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371</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372</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360</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361</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377</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364</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365</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366</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368</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370</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371</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372</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360</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361</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377</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364</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365</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366</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368</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370</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371</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372</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360</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361</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377</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364</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365</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366</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368</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370</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371</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372</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360</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382</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361</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377</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364</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365</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366</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368</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369</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370</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371</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372</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360</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361</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377</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364</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365</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366</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368</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370</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371</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372</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360</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361</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377</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364</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365</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366</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367</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368</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370</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371</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372</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360</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382</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361</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377</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364</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365</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366</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368</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370</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371</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372</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360</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361</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377</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364</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365</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366</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368</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370</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371</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372</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360</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361</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364</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365</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366</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368</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370</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371</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372</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360</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361</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365</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366</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368</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370</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371</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372</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360</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361</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377</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364</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365</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366</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368</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370</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371</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372</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360</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377</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364</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365</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366</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368</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370</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371</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372</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357</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361</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377</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364</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365</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366</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368</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370</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371</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372</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358</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360</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361</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362</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363</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364</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365</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366</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368</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370</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371</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372</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360</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361</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364</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365</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366</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368</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370</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371</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372</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359</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360</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361</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362</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363</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364</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365</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366</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368</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369</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370</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371</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372</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359</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360</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361</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362</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363</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364</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365</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366</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368</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369</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370</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371</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372</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359</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360</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361</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363</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364</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365</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366</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368</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369</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370</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371</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372</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359</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361</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362</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363</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364</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365</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366</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368</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369</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370</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371</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372</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359</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360</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361</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362</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363</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364</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365</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366</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368</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369</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370</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371</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372</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360</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374</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375</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361</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376</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364</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365</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366</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368</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369</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383</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370</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371</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372</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359</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361</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364</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365</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366</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368</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369</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370</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371</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372</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359</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360</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361</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362</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363</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364</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365</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366</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368</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369</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370</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371</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372</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359</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360</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361</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363</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364</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365</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366</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368</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369</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370</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371</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372</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359</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360</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361</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362</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363</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364</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365</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366</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368</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369</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370</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371</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372</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358</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360</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361</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362</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363</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364</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365</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366</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368</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369</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370</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371</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372</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358</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360</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361</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362</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363</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364</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365</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366</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368</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369</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370</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371</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372</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358</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360</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361</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362</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363</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364</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365</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366</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368</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370</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371</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372</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358</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360</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361</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362</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363</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364</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365</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366</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368</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369</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370</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371</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372</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358</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360</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361</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362</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363</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364</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365</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366</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367</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368</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369</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370</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371</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372</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358</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360</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361</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362</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363</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364</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365</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366</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368</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370</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371</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372</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358</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360</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361</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363</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364</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365</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366</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368</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370</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371</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372</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358</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360</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361</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362</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363</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364</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365</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366</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368</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370</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371</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372</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358</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360</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361</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363</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364</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365</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366</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368</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369</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370</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371</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372</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358</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360</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361</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362</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363</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364</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365</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366</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368</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369</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370</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371</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372</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358</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361</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363</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364</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365</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366</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368</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369</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370</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371</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372</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358</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360</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361</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362</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363</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364</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365</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366</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367</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368</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370</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371</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372</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358</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360</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361</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362</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363</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364</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365</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366</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368</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369</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370</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371</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372</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358</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360</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361</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362</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363</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364</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365</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366</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368</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370</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371</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372</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358</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360</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361</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362</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363</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364</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365</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366</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368</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369</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370</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371</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372</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358</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360</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361</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362</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363</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364</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365</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366</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368</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370</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371</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372</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358</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361</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362</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363</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364</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365</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366</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368</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369</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370</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371</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372</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358</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360</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361</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362</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363</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364</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365</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366</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368</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370</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371</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372</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358</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361</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362</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363</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364</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365</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366</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368</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370</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371</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372</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358</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360</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361</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363</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364</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365</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366</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368</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370</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371</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372</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358</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360</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361</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362</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363</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364</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365</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366</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368</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370</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371</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372</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358</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360</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361</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362</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363</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364</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365</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366</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368</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370</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371</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372</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357</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361</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377</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364</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365</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366</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368</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370</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371</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372</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357</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361</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377</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364</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365</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366</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368</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369</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370</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371</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372</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357</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361</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377</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364</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365</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366</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368</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369</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370</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371</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372</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357</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361</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364</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365</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366</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368</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370</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371</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372</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357</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361</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377</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364</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365</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366</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368</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370</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371</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372</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357</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361</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377</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364</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365</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366</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368</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370</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371</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372</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357</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361</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377</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364</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365</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366</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368</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370</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371</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372</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357</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361</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364</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365</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366</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368</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370</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371</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372</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357</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361</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377</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364</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365</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366</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368</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370</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371</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372</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357</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361</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377</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364</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365</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366</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368</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369</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370</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371</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372</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357</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361</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377</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364</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365</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366</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368</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370</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371</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372</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357</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361</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377</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364</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365</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366</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368</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370</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371</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372</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357</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361</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377</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364</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365</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366</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368</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370</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371</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372</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384</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361</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377</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364</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365</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366</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368</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369</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370</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371</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372</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385</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361</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377</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364</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365</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366</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368</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370</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371</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372</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360</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382</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361</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377</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364</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365</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366</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368</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369</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370</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371</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372</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360</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361</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377</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364</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365</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366</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368</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369</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370</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371</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372</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360</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361</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377</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381</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364</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365</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366</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368</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370</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371</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372</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360</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361</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377</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364</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365</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366</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368</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370</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371</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372</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360</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361</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364</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365</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366</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367</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368</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370</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371</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372</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357</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358</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373</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359</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360</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361</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362</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377</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364</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365</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366</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367</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368</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369</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386</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370</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371</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372</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360</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374</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375</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361</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376</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364</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365</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366</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368</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369</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370</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371</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372</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359</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360</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361</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362</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363</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364</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365</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366</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368</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369</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370</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371</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372</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359</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360</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361</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362</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363</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364</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365</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366</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368</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370</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371</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372</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360</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361</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377</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364</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365</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366</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368</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370</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371</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372</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357</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361</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377</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365</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366</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368</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370</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371</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372</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357</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361</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377</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365</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366</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368</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370</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371</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372</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358</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360</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361</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362</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363</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365</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366</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368</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370</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371</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372</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357</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361</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377</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364</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365</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366</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368</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370</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371</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372</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357</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361</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377</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365</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366</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368</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370</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371</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372</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357</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361</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377</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365</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366</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368</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370</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371</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372</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357</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361</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377</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365</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366</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368</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370</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371</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372</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357</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361</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377</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365</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366</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368</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370</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371</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372</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360</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361</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365</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366</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368</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370</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371</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372</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360</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365</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366</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368</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370</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360</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361</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377</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365</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366</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368</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370</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371</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372</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358</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361</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363</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365</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366</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368</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370</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371</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372</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357</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358</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373</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359</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360</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374</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375</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384</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385</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378</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380</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379</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382</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361</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362</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363</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376</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377</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381</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364</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365</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366</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367</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368</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369</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386</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383</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370</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371</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372</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2" bestFit="1" customWidth="1"/>
    <col min="2" max="16384" width="8.625" style="52"/>
  </cols>
  <sheetData>
    <row r="1" spans="1:2">
      <c r="A1" s="51" t="s">
        <v>430</v>
      </c>
      <c r="B1" s="51" t="s">
        <v>431</v>
      </c>
    </row>
    <row r="2" spans="1:2">
      <c r="A2" s="53" t="s">
        <v>432</v>
      </c>
      <c r="B2" s="51">
        <v>2050101</v>
      </c>
    </row>
    <row r="3" spans="1:2">
      <c r="A3" s="53" t="s">
        <v>433</v>
      </c>
      <c r="B3" s="51">
        <v>2050102</v>
      </c>
    </row>
    <row r="4" spans="1:2">
      <c r="A4" s="53" t="s">
        <v>357</v>
      </c>
      <c r="B4" s="51">
        <v>2050201</v>
      </c>
    </row>
    <row r="5" spans="1:2">
      <c r="A5" s="53" t="s">
        <v>358</v>
      </c>
      <c r="B5" s="51">
        <v>2050202</v>
      </c>
    </row>
    <row r="6" spans="1:2">
      <c r="A6" s="53" t="s">
        <v>373</v>
      </c>
      <c r="B6" s="51">
        <v>2050203</v>
      </c>
    </row>
    <row r="7" spans="1:2">
      <c r="A7" s="53" t="s">
        <v>359</v>
      </c>
      <c r="B7" s="51">
        <v>2050204</v>
      </c>
    </row>
    <row r="8" spans="1:2">
      <c r="A8" s="53" t="s">
        <v>360</v>
      </c>
      <c r="B8" s="51">
        <v>2050299</v>
      </c>
    </row>
    <row r="9" spans="1:2">
      <c r="A9" s="53" t="s">
        <v>374</v>
      </c>
      <c r="B9" s="51">
        <v>2050302</v>
      </c>
    </row>
    <row r="10" spans="1:2">
      <c r="A10" s="53" t="s">
        <v>434</v>
      </c>
      <c r="B10" s="51">
        <v>2050304</v>
      </c>
    </row>
    <row r="11" spans="1:2">
      <c r="A11" s="53" t="s">
        <v>375</v>
      </c>
      <c r="B11" s="51">
        <v>2050399</v>
      </c>
    </row>
    <row r="12" spans="1:2">
      <c r="A12" s="53" t="s">
        <v>384</v>
      </c>
      <c r="B12" s="51">
        <v>2050403</v>
      </c>
    </row>
    <row r="13" spans="1:2">
      <c r="A13" s="53" t="s">
        <v>385</v>
      </c>
      <c r="B13" s="51">
        <v>2050404</v>
      </c>
    </row>
    <row r="14" spans="1:2">
      <c r="A14" s="53" t="s">
        <v>378</v>
      </c>
      <c r="B14" s="51">
        <v>2050701</v>
      </c>
    </row>
    <row r="15" spans="1:2">
      <c r="A15" s="53" t="s">
        <v>380</v>
      </c>
      <c r="B15" s="51">
        <v>2050702</v>
      </c>
    </row>
    <row r="16" spans="1:2">
      <c r="A16" s="53" t="s">
        <v>379</v>
      </c>
      <c r="B16" s="51">
        <v>2050799</v>
      </c>
    </row>
    <row r="17" spans="1:2">
      <c r="A17" s="53" t="s">
        <v>382</v>
      </c>
      <c r="B17" s="51">
        <v>2050801</v>
      </c>
    </row>
    <row r="18" spans="1:2">
      <c r="A18" s="53" t="s">
        <v>361</v>
      </c>
      <c r="B18" s="51">
        <v>2050803</v>
      </c>
    </row>
    <row r="19" spans="1:2">
      <c r="A19" s="53" t="s">
        <v>362</v>
      </c>
      <c r="B19" s="51">
        <v>2050903</v>
      </c>
    </row>
    <row r="20" spans="1:2">
      <c r="A20" s="53" t="s">
        <v>363</v>
      </c>
      <c r="B20" s="51">
        <v>2050904</v>
      </c>
    </row>
    <row r="21" spans="1:2">
      <c r="A21" s="53" t="s">
        <v>376</v>
      </c>
      <c r="B21" s="51">
        <v>2050905</v>
      </c>
    </row>
    <row r="22" spans="1:2">
      <c r="A22" s="53" t="s">
        <v>377</v>
      </c>
      <c r="B22" s="51">
        <v>2050999</v>
      </c>
    </row>
    <row r="23" spans="1:2">
      <c r="A23" s="53" t="s">
        <v>381</v>
      </c>
      <c r="B23" s="51">
        <v>2060702</v>
      </c>
    </row>
    <row r="24" spans="1:2">
      <c r="A24" s="53" t="s">
        <v>435</v>
      </c>
      <c r="B24" s="51">
        <v>2080501</v>
      </c>
    </row>
    <row r="25" spans="1:2">
      <c r="A25" s="53" t="s">
        <v>364</v>
      </c>
      <c r="B25" s="51">
        <v>2080502</v>
      </c>
    </row>
    <row r="26" spans="1:2">
      <c r="A26" s="53" t="s">
        <v>365</v>
      </c>
      <c r="B26" s="51">
        <v>2080505</v>
      </c>
    </row>
    <row r="27" spans="1:2">
      <c r="A27" s="53" t="s">
        <v>366</v>
      </c>
      <c r="B27" s="51">
        <v>2080506</v>
      </c>
    </row>
    <row r="28" spans="1:2">
      <c r="A28" s="53" t="s">
        <v>367</v>
      </c>
      <c r="B28" s="51">
        <v>2080801</v>
      </c>
    </row>
    <row r="29" spans="1:2">
      <c r="A29" s="53" t="s">
        <v>436</v>
      </c>
      <c r="B29" s="51">
        <v>2101101</v>
      </c>
    </row>
    <row r="30" spans="1:2">
      <c r="A30" s="53" t="s">
        <v>368</v>
      </c>
      <c r="B30" s="51">
        <v>2101102</v>
      </c>
    </row>
    <row r="31" spans="1:2">
      <c r="A31" s="53" t="s">
        <v>369</v>
      </c>
      <c r="B31" s="51">
        <v>2101199</v>
      </c>
    </row>
    <row r="32" spans="1:2">
      <c r="A32" s="53" t="s">
        <v>386</v>
      </c>
      <c r="B32" s="51">
        <v>2120399</v>
      </c>
    </row>
    <row r="33" spans="1:2">
      <c r="A33" s="53" t="s">
        <v>370</v>
      </c>
      <c r="B33" s="51">
        <v>2210201</v>
      </c>
    </row>
    <row r="34" spans="1:2">
      <c r="A34" s="53" t="s">
        <v>371</v>
      </c>
      <c r="B34" s="51">
        <v>2210202</v>
      </c>
    </row>
    <row r="35" spans="1:2">
      <c r="A35" s="53" t="s">
        <v>372</v>
      </c>
      <c r="B35" s="51">
        <v>2210203</v>
      </c>
    </row>
    <row r="36" spans="1:2">
      <c r="A36" s="53" t="s">
        <v>437</v>
      </c>
      <c r="B36" s="51">
        <v>2296003</v>
      </c>
    </row>
    <row r="37" spans="1:2">
      <c r="A37" s="53" t="s">
        <v>438</v>
      </c>
      <c r="B37" s="51">
        <v>2340201</v>
      </c>
    </row>
    <row r="38" spans="1:2">
      <c r="A38" s="53" t="s">
        <v>383</v>
      </c>
      <c r="B38" s="51">
        <v>2130506</v>
      </c>
    </row>
    <row r="39" spans="1:2">
      <c r="A39" s="53"/>
      <c r="B39" s="51"/>
    </row>
  </sheetData>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7" zoomScale="90" zoomScaleNormal="90" workbookViewId="0">
      <selection activeCell="A10" sqref="A10:N10"/>
    </sheetView>
  </sheetViews>
  <sheetFormatPr defaultRowHeight="14.25"/>
  <sheetData>
    <row r="10" spans="1:14" ht="54.6" customHeight="1">
      <c r="A10" s="60" t="s">
        <v>179</v>
      </c>
      <c r="B10" s="60"/>
      <c r="C10" s="60"/>
      <c r="D10" s="60"/>
      <c r="E10" s="60"/>
      <c r="F10" s="60"/>
      <c r="G10" s="60"/>
      <c r="H10" s="60"/>
      <c r="I10" s="60"/>
      <c r="J10" s="60"/>
      <c r="K10" s="60"/>
      <c r="L10" s="60"/>
      <c r="M10" s="60"/>
      <c r="N10" s="60"/>
    </row>
    <row r="11" spans="1:14" ht="78" customHeight="1">
      <c r="A11" s="61" t="s">
        <v>443</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opLeftCell="A46" zoomScaleNormal="100" workbookViewId="0">
      <selection activeCell="A64" sqref="A64:XFD72"/>
    </sheetView>
  </sheetViews>
  <sheetFormatPr defaultRowHeight="14.25"/>
  <cols>
    <col min="1" max="3" width="9.125" customWidth="1"/>
    <col min="4" max="4" width="15.375" bestFit="1" customWidth="1"/>
    <col min="6" max="6" width="8.375" customWidth="1"/>
    <col min="7" max="7" width="11.375" customWidth="1"/>
    <col min="8" max="8" width="14.125" customWidth="1"/>
    <col min="9" max="9" width="10.625" customWidth="1"/>
    <col min="11" max="11" width="7.625" customWidth="1"/>
    <col min="12" max="12" width="8.25" customWidth="1"/>
  </cols>
  <sheetData>
    <row r="1" spans="1:14" ht="35.450000000000003" customHeight="1">
      <c r="A1" s="60" t="s">
        <v>180</v>
      </c>
      <c r="B1" s="60"/>
      <c r="C1" s="60"/>
      <c r="D1" s="60"/>
      <c r="E1" s="60"/>
      <c r="F1" s="60"/>
      <c r="G1" s="60"/>
      <c r="H1" s="60"/>
      <c r="I1" s="60"/>
      <c r="J1" s="60"/>
      <c r="K1" s="60"/>
      <c r="L1" s="60"/>
      <c r="M1" s="60"/>
      <c r="N1" s="56"/>
    </row>
    <row r="2" spans="1:14" ht="18" customHeight="1">
      <c r="A2" s="6" t="s">
        <v>181</v>
      </c>
    </row>
    <row r="3" spans="1:14" ht="18" customHeight="1">
      <c r="A3" s="7" t="s">
        <v>182</v>
      </c>
    </row>
    <row r="4" spans="1:14" ht="280.14999999999998" customHeight="1">
      <c r="A4" s="70" t="s">
        <v>451</v>
      </c>
      <c r="B4" s="70"/>
      <c r="C4" s="70"/>
      <c r="D4" s="70"/>
      <c r="E4" s="70"/>
      <c r="F4" s="70"/>
      <c r="G4" s="70"/>
      <c r="H4" s="70"/>
      <c r="I4" s="70"/>
      <c r="J4" s="70"/>
      <c r="K4" s="70"/>
      <c r="L4" s="70"/>
      <c r="M4" s="70"/>
      <c r="N4" s="18"/>
    </row>
    <row r="5" spans="1:14" ht="18" customHeight="1">
      <c r="A5" s="7" t="s">
        <v>183</v>
      </c>
    </row>
    <row r="6" spans="1:14" ht="18" customHeight="1">
      <c r="A6" s="62" t="s">
        <v>273</v>
      </c>
      <c r="B6" s="62"/>
      <c r="C6" s="57">
        <v>331</v>
      </c>
      <c r="D6" s="10" t="s">
        <v>275</v>
      </c>
      <c r="E6" s="8">
        <f>_xlfn.IFNA(VLOOKUP(封面!B1,'2020决算导出'!A:C,3,FALSE),"")</f>
        <v>309</v>
      </c>
      <c r="F6" s="10" t="s">
        <v>276</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145321107.83000001</v>
      </c>
      <c r="E8" s="7" t="s">
        <v>187</v>
      </c>
      <c r="F8" s="19" t="s">
        <v>277</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1058019.7699999809</v>
      </c>
      <c r="I8" s="15" t="s">
        <v>187</v>
      </c>
      <c r="J8" s="29" t="str">
        <f>IF(ISNA(VLOOKUP(封面!B1,'2019决算导出'!A:C,3,FALSE)),"",IF(D8-VLOOKUP(封面!B1,'2019决算导出'!A:C,3,FALSE)&gt;0,"增长","下降"))</f>
        <v>下降</v>
      </c>
      <c r="K8" s="30">
        <f>IF(ISNA(VLOOKUP(封面!B1,'2019决算导出'!A:C,3,FALSE)),"",H8/VLOOKUP(封面!B1,'2019决算导出'!A:C,3,FALSE))</f>
        <v>7.2279414923906195E-3</v>
      </c>
      <c r="L8" s="7" t="s">
        <v>341</v>
      </c>
    </row>
    <row r="9" spans="1:14" ht="18" customHeight="1">
      <c r="A9" s="7" t="s">
        <v>188</v>
      </c>
      <c r="G9" s="31"/>
      <c r="H9" s="31"/>
      <c r="I9" s="31"/>
      <c r="J9" s="31"/>
      <c r="K9" s="31"/>
    </row>
    <row r="10" spans="1:14" ht="18" customHeight="1">
      <c r="A10" s="62" t="s">
        <v>189</v>
      </c>
      <c r="B10" s="62"/>
      <c r="C10" s="62"/>
      <c r="D10" s="13">
        <f>_xlfn.IFNA(VLOOKUP(封面!B1,'2020决算导出'!A:E,5,FALSE),"")</f>
        <v>145321107.83000001</v>
      </c>
      <c r="E10" s="7" t="s">
        <v>187</v>
      </c>
      <c r="F10" s="19" t="s">
        <v>277</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358494.76999998093</v>
      </c>
      <c r="I10" s="15" t="s">
        <v>187</v>
      </c>
      <c r="J10" s="29" t="str">
        <f>IF(ISNA(VLOOKUP(封面!B1,'2019决算导出'!A:D,4,FALSE)),"",IF(D10-VLOOKUP(封面!B1,'2019决算导出'!A:D,4,FALSE)&gt;0,"增长","下降"))</f>
        <v>下降</v>
      </c>
      <c r="K10" s="30">
        <f>IF(ISNA(VLOOKUP(封面!B1,'2019决算导出'!A:D,4,FALSE)),"",H10/VLOOKUP(封面!B1,'2019决算导出'!A:D,4,FALSE))</f>
        <v>2.4608439589468029E-3</v>
      </c>
      <c r="L10" s="7" t="s">
        <v>342</v>
      </c>
    </row>
    <row r="11" spans="1:14" ht="18" customHeight="1">
      <c r="A11" s="62" t="s">
        <v>190</v>
      </c>
      <c r="B11" s="62"/>
      <c r="C11" s="62"/>
      <c r="D11" s="13">
        <f>_xlfn.IFNA(VLOOKUP(封面!B1,'2020决算导出'!A:F,6,FALSE),"")</f>
        <v>144221107.83000001</v>
      </c>
      <c r="E11" s="7" t="s">
        <v>187</v>
      </c>
      <c r="F11" s="62" t="s">
        <v>191</v>
      </c>
      <c r="G11" s="62"/>
      <c r="H11" s="28">
        <f>D11/$D$10</f>
        <v>0.99243055591561546</v>
      </c>
      <c r="I11" s="7" t="s">
        <v>343</v>
      </c>
    </row>
    <row r="12" spans="1:14" ht="18" customHeight="1">
      <c r="A12" s="62" t="s">
        <v>192</v>
      </c>
      <c r="B12" s="62"/>
      <c r="C12" s="62"/>
      <c r="D12" s="13">
        <f>_xlfn.IFNA(VLOOKUP(封面!B1,'2020决算导出'!A:G,7,FALSE),"")</f>
        <v>1100000</v>
      </c>
      <c r="E12" s="7" t="s">
        <v>187</v>
      </c>
      <c r="F12" s="62" t="s">
        <v>191</v>
      </c>
      <c r="G12" s="62"/>
      <c r="H12" s="28">
        <f t="shared" ref="H12:H15" si="0">D12/$D$10</f>
        <v>7.5694440843845296E-3</v>
      </c>
      <c r="I12" s="7" t="s">
        <v>343</v>
      </c>
    </row>
    <row r="13" spans="1:14" ht="18" customHeight="1">
      <c r="A13" s="62" t="s">
        <v>193</v>
      </c>
      <c r="B13" s="62"/>
      <c r="C13" s="62"/>
      <c r="D13" s="13">
        <f>_xlfn.IFNA(VLOOKUP(封面!B1,'2020决算导出'!A:H,8,FALSE),"")</f>
        <v>0</v>
      </c>
      <c r="E13" s="7" t="s">
        <v>187</v>
      </c>
      <c r="F13" s="62" t="s">
        <v>191</v>
      </c>
      <c r="G13" s="62"/>
      <c r="H13" s="28">
        <f t="shared" si="0"/>
        <v>0</v>
      </c>
      <c r="I13" s="7" t="s">
        <v>343</v>
      </c>
    </row>
    <row r="14" spans="1:14" ht="18" customHeight="1">
      <c r="A14" s="62" t="s">
        <v>194</v>
      </c>
      <c r="B14" s="62"/>
      <c r="C14" s="62"/>
      <c r="D14" s="13">
        <f>_xlfn.IFNA(VLOOKUP(封面!B1,'2020决算导出'!A:I,9,FALSE),"")</f>
        <v>0</v>
      </c>
      <c r="E14" s="7" t="s">
        <v>187</v>
      </c>
      <c r="F14" s="62" t="s">
        <v>191</v>
      </c>
      <c r="G14" s="62"/>
      <c r="H14" s="28">
        <f t="shared" si="0"/>
        <v>0</v>
      </c>
      <c r="I14" s="7" t="s">
        <v>343</v>
      </c>
    </row>
    <row r="15" spans="1:14" ht="18" customHeight="1">
      <c r="A15" s="62" t="s">
        <v>195</v>
      </c>
      <c r="B15" s="62"/>
      <c r="C15" s="62"/>
      <c r="D15" s="13">
        <f>_xlfn.IFNA(VLOOKUP(封面!B1,'2020决算导出'!A:J,10,FALSE),"")</f>
        <v>0</v>
      </c>
      <c r="E15" s="7" t="s">
        <v>187</v>
      </c>
      <c r="F15" s="62" t="s">
        <v>191</v>
      </c>
      <c r="G15" s="62"/>
      <c r="H15" s="28">
        <f t="shared" si="0"/>
        <v>0</v>
      </c>
      <c r="I15" s="7" t="s">
        <v>344</v>
      </c>
    </row>
    <row r="16" spans="1:14" ht="18" customHeight="1">
      <c r="A16" s="7" t="s">
        <v>196</v>
      </c>
    </row>
    <row r="17" spans="1:13" ht="18" customHeight="1">
      <c r="A17" s="62" t="s">
        <v>197</v>
      </c>
      <c r="B17" s="62"/>
      <c r="C17" s="62"/>
      <c r="D17" s="13">
        <f>_xlfn.IFNA(VLOOKUP(封面!B1,'2020决算导出'!A:K,11,FALSE),"")</f>
        <v>145321107.83000001</v>
      </c>
      <c r="E17" s="7" t="s">
        <v>187</v>
      </c>
      <c r="F17" s="19" t="s">
        <v>277</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1058019.7699999809</v>
      </c>
      <c r="I17" s="7" t="s">
        <v>187</v>
      </c>
      <c r="J17" s="29" t="str">
        <f>IF(ISNA(VLOOKUP(封面!B1,'2019决算导出'!A:E,5,FALSE)),"",IF(D17-VLOOKUP(封面!B1,'2019决算导出'!A:E,5,FALSE)&gt;0,"增长","下降"))</f>
        <v>下降</v>
      </c>
      <c r="K17" s="30">
        <f>IF(ISNA(VLOOKUP(封面!B1,'2019决算导出'!A:E,5,FALSE)),"",H17/VLOOKUP(封面!B1,'2019决算导出'!A:E,5,FALSE))</f>
        <v>7.2279414923906195E-3</v>
      </c>
      <c r="L17" s="7" t="s">
        <v>345</v>
      </c>
    </row>
    <row r="18" spans="1:13" ht="18" customHeight="1">
      <c r="A18" s="62" t="s">
        <v>198</v>
      </c>
      <c r="B18" s="62"/>
      <c r="C18" s="62"/>
      <c r="D18" s="13">
        <f>_xlfn.IFNA(VLOOKUP(封面!B1,'2020决算导出'!A:L,12,FALSE),"")</f>
        <v>134997943.71000001</v>
      </c>
      <c r="E18" s="7" t="s">
        <v>187</v>
      </c>
      <c r="F18" s="62" t="s">
        <v>199</v>
      </c>
      <c r="G18" s="62"/>
      <c r="H18" s="28">
        <f>D18/$D$17</f>
        <v>0.92896307856339577</v>
      </c>
      <c r="I18" s="7" t="s">
        <v>343</v>
      </c>
    </row>
    <row r="19" spans="1:13" ht="18" customHeight="1">
      <c r="A19" s="62" t="s">
        <v>200</v>
      </c>
      <c r="B19" s="62"/>
      <c r="C19" s="62"/>
      <c r="D19" s="13">
        <f>_xlfn.IFNA(VLOOKUP(封面!B1,'2020决算导出'!A:M,13,FALSE),"")</f>
        <v>10323164.119999999</v>
      </c>
      <c r="E19" s="7" t="s">
        <v>187</v>
      </c>
      <c r="F19" s="62" t="s">
        <v>199</v>
      </c>
      <c r="G19" s="62"/>
      <c r="H19" s="28">
        <f t="shared" ref="H19" si="1">D19/$D$17</f>
        <v>7.10369214366042E-2</v>
      </c>
      <c r="I19" s="7" t="s">
        <v>343</v>
      </c>
    </row>
    <row r="20" spans="1:13" ht="18" customHeight="1">
      <c r="A20" s="6" t="s">
        <v>201</v>
      </c>
    </row>
    <row r="21" spans="1:13" ht="18" customHeight="1">
      <c r="A21" s="62" t="s">
        <v>202</v>
      </c>
      <c r="B21" s="62"/>
      <c r="C21" s="62"/>
      <c r="D21" s="62"/>
      <c r="E21" s="64">
        <f>_xlfn.IFNA(VLOOKUP(封面!B1,'2020决算导出'!A:O,15,FALSE),"")</f>
        <v>144221107.83000001</v>
      </c>
      <c r="F21" s="64"/>
      <c r="G21" s="14" t="s">
        <v>277</v>
      </c>
      <c r="H21" s="29" t="str">
        <f>IF(ISNA(VLOOKUP(封面!B1,'2019决算导出'!A:F,6,FALSE)),"",IF(E21-VLOOKUP(封面!B1,'2019决算导出'!A:F,6,FALSE)&gt;0,"增加","减少"))</f>
        <v>减少</v>
      </c>
      <c r="I21" s="32">
        <f>IF(ISNA(VLOOKUP(封面!B1,'2019决算导出'!A:F,6,FALSE)),"",IF(E21-VLOOKUP(封面!B1,'2019决算导出'!A:F,6,FALSE)&gt;0,E21-VLOOKUP(封面!B1,'2019决算导出'!A:F,6,FALSE),VLOOKUP(封面!B1,'2019决算导出'!A:F,6,FALSE)-E21))</f>
        <v>410354.76999998093</v>
      </c>
      <c r="J21" s="7" t="s">
        <v>187</v>
      </c>
      <c r="K21" s="29" t="str">
        <f>IF(ISNA(VLOOKUP(封面!B1,'2019决算导出'!A:F,6,FALSE)),"",IF(E21-VLOOKUP(封面!B1,'2019决算导出'!A:F,6,FALSE)&gt;0,"增长","下降"))</f>
        <v>下降</v>
      </c>
      <c r="L21" s="30">
        <f>IF(ISNA(VLOOKUP(封面!B1,'2019决算导出'!A:F,6,FALSE)),"",I21/VLOOKUP(封面!B1,'2019决算导出'!A:F,6,FALSE))</f>
        <v>2.8372441419255959E-3</v>
      </c>
      <c r="M21" s="7" t="s">
        <v>341</v>
      </c>
    </row>
    <row r="22" spans="1:13" ht="63.6" customHeight="1">
      <c r="B22" s="63" t="s">
        <v>449</v>
      </c>
      <c r="C22" s="63"/>
      <c r="D22" s="63"/>
      <c r="E22" s="63"/>
      <c r="F22" s="63"/>
      <c r="G22" s="63"/>
      <c r="H22" s="63"/>
      <c r="I22" s="63"/>
      <c r="J22" s="63"/>
      <c r="K22" s="63"/>
      <c r="L22" s="63"/>
      <c r="M22" s="63"/>
    </row>
    <row r="23" spans="1:13" ht="18" customHeight="1">
      <c r="A23" s="6" t="s">
        <v>203</v>
      </c>
    </row>
    <row r="24" spans="1:13" ht="18" customHeight="1">
      <c r="A24" s="7" t="s">
        <v>204</v>
      </c>
    </row>
    <row r="25" spans="1:13" ht="18" customHeight="1">
      <c r="A25" s="62" t="s">
        <v>205</v>
      </c>
      <c r="B25" s="62"/>
      <c r="C25" s="62"/>
      <c r="D25" s="62"/>
      <c r="E25" s="62"/>
      <c r="F25" s="64">
        <f>_xlfn.IFNA(VLOOKUP(封面!B1,'2020决算导出'!A:P,16,FALSE),"")</f>
        <v>144221107.83000001</v>
      </c>
      <c r="G25" s="64"/>
      <c r="H25" s="7" t="s">
        <v>187</v>
      </c>
      <c r="I25" s="10" t="s">
        <v>206</v>
      </c>
      <c r="J25" s="10"/>
      <c r="K25" s="10"/>
      <c r="L25" s="10"/>
      <c r="M25" s="10"/>
    </row>
    <row r="26" spans="1:13" ht="18" customHeight="1">
      <c r="A26" s="62" t="s">
        <v>209</v>
      </c>
      <c r="B26" s="62"/>
      <c r="C26" s="62"/>
      <c r="D26" s="64">
        <f>_xlfn.IFNA(VLOOKUP(封面!B1,'2020决算导出'!A:Q,17,FALSE),"")</f>
        <v>93128655.829999998</v>
      </c>
      <c r="E26" s="64"/>
      <c r="F26" s="7" t="s">
        <v>187</v>
      </c>
      <c r="G26" s="65" t="s">
        <v>208</v>
      </c>
      <c r="H26" s="65"/>
      <c r="I26" s="28">
        <f>D26/$F$25</f>
        <v>0.64573526879141008</v>
      </c>
      <c r="J26" s="7" t="s">
        <v>343</v>
      </c>
      <c r="K26" s="9"/>
      <c r="L26" s="9"/>
      <c r="M26" s="9"/>
    </row>
    <row r="27" spans="1:13" ht="18" customHeight="1">
      <c r="A27" s="62" t="s">
        <v>207</v>
      </c>
      <c r="B27" s="62"/>
      <c r="C27" s="62"/>
      <c r="D27" s="64">
        <f>_xlfn.IFNA(VLOOKUP(封面!B1,'2020决算导出'!A:S,19,FALSE),"")</f>
        <v>26153465.18</v>
      </c>
      <c r="E27" s="64"/>
      <c r="F27" s="7" t="s">
        <v>187</v>
      </c>
      <c r="G27" s="65" t="s">
        <v>208</v>
      </c>
      <c r="H27" s="65"/>
      <c r="I27" s="28">
        <f t="shared" ref="I27:I29" si="2">D27/$F$25</f>
        <v>0.18134283929387285</v>
      </c>
      <c r="J27" s="7" t="s">
        <v>343</v>
      </c>
    </row>
    <row r="28" spans="1:13" ht="18" customHeight="1">
      <c r="A28" s="62" t="s">
        <v>210</v>
      </c>
      <c r="B28" s="62"/>
      <c r="C28" s="62"/>
      <c r="D28" s="64">
        <f>_xlfn.IFNA(VLOOKUP(封面!B1,'2020决算导出'!A:T,20,FALSE),"")</f>
        <v>8303744.8200000003</v>
      </c>
      <c r="E28" s="64"/>
      <c r="F28" s="7" t="s">
        <v>187</v>
      </c>
      <c r="G28" s="65" t="s">
        <v>208</v>
      </c>
      <c r="H28" s="65"/>
      <c r="I28" s="28">
        <f t="shared" si="2"/>
        <v>5.7576487554013261E-2</v>
      </c>
      <c r="J28" s="7" t="s">
        <v>343</v>
      </c>
    </row>
    <row r="29" spans="1:13" ht="18" customHeight="1">
      <c r="A29" s="62" t="s">
        <v>211</v>
      </c>
      <c r="B29" s="62"/>
      <c r="C29" s="62"/>
      <c r="D29" s="64">
        <f>_xlfn.IFNA(VLOOKUP(封面!B1,'2020决算导出'!A:W,23,FALSE),"")</f>
        <v>16635242</v>
      </c>
      <c r="E29" s="64"/>
      <c r="F29" s="7" t="s">
        <v>187</v>
      </c>
      <c r="G29" s="65" t="s">
        <v>208</v>
      </c>
      <c r="H29" s="65"/>
      <c r="I29" s="28">
        <f t="shared" si="2"/>
        <v>0.11534540436070369</v>
      </c>
      <c r="J29" s="7" t="s">
        <v>344</v>
      </c>
    </row>
    <row r="30" spans="1:13" ht="18" customHeight="1">
      <c r="A30" s="7" t="s">
        <v>212</v>
      </c>
    </row>
    <row r="31" spans="1:13" ht="18" customHeight="1">
      <c r="A31" s="66" t="s">
        <v>445</v>
      </c>
      <c r="B31" s="66"/>
      <c r="C31" s="66"/>
      <c r="D31" s="66"/>
      <c r="E31" s="64">
        <f>_xlfn.IFNA(VLOOKUP(封面!B1,一般公共预算财政拨款支出决算具体情况!A:C,3,FALSE),"")</f>
        <v>93128655.830000013</v>
      </c>
      <c r="F31" s="64"/>
      <c r="G31" s="7" t="s">
        <v>187</v>
      </c>
      <c r="H31" s="65" t="s">
        <v>213</v>
      </c>
      <c r="I31" s="65"/>
      <c r="J31" s="64">
        <f>_xlfn.IFNA(VLOOKUP(封面!B1,一般公共预算财政拨款支出决算具体情况!A:D,4,FALSE),"")</f>
        <v>81193481.769999996</v>
      </c>
      <c r="K31" s="64"/>
      <c r="L31" s="11" t="s">
        <v>186</v>
      </c>
    </row>
    <row r="32" spans="1:13" ht="18" customHeight="1">
      <c r="B32" s="14" t="str">
        <f>IF(E31&gt;J31,"增加","减少")</f>
        <v>增加</v>
      </c>
      <c r="C32" s="64">
        <f>ABS(E31-J31)</f>
        <v>11935174.060000017</v>
      </c>
      <c r="D32" s="64"/>
      <c r="E32" s="7" t="s">
        <v>187</v>
      </c>
      <c r="F32" s="14" t="str">
        <f>IF(E31&gt;J31,"增长","下降")</f>
        <v>增长</v>
      </c>
      <c r="G32" s="33">
        <f>C32/J31</f>
        <v>0.14699670219598734</v>
      </c>
      <c r="H32" s="7" t="s">
        <v>344</v>
      </c>
      <c r="I32" s="11" t="s">
        <v>214</v>
      </c>
    </row>
    <row r="33" spans="1:12" ht="18" customHeight="1">
      <c r="A33" s="62" t="s">
        <v>215</v>
      </c>
      <c r="B33" s="62"/>
      <c r="C33" s="62"/>
      <c r="D33" s="62"/>
      <c r="E33" s="64">
        <f>_xlfn.IFNA(VLOOKUP(封面!B1,一般公共预算财政拨款支出决算具体情况!A:E,5,FALSE),"")</f>
        <v>42996.15</v>
      </c>
      <c r="F33" s="64"/>
      <c r="G33" s="7" t="s">
        <v>187</v>
      </c>
      <c r="H33" s="65" t="s">
        <v>213</v>
      </c>
      <c r="I33" s="65"/>
      <c r="J33" s="64">
        <f>_xlfn.IFNA(VLOOKUP(封面!B1,一般公共预算财政拨款支出决算具体情况!A:F,6,FALSE),"")</f>
        <v>0</v>
      </c>
      <c r="K33" s="64"/>
      <c r="L33" s="11" t="s">
        <v>186</v>
      </c>
    </row>
    <row r="34" spans="1:12" ht="18" customHeight="1">
      <c r="A34" s="14"/>
      <c r="B34" s="14" t="str">
        <f>IF(E33&gt;J33,"增加","减少")</f>
        <v>增加</v>
      </c>
      <c r="C34" s="64">
        <f>ABS(E33-J33)</f>
        <v>42996.15</v>
      </c>
      <c r="D34" s="64"/>
      <c r="E34" s="7" t="s">
        <v>187</v>
      </c>
      <c r="F34" s="14" t="str">
        <f>IF(E33&gt;J33,"增长","下降")</f>
        <v>增长</v>
      </c>
      <c r="G34" s="33">
        <v>1</v>
      </c>
      <c r="H34" s="7" t="s">
        <v>344</v>
      </c>
    </row>
    <row r="35" spans="1:12" ht="36" customHeight="1">
      <c r="B35" s="67" t="s">
        <v>452</v>
      </c>
      <c r="C35" s="67"/>
      <c r="D35" s="67"/>
      <c r="E35" s="67"/>
      <c r="F35" s="67"/>
      <c r="G35" s="67"/>
      <c r="H35" s="67"/>
      <c r="I35" s="67"/>
      <c r="J35" s="67"/>
      <c r="K35" s="67"/>
      <c r="L35" s="67"/>
    </row>
    <row r="36" spans="1:12" ht="18" customHeight="1">
      <c r="A36" s="62" t="s">
        <v>216</v>
      </c>
      <c r="B36" s="62"/>
      <c r="C36" s="62"/>
      <c r="D36" s="62"/>
      <c r="E36" s="64">
        <f>_xlfn.IFNA(VLOOKUP(封面!B1,一般公共预算财政拨款支出决算具体情况!A:G,7,FALSE),"")</f>
        <v>90760968.450000003</v>
      </c>
      <c r="F36" s="64"/>
      <c r="G36" s="7" t="s">
        <v>187</v>
      </c>
      <c r="H36" s="65" t="s">
        <v>213</v>
      </c>
      <c r="I36" s="65"/>
      <c r="J36" s="64">
        <f>_xlfn.IFNA(VLOOKUP(封面!B1,一般公共预算财政拨款支出决算具体情况!A:H,8,FALSE),"")</f>
        <v>78526184.859999999</v>
      </c>
      <c r="K36" s="64"/>
      <c r="L36" s="11" t="s">
        <v>186</v>
      </c>
    </row>
    <row r="37" spans="1:12" ht="18" customHeight="1">
      <c r="A37" s="14"/>
      <c r="B37" s="14" t="str">
        <f>IF(E36&gt;J36,"增加","减少")</f>
        <v>增加</v>
      </c>
      <c r="C37" s="64">
        <f>ABS(E36-J36)</f>
        <v>12234783.590000004</v>
      </c>
      <c r="D37" s="64"/>
      <c r="E37" s="7" t="s">
        <v>187</v>
      </c>
      <c r="F37" s="14" t="str">
        <f>IF(E36&gt;J36,"增长","下降")</f>
        <v>增长</v>
      </c>
      <c r="G37" s="33">
        <f>C37/J36</f>
        <v>0.15580514463822129</v>
      </c>
      <c r="H37" s="7" t="s">
        <v>344</v>
      </c>
    </row>
    <row r="38" spans="1:12" ht="36" customHeight="1">
      <c r="B38" s="67" t="s">
        <v>453</v>
      </c>
      <c r="C38" s="67"/>
      <c r="D38" s="67"/>
      <c r="E38" s="67"/>
      <c r="F38" s="67"/>
      <c r="G38" s="67"/>
      <c r="H38" s="67"/>
      <c r="I38" s="67"/>
      <c r="J38" s="67"/>
      <c r="K38" s="67"/>
      <c r="L38" s="67"/>
    </row>
    <row r="39" spans="1:12" ht="18" customHeight="1">
      <c r="A39" s="62" t="s">
        <v>217</v>
      </c>
      <c r="B39" s="62"/>
      <c r="C39" s="62"/>
      <c r="D39" s="62"/>
      <c r="E39" s="64">
        <f>_xlfn.IFNA(VLOOKUP(封面!B1,一般公共预算财政拨款支出决算具体情况!A:M,13,FALSE),"")</f>
        <v>130800</v>
      </c>
      <c r="F39" s="64"/>
      <c r="G39" s="7" t="s">
        <v>187</v>
      </c>
      <c r="H39" s="65" t="s">
        <v>213</v>
      </c>
      <c r="I39" s="65"/>
      <c r="J39" s="64">
        <f>_xlfn.IFNA(VLOOKUP(封面!B1,一般公共预算财政拨款支出决算具体情况!A:N,14,FALSE),"")</f>
        <v>261600</v>
      </c>
      <c r="K39" s="64"/>
      <c r="L39" s="11" t="s">
        <v>186</v>
      </c>
    </row>
    <row r="40" spans="1:12" ht="18" customHeight="1">
      <c r="A40" s="14"/>
      <c r="B40" s="14" t="str">
        <f>IF(E39&gt;J39,"增加","减少")</f>
        <v>减少</v>
      </c>
      <c r="C40" s="64">
        <f>ABS(E39-J39)</f>
        <v>130800</v>
      </c>
      <c r="D40" s="64"/>
      <c r="E40" s="7" t="s">
        <v>187</v>
      </c>
      <c r="F40" s="14" t="str">
        <f>IF(E39&gt;J39,"增长","下降")</f>
        <v>下降</v>
      </c>
      <c r="G40" s="33">
        <f>C40/J39</f>
        <v>0.5</v>
      </c>
      <c r="H40" s="7" t="s">
        <v>344</v>
      </c>
    </row>
    <row r="41" spans="1:12" ht="36" customHeight="1">
      <c r="B41" s="67" t="s">
        <v>459</v>
      </c>
      <c r="C41" s="67"/>
      <c r="D41" s="67"/>
      <c r="E41" s="67"/>
      <c r="F41" s="67"/>
      <c r="G41" s="67"/>
      <c r="H41" s="67"/>
      <c r="I41" s="67"/>
      <c r="J41" s="67"/>
      <c r="K41" s="67"/>
      <c r="L41" s="67"/>
    </row>
    <row r="42" spans="1:12" ht="18" customHeight="1">
      <c r="A42" s="69" t="s">
        <v>218</v>
      </c>
      <c r="B42" s="69"/>
      <c r="C42" s="69"/>
      <c r="D42" s="69"/>
      <c r="E42" s="64">
        <f>_xlfn.IFNA(VLOOKUP(封面!B1,一般公共预算财政拨款支出决算具体情况!A:O,15,FALSE),"")</f>
        <v>2193891.23</v>
      </c>
      <c r="F42" s="64"/>
      <c r="G42" s="7" t="s">
        <v>187</v>
      </c>
      <c r="H42" s="65" t="s">
        <v>213</v>
      </c>
      <c r="I42" s="65"/>
      <c r="J42" s="64">
        <f>_xlfn.IFNA(VLOOKUP(封面!B1,一般公共预算财政拨款支出决算具体情况!A:P,16,FALSE),"")</f>
        <v>2405696.91</v>
      </c>
      <c r="K42" s="64"/>
      <c r="L42" s="11" t="s">
        <v>186</v>
      </c>
    </row>
    <row r="43" spans="1:12" ht="18" customHeight="1">
      <c r="A43" s="14"/>
      <c r="B43" s="14" t="str">
        <f>IF(E42&gt;J42,"增加","减少")</f>
        <v>减少</v>
      </c>
      <c r="C43" s="64">
        <f>ABS(E42-J42)</f>
        <v>211805.68000000017</v>
      </c>
      <c r="D43" s="64"/>
      <c r="E43" s="7" t="s">
        <v>187</v>
      </c>
      <c r="F43" s="14" t="str">
        <f>IF(E42&gt;J42,"增长","下降")</f>
        <v>下降</v>
      </c>
      <c r="G43" s="33">
        <f>C43/J42</f>
        <v>8.8043377002134549E-2</v>
      </c>
      <c r="H43" s="7" t="s">
        <v>344</v>
      </c>
    </row>
    <row r="44" spans="1:12" ht="36" customHeight="1">
      <c r="B44" s="67" t="s">
        <v>454</v>
      </c>
      <c r="C44" s="67"/>
      <c r="D44" s="67"/>
      <c r="E44" s="67"/>
      <c r="F44" s="67"/>
      <c r="G44" s="67"/>
      <c r="H44" s="67"/>
      <c r="I44" s="67"/>
      <c r="J44" s="67"/>
      <c r="K44" s="67"/>
      <c r="L44" s="67"/>
    </row>
    <row r="45" spans="1:12" ht="18" customHeight="1">
      <c r="A45" s="68" t="s">
        <v>460</v>
      </c>
      <c r="B45" s="68"/>
      <c r="C45" s="68"/>
      <c r="D45" s="68"/>
      <c r="E45" s="64">
        <f>_xlfn.IFNA(VLOOKUP(封面!B1,一般公共预算财政拨款支出决算具体情况!A:U,21,FALSE),"")</f>
        <v>26153465.18</v>
      </c>
      <c r="F45" s="64"/>
      <c r="G45" s="7" t="s">
        <v>187</v>
      </c>
      <c r="H45" s="65" t="s">
        <v>213</v>
      </c>
      <c r="I45" s="65"/>
      <c r="J45" s="64">
        <f>_xlfn.IFNA(VLOOKUP(封面!B1,一般公共预算财政拨款支出决算具体情况!A:V,22,FALSE),"")</f>
        <v>22250354.739999998</v>
      </c>
      <c r="K45" s="64"/>
      <c r="L45" s="11" t="s">
        <v>186</v>
      </c>
    </row>
    <row r="46" spans="1:12" ht="18" customHeight="1">
      <c r="B46" s="14" t="str">
        <f>IF(E45&gt;J45,"增加","减少")</f>
        <v>增加</v>
      </c>
      <c r="C46" s="64">
        <f>ABS(E45-J45)</f>
        <v>3903110.4400000013</v>
      </c>
      <c r="D46" s="64"/>
      <c r="E46" s="7" t="s">
        <v>187</v>
      </c>
      <c r="F46" s="14" t="str">
        <f>IF(E45&gt;J45,"增长","下降")</f>
        <v>增长</v>
      </c>
      <c r="G46" s="33">
        <f>C46/J45</f>
        <v>0.175417897180007</v>
      </c>
      <c r="H46" s="7" t="s">
        <v>344</v>
      </c>
      <c r="I46" s="11" t="s">
        <v>214</v>
      </c>
    </row>
    <row r="47" spans="1:12" ht="18" customHeight="1">
      <c r="A47" s="69" t="s">
        <v>219</v>
      </c>
      <c r="B47" s="69"/>
      <c r="C47" s="69"/>
      <c r="D47" s="69"/>
      <c r="E47" s="64">
        <f>_xlfn.IFNA(VLOOKUP(封面!B1,一般公共预算财政拨款支出决算具体情况!A:W,23,FALSE),"")</f>
        <v>26153465.18</v>
      </c>
      <c r="F47" s="64"/>
      <c r="G47" s="7" t="s">
        <v>187</v>
      </c>
      <c r="H47" s="65" t="s">
        <v>213</v>
      </c>
      <c r="I47" s="65"/>
      <c r="J47" s="64">
        <f>_xlfn.IFNA(VLOOKUP(封面!B1,一般公共预算财政拨款支出决算具体情况!A:X,24,FALSE),"")</f>
        <v>22250354.739999998</v>
      </c>
      <c r="K47" s="64"/>
      <c r="L47" s="11" t="s">
        <v>186</v>
      </c>
    </row>
    <row r="48" spans="1:12" ht="18" customHeight="1">
      <c r="A48" s="14"/>
      <c r="B48" s="14" t="str">
        <f>IF(E47&gt;J47,"增加","减少")</f>
        <v>增加</v>
      </c>
      <c r="C48" s="64">
        <f>ABS(E47-J47)</f>
        <v>3903110.4400000013</v>
      </c>
      <c r="D48" s="64"/>
      <c r="E48" s="7" t="s">
        <v>187</v>
      </c>
      <c r="F48" s="14" t="str">
        <f>IF(E47&gt;J47,"增长","下降")</f>
        <v>增长</v>
      </c>
      <c r="G48" s="33">
        <f>C48/J47</f>
        <v>0.175417897180007</v>
      </c>
      <c r="H48" s="7" t="s">
        <v>344</v>
      </c>
    </row>
    <row r="49" spans="1:12" ht="36" customHeight="1">
      <c r="B49" s="67" t="s">
        <v>450</v>
      </c>
      <c r="C49" s="67"/>
      <c r="D49" s="67"/>
      <c r="E49" s="67"/>
      <c r="F49" s="67"/>
      <c r="G49" s="67"/>
      <c r="H49" s="67"/>
      <c r="I49" s="67"/>
      <c r="J49" s="67"/>
      <c r="K49" s="67"/>
      <c r="L49" s="67"/>
    </row>
    <row r="50" spans="1:12" ht="18" customHeight="1">
      <c r="A50" s="69" t="s">
        <v>220</v>
      </c>
      <c r="B50" s="69"/>
      <c r="C50" s="69"/>
      <c r="D50" s="69"/>
      <c r="E50" s="64">
        <f>_xlfn.IFNA(VLOOKUP(封面!B1,一般公共预算财政拨款支出决算具体情况!A:Y,25,FALSE),"")</f>
        <v>0</v>
      </c>
      <c r="F50" s="64"/>
      <c r="G50" s="7" t="s">
        <v>187</v>
      </c>
      <c r="H50" s="65" t="s">
        <v>442</v>
      </c>
      <c r="I50" s="65"/>
      <c r="J50" s="64"/>
      <c r="K50" s="64"/>
      <c r="L50" s="11"/>
    </row>
    <row r="51" spans="1:12" ht="36" customHeight="1">
      <c r="B51" s="67" t="s">
        <v>455</v>
      </c>
      <c r="C51" s="67"/>
      <c r="D51" s="67"/>
      <c r="E51" s="67"/>
      <c r="F51" s="67"/>
      <c r="G51" s="67"/>
      <c r="H51" s="67"/>
      <c r="I51" s="67"/>
      <c r="J51" s="67"/>
      <c r="K51" s="67"/>
      <c r="L51" s="67"/>
    </row>
    <row r="52" spans="1:12" ht="18" customHeight="1">
      <c r="A52" s="68" t="s">
        <v>461</v>
      </c>
      <c r="B52" s="68"/>
      <c r="C52" s="68"/>
      <c r="D52" s="68"/>
      <c r="E52" s="64">
        <f>_xlfn.IFNA(VLOOKUP(封面!B1,一般公共预算财政拨款支出决算具体情况!A:AA,27,FALSE),"")</f>
        <v>8303744.8200000003</v>
      </c>
      <c r="F52" s="64"/>
      <c r="G52" s="7" t="s">
        <v>187</v>
      </c>
      <c r="H52" s="65" t="s">
        <v>213</v>
      </c>
      <c r="I52" s="65"/>
      <c r="J52" s="64">
        <f>_xlfn.IFNA(VLOOKUP(封面!B1,一般公共预算财政拨款支出决算具体情况!A:AB,28,FALSE),"")</f>
        <v>7800269.1799999997</v>
      </c>
      <c r="K52" s="64"/>
      <c r="L52" s="11" t="s">
        <v>186</v>
      </c>
    </row>
    <row r="53" spans="1:12" ht="18" customHeight="1">
      <c r="B53" s="14" t="str">
        <f>IF(E52&gt;J52,"增加","减少")</f>
        <v>增加</v>
      </c>
      <c r="C53" s="64">
        <f>ABS(E52-J52)</f>
        <v>503475.6400000006</v>
      </c>
      <c r="D53" s="64"/>
      <c r="E53" s="7" t="s">
        <v>187</v>
      </c>
      <c r="F53" s="14" t="str">
        <f>IF(E52&gt;J52,"增长","下降")</f>
        <v>增长</v>
      </c>
      <c r="G53" s="33">
        <f>C53/J52</f>
        <v>6.4545931477713522E-2</v>
      </c>
      <c r="H53" s="7" t="s">
        <v>344</v>
      </c>
      <c r="I53" s="11" t="s">
        <v>214</v>
      </c>
    </row>
    <row r="54" spans="1:12" ht="18" customHeight="1">
      <c r="A54" s="69" t="s">
        <v>221</v>
      </c>
      <c r="B54" s="69"/>
      <c r="C54" s="69"/>
      <c r="D54" s="69"/>
      <c r="E54" s="64">
        <f>_xlfn.IFNA(VLOOKUP(封面!B1,一般公共预算财政拨款支出决算具体情况!A:AC,29,FALSE),"")</f>
        <v>8303744.8200000003</v>
      </c>
      <c r="F54" s="64"/>
      <c r="G54" s="7" t="s">
        <v>187</v>
      </c>
      <c r="H54" s="65" t="s">
        <v>213</v>
      </c>
      <c r="I54" s="65"/>
      <c r="J54" s="64">
        <f>_xlfn.IFNA(VLOOKUP(封面!B1,一般公共预算财政拨款支出决算具体情况!A:AD,30,FALSE),"")</f>
        <v>7800269.1799999997</v>
      </c>
      <c r="K54" s="64"/>
      <c r="L54" s="11" t="s">
        <v>186</v>
      </c>
    </row>
    <row r="55" spans="1:12" ht="18" customHeight="1">
      <c r="A55" s="14"/>
      <c r="B55" s="14" t="str">
        <f>IF(E54&gt;J54,"增加","减少")</f>
        <v>增加</v>
      </c>
      <c r="C55" s="64">
        <f>ABS(E54-J54)</f>
        <v>503475.6400000006</v>
      </c>
      <c r="D55" s="64"/>
      <c r="E55" s="7" t="s">
        <v>187</v>
      </c>
      <c r="F55" s="14" t="str">
        <f>IF(E54&gt;J54,"增长","下降")</f>
        <v>增长</v>
      </c>
      <c r="G55" s="33">
        <f>C55/J54</f>
        <v>6.4545931477713522E-2</v>
      </c>
      <c r="H55" s="7" t="s">
        <v>344</v>
      </c>
    </row>
    <row r="56" spans="1:12" ht="36" customHeight="1">
      <c r="B56" s="67" t="s">
        <v>446</v>
      </c>
      <c r="C56" s="67"/>
      <c r="D56" s="67"/>
      <c r="E56" s="67"/>
      <c r="F56" s="67"/>
      <c r="G56" s="67"/>
      <c r="H56" s="67"/>
      <c r="I56" s="67"/>
      <c r="J56" s="67"/>
      <c r="K56" s="67"/>
      <c r="L56" s="67"/>
    </row>
    <row r="57" spans="1:12" ht="18" customHeight="1">
      <c r="A57" s="68" t="s">
        <v>462</v>
      </c>
      <c r="B57" s="68"/>
      <c r="C57" s="68"/>
      <c r="D57" s="68"/>
      <c r="E57" s="64">
        <f>_xlfn.IFNA(VLOOKUP(封面!B1,一般公共预算财政拨款支出决算具体情况!A:AM,39,FALSE),"")</f>
        <v>16635242</v>
      </c>
      <c r="F57" s="64"/>
      <c r="G57" s="7" t="s">
        <v>187</v>
      </c>
      <c r="H57" s="65" t="s">
        <v>213</v>
      </c>
      <c r="I57" s="65"/>
      <c r="J57" s="64">
        <f>_xlfn.IFNA(VLOOKUP(封面!B1,一般公共预算财政拨款支出决算具体情况!A:AN,40,FALSE),"")</f>
        <v>16659142.32</v>
      </c>
      <c r="K57" s="64"/>
      <c r="L57" s="11" t="s">
        <v>186</v>
      </c>
    </row>
    <row r="58" spans="1:12" ht="18" customHeight="1">
      <c r="B58" s="14" t="str">
        <f>IF(E57&gt;J57,"增加","减少")</f>
        <v>减少</v>
      </c>
      <c r="C58" s="64">
        <f>ABS(E57-J57)</f>
        <v>23900.320000000298</v>
      </c>
      <c r="D58" s="64"/>
      <c r="E58" s="7" t="s">
        <v>187</v>
      </c>
      <c r="F58" s="14" t="str">
        <f>IF(E57&gt;J57,"增长","下降")</f>
        <v>下降</v>
      </c>
      <c r="G58" s="33">
        <f>C58/J57</f>
        <v>1.4346668958645583E-3</v>
      </c>
      <c r="H58" s="7" t="s">
        <v>344</v>
      </c>
      <c r="I58" s="11" t="s">
        <v>214</v>
      </c>
    </row>
    <row r="59" spans="1:12" ht="18" customHeight="1">
      <c r="A59" s="69" t="s">
        <v>222</v>
      </c>
      <c r="B59" s="69"/>
      <c r="C59" s="69"/>
      <c r="D59" s="69"/>
      <c r="E59" s="64">
        <f>_xlfn.IFNA(VLOOKUP(封面!B1,一般公共预算财政拨款支出决算具体情况!A:AO,41,FALSE),"")</f>
        <v>16635242</v>
      </c>
      <c r="F59" s="64"/>
      <c r="G59" s="7" t="s">
        <v>187</v>
      </c>
      <c r="H59" s="65" t="s">
        <v>213</v>
      </c>
      <c r="I59" s="65"/>
      <c r="J59" s="64">
        <f>_xlfn.IFNA(VLOOKUP(封面!B1,一般公共预算财政拨款支出决算具体情况!A:AP,42,FALSE),"")</f>
        <v>16659142.32</v>
      </c>
      <c r="K59" s="64"/>
      <c r="L59" s="11" t="s">
        <v>186</v>
      </c>
    </row>
    <row r="60" spans="1:12" ht="18" customHeight="1">
      <c r="A60" s="14"/>
      <c r="B60" s="14" t="str">
        <f>IF(E59&gt;J59,"增加","减少")</f>
        <v>减少</v>
      </c>
      <c r="C60" s="64">
        <f>ABS(E59-J59)</f>
        <v>23900.320000000298</v>
      </c>
      <c r="D60" s="64"/>
      <c r="E60" s="7" t="s">
        <v>187</v>
      </c>
      <c r="F60" s="14" t="str">
        <f>IF(E59&gt;J59,"增长","下降")</f>
        <v>下降</v>
      </c>
      <c r="G60" s="33">
        <f>C60/J59</f>
        <v>1.4346668958645583E-3</v>
      </c>
      <c r="H60" s="7" t="s">
        <v>344</v>
      </c>
    </row>
    <row r="61" spans="1:12" ht="36" customHeight="1">
      <c r="B61" s="67" t="s">
        <v>458</v>
      </c>
      <c r="C61" s="67"/>
      <c r="D61" s="67"/>
      <c r="E61" s="67"/>
      <c r="F61" s="67"/>
      <c r="G61" s="67"/>
      <c r="H61" s="67"/>
      <c r="I61" s="67"/>
      <c r="J61" s="67"/>
      <c r="K61" s="67"/>
      <c r="L61" s="67"/>
    </row>
    <row r="62" spans="1:12" ht="18" customHeight="1">
      <c r="A62" s="6" t="s">
        <v>223</v>
      </c>
    </row>
    <row r="63" spans="1:12" ht="18" customHeight="1">
      <c r="A63" s="7" t="str">
        <f>IF(_xlfn.IFNA(VLOOKUP(封面!B1,'2020决算导出'!A:X,24,FALSE),"")=0,"本年度无此项支出。","")</f>
        <v>本年度无此项支出。</v>
      </c>
    </row>
    <row r="64" spans="1:12" ht="18" customHeight="1">
      <c r="A64" s="6" t="s">
        <v>224</v>
      </c>
    </row>
    <row r="65" spans="1:13" ht="18" customHeight="1">
      <c r="A65" s="7" t="s">
        <v>225</v>
      </c>
    </row>
    <row r="66" spans="1:13" ht="18" customHeight="1">
      <c r="A66" s="6" t="s">
        <v>226</v>
      </c>
    </row>
    <row r="67" spans="1:13" ht="18" customHeight="1">
      <c r="A67" s="7" t="s">
        <v>227</v>
      </c>
      <c r="G67" s="64">
        <f>_xlfn.IFNA(VLOOKUP(封面!B1,'2020决算导出'!A:AA,27,FALSE),"")</f>
        <v>134997943.71000001</v>
      </c>
      <c r="H67" s="64"/>
      <c r="I67" s="11" t="s">
        <v>187</v>
      </c>
    </row>
    <row r="68" spans="1:13" ht="130.15" customHeight="1">
      <c r="A68" s="67" t="s">
        <v>228</v>
      </c>
      <c r="B68" s="67"/>
      <c r="C68" s="67"/>
      <c r="D68" s="67"/>
      <c r="E68" s="67"/>
      <c r="F68" s="67"/>
      <c r="G68" s="67"/>
      <c r="H68" s="67"/>
      <c r="I68" s="67"/>
      <c r="J68" s="67"/>
      <c r="K68" s="67"/>
      <c r="L68" s="67"/>
      <c r="M68" s="67"/>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6">
    <mergeCell ref="G67:H67"/>
    <mergeCell ref="A68:M68"/>
    <mergeCell ref="A4:M4"/>
    <mergeCell ref="B61:L61"/>
    <mergeCell ref="C58:D58"/>
    <mergeCell ref="A59:D59"/>
    <mergeCell ref="E59:F59"/>
    <mergeCell ref="H59:I59"/>
    <mergeCell ref="J59:K59"/>
    <mergeCell ref="C60:D60"/>
    <mergeCell ref="A57:D57"/>
    <mergeCell ref="E57:F57"/>
    <mergeCell ref="H57:I57"/>
    <mergeCell ref="J57:K57"/>
    <mergeCell ref="A54:D54"/>
    <mergeCell ref="E54:F54"/>
    <mergeCell ref="H54:I54"/>
    <mergeCell ref="J54:K54"/>
    <mergeCell ref="C55:D55"/>
    <mergeCell ref="B56:L56"/>
    <mergeCell ref="B51:L51"/>
    <mergeCell ref="A52:D52"/>
    <mergeCell ref="E52:F52"/>
    <mergeCell ref="H52:I52"/>
    <mergeCell ref="J52:K52"/>
    <mergeCell ref="C53:D53"/>
    <mergeCell ref="B49:L49"/>
    <mergeCell ref="A45:D45"/>
    <mergeCell ref="E45:F45"/>
    <mergeCell ref="H45:I45"/>
    <mergeCell ref="J45:K45"/>
    <mergeCell ref="A50:D50"/>
    <mergeCell ref="E50:F50"/>
    <mergeCell ref="H50:I50"/>
    <mergeCell ref="J50:K50"/>
    <mergeCell ref="C46:D46"/>
    <mergeCell ref="A47:D47"/>
    <mergeCell ref="E47:F47"/>
    <mergeCell ref="H47:I47"/>
    <mergeCell ref="J47:K47"/>
    <mergeCell ref="C48:D48"/>
    <mergeCell ref="C43:D43"/>
    <mergeCell ref="B44:L44"/>
    <mergeCell ref="C40:D40"/>
    <mergeCell ref="B41:L41"/>
    <mergeCell ref="A42:D42"/>
    <mergeCell ref="E42:F42"/>
    <mergeCell ref="H42:I42"/>
    <mergeCell ref="J42:K42"/>
    <mergeCell ref="A39:D39"/>
    <mergeCell ref="E39:F39"/>
    <mergeCell ref="H39:I39"/>
    <mergeCell ref="J39:K39"/>
    <mergeCell ref="C37:D37"/>
    <mergeCell ref="B38:L38"/>
    <mergeCell ref="B35:L35"/>
    <mergeCell ref="C32:D32"/>
    <mergeCell ref="C34:D34"/>
    <mergeCell ref="A36:D36"/>
    <mergeCell ref="E36:F36"/>
    <mergeCell ref="H36:I36"/>
    <mergeCell ref="J36:K36"/>
    <mergeCell ref="A33:D33"/>
    <mergeCell ref="E33:F33"/>
    <mergeCell ref="H33:I33"/>
    <mergeCell ref="J33:K33"/>
    <mergeCell ref="A31:D31"/>
    <mergeCell ref="E31:F31"/>
    <mergeCell ref="H31:I31"/>
    <mergeCell ref="J31:K31"/>
    <mergeCell ref="A29:C29"/>
    <mergeCell ref="D29:E29"/>
    <mergeCell ref="G29:H29"/>
    <mergeCell ref="G27:H27"/>
    <mergeCell ref="D26:E26"/>
    <mergeCell ref="G26:H26"/>
    <mergeCell ref="A27:C27"/>
    <mergeCell ref="A26:C26"/>
    <mergeCell ref="D27:E27"/>
    <mergeCell ref="A25:E25"/>
    <mergeCell ref="F25:G25"/>
    <mergeCell ref="A19:C19"/>
    <mergeCell ref="F19:G19"/>
    <mergeCell ref="A21:D21"/>
    <mergeCell ref="E21:F21"/>
    <mergeCell ref="A28:C28"/>
    <mergeCell ref="D28:E28"/>
    <mergeCell ref="G28:H28"/>
    <mergeCell ref="A18:C18"/>
    <mergeCell ref="F18:G18"/>
    <mergeCell ref="A13:C13"/>
    <mergeCell ref="F13:G13"/>
    <mergeCell ref="A14:C14"/>
    <mergeCell ref="F14:G14"/>
    <mergeCell ref="A15:C15"/>
    <mergeCell ref="F15:G15"/>
    <mergeCell ref="B22:M22"/>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6" workbookViewId="0">
      <selection activeCell="A3" sqref="A3:XFD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0" t="s">
        <v>271</v>
      </c>
      <c r="B1" s="60"/>
      <c r="C1" s="60"/>
      <c r="D1" s="60"/>
      <c r="E1" s="60"/>
      <c r="F1" s="60"/>
      <c r="G1" s="60"/>
      <c r="H1" s="60"/>
      <c r="I1" s="60"/>
      <c r="J1" s="60"/>
      <c r="K1" s="60"/>
      <c r="L1" s="60"/>
      <c r="M1" s="60"/>
      <c r="N1" s="60"/>
    </row>
    <row r="2" spans="1:14" ht="18" customHeight="1">
      <c r="A2" s="6" t="s">
        <v>229</v>
      </c>
    </row>
    <row r="3" spans="1:14" ht="18" customHeight="1">
      <c r="A3" s="7" t="s">
        <v>230</v>
      </c>
      <c r="F3" s="64">
        <f>_xlfn.IFNA(VLOOKUP(封面!B1,'2020决算导出'!A:AB,28,FALSE),"")</f>
        <v>10507.09</v>
      </c>
      <c r="G3" s="64"/>
      <c r="H3" s="7" t="s">
        <v>187</v>
      </c>
      <c r="I3" s="7" t="s">
        <v>231</v>
      </c>
    </row>
    <row r="4" spans="1:14" ht="18" customHeight="1">
      <c r="A4" s="72">
        <f>_xlfn.IFNA(VLOOKUP(封面!B1,'2020决算导出'!A:AC,29,FALSE),"")</f>
        <v>27000</v>
      </c>
      <c r="B4" s="72"/>
      <c r="C4" s="7" t="s">
        <v>186</v>
      </c>
      <c r="D4" s="29" t="str">
        <f>IF(F3&gt;A4,"增加","减少")</f>
        <v>减少</v>
      </c>
      <c r="E4" s="72">
        <f>ABS(F3-A4)</f>
        <v>16492.91</v>
      </c>
      <c r="F4" s="72"/>
      <c r="G4" s="7" t="s">
        <v>233</v>
      </c>
    </row>
    <row r="5" spans="1:14" ht="18" customHeight="1">
      <c r="A5" s="7" t="s">
        <v>234</v>
      </c>
    </row>
    <row r="6" spans="1:14" ht="18" customHeight="1">
      <c r="A6" s="55" t="s">
        <v>444</v>
      </c>
      <c r="B6" s="18"/>
      <c r="C6" s="18"/>
      <c r="D6" s="18"/>
      <c r="E6" s="18"/>
      <c r="F6" s="18"/>
      <c r="G6" s="18"/>
      <c r="H6" s="18"/>
      <c r="I6" s="18"/>
      <c r="J6" s="18"/>
      <c r="K6" s="18"/>
      <c r="L6" s="18"/>
      <c r="M6" s="18"/>
      <c r="N6" s="18"/>
    </row>
    <row r="7" spans="1:14" ht="18" customHeight="1">
      <c r="A7" s="7" t="s">
        <v>236</v>
      </c>
    </row>
    <row r="8" spans="1:14" ht="39" customHeight="1">
      <c r="A8" s="71" t="s">
        <v>456</v>
      </c>
      <c r="B8" s="71"/>
      <c r="C8" s="71"/>
      <c r="D8" s="71"/>
      <c r="E8" s="71"/>
      <c r="F8" s="71"/>
      <c r="G8" s="71"/>
      <c r="H8" s="71"/>
      <c r="I8" s="71"/>
      <c r="J8" s="71"/>
      <c r="K8" s="71"/>
      <c r="L8" s="71"/>
      <c r="M8" s="71"/>
      <c r="N8" s="71"/>
    </row>
    <row r="9" spans="1:14" ht="18" customHeight="1">
      <c r="A9" s="7" t="s">
        <v>237</v>
      </c>
    </row>
    <row r="10" spans="1:14" ht="18" customHeight="1">
      <c r="A10" s="62" t="s">
        <v>235</v>
      </c>
      <c r="B10" s="62"/>
      <c r="C10" s="34">
        <f>_xlfn.IFNA(VLOOKUP(封面!B1,'2020决算导出'!A:AI,35,FALSE),"")</f>
        <v>10507.09</v>
      </c>
      <c r="D10" s="7" t="s">
        <v>187</v>
      </c>
      <c r="E10" s="62" t="s">
        <v>238</v>
      </c>
      <c r="F10" s="62"/>
      <c r="G10" s="62"/>
      <c r="H10" s="72">
        <f>_xlfn.IFNA(VLOOKUP(封面!B1,'2020决算导出'!A:AJ,36,FALSE),"")</f>
        <v>27000</v>
      </c>
      <c r="I10" s="72"/>
      <c r="J10" s="15" t="s">
        <v>186</v>
      </c>
      <c r="K10" s="29" t="str">
        <f>IF(C10&gt;H10,"增加","减少")</f>
        <v>减少</v>
      </c>
      <c r="L10" s="72">
        <f>ABS(C10-H10)</f>
        <v>16492.91</v>
      </c>
      <c r="M10" s="72"/>
      <c r="N10" s="7" t="s">
        <v>232</v>
      </c>
    </row>
    <row r="11" spans="1:14" ht="18" customHeight="1">
      <c r="A11" s="62" t="s">
        <v>239</v>
      </c>
      <c r="B11" s="62"/>
      <c r="C11" s="62"/>
      <c r="D11" s="62"/>
      <c r="E11" s="62"/>
      <c r="F11" s="72">
        <f>_xlfn.IFNA(VLOOKUP(封面!B1,'2020决算导出'!A:AK,37,FALSE),"")</f>
        <v>0</v>
      </c>
      <c r="G11" s="72"/>
      <c r="H11" s="16" t="s">
        <v>187</v>
      </c>
      <c r="I11" s="62" t="s">
        <v>238</v>
      </c>
      <c r="J11" s="62"/>
      <c r="K11" s="62"/>
      <c r="L11" s="72">
        <f>_xlfn.IFNA(VLOOKUP(封面!B1,'2020决算导出'!A:AL,38,FALSE),"")</f>
        <v>0</v>
      </c>
      <c r="M11" s="72"/>
      <c r="N11" s="7" t="s">
        <v>186</v>
      </c>
    </row>
    <row r="12" spans="1:14" ht="18" customHeight="1">
      <c r="A12" s="14" t="str">
        <f>IF(F11&gt;L11,"增加","减少")</f>
        <v>减少</v>
      </c>
      <c r="B12" s="72">
        <f>ABS(F11-L11)</f>
        <v>0</v>
      </c>
      <c r="C12" s="72"/>
      <c r="D12" s="7" t="s">
        <v>232</v>
      </c>
      <c r="H12" s="72"/>
      <c r="I12" s="72"/>
      <c r="J12" s="15"/>
    </row>
    <row r="13" spans="1:14" ht="36" customHeight="1">
      <c r="A13" s="67" t="s">
        <v>457</v>
      </c>
      <c r="B13" s="67"/>
      <c r="C13" s="67"/>
      <c r="D13" s="67"/>
      <c r="E13" s="67"/>
      <c r="F13" s="67"/>
      <c r="G13" s="67"/>
      <c r="H13" s="67"/>
      <c r="I13" s="67"/>
      <c r="J13" s="67"/>
      <c r="K13" s="67"/>
      <c r="L13" s="67"/>
      <c r="M13" s="67"/>
      <c r="N13" s="67"/>
    </row>
    <row r="14" spans="1:14" ht="18" customHeight="1">
      <c r="A14" s="62" t="s">
        <v>240</v>
      </c>
      <c r="B14" s="62"/>
      <c r="C14" s="62"/>
      <c r="D14" s="8">
        <f>_xlfn.IFNA(VLOOKUP(封面!B1,'2020决算导出'!A:AM,39,FALSE),"")</f>
        <v>0</v>
      </c>
      <c r="E14" s="7" t="s">
        <v>241</v>
      </c>
      <c r="F14" s="62" t="s">
        <v>242</v>
      </c>
      <c r="G14" s="62"/>
      <c r="H14" s="72">
        <f>IF(D14=0,0,F11/D14)</f>
        <v>0</v>
      </c>
      <c r="I14" s="72"/>
      <c r="J14" s="7" t="s">
        <v>232</v>
      </c>
    </row>
    <row r="15" spans="1:14" ht="18" customHeight="1">
      <c r="A15" s="65" t="s">
        <v>243</v>
      </c>
      <c r="B15" s="65"/>
      <c r="C15" s="65"/>
      <c r="D15" s="65"/>
      <c r="E15" s="65"/>
      <c r="F15" s="72">
        <f>_xlfn.IFNA(VLOOKUP(封面!B1,'2020决算导出'!A:AO,41,FALSE),"")</f>
        <v>10507.09</v>
      </c>
      <c r="G15" s="72" t="s">
        <v>187</v>
      </c>
      <c r="H15" s="7" t="s">
        <v>187</v>
      </c>
      <c r="I15" s="7" t="s">
        <v>238</v>
      </c>
      <c r="L15" s="72">
        <f>_xlfn.IFNA(VLOOKUP(封面!B1,'2020决算导出'!A:AP,42,FALSE),"")</f>
        <v>27000</v>
      </c>
      <c r="M15" s="72" t="s">
        <v>187</v>
      </c>
      <c r="N15" s="7" t="s">
        <v>187</v>
      </c>
    </row>
    <row r="16" spans="1:14" ht="18" customHeight="1">
      <c r="A16" s="14" t="str">
        <f>IF(F15&gt;L15,"增加","减少")</f>
        <v>减少</v>
      </c>
      <c r="B16" s="72">
        <f>ABS(F15-L15)</f>
        <v>16492.91</v>
      </c>
      <c r="C16" s="72"/>
      <c r="D16" s="7" t="s">
        <v>232</v>
      </c>
    </row>
    <row r="17" spans="1:14" ht="36" customHeight="1">
      <c r="A17" s="67" t="s">
        <v>447</v>
      </c>
      <c r="B17" s="67"/>
      <c r="C17" s="67"/>
      <c r="D17" s="67"/>
      <c r="E17" s="67"/>
      <c r="F17" s="67"/>
      <c r="G17" s="67"/>
      <c r="H17" s="67"/>
      <c r="I17" s="67"/>
      <c r="J17" s="67"/>
      <c r="K17" s="67"/>
      <c r="L17" s="67"/>
      <c r="M17" s="67"/>
      <c r="N17" s="67"/>
    </row>
    <row r="18" spans="1:14" ht="18" customHeight="1">
      <c r="A18" s="62" t="s">
        <v>244</v>
      </c>
      <c r="B18" s="62"/>
      <c r="C18" s="62"/>
      <c r="D18" s="62"/>
      <c r="E18" s="62"/>
      <c r="F18" s="62"/>
      <c r="G18" s="72">
        <f>_xlfn.IFNA(VLOOKUP(封面!B1,'2020决算导出'!A:AQ,43,FALSE),"")</f>
        <v>0</v>
      </c>
      <c r="H18" s="72" t="s">
        <v>187</v>
      </c>
      <c r="I18" s="7" t="s">
        <v>187</v>
      </c>
      <c r="J18" s="7" t="s">
        <v>245</v>
      </c>
      <c r="L18" s="72">
        <f>_xlfn.IFNA(VLOOKUP(封面!B1,'2020决算导出'!A:AR,44,FALSE),"")</f>
        <v>7409.53</v>
      </c>
      <c r="M18" s="72" t="s">
        <v>187</v>
      </c>
      <c r="N18" s="7" t="s">
        <v>187</v>
      </c>
    </row>
    <row r="19" spans="1:14" ht="18" customHeight="1">
      <c r="A19" s="62" t="s">
        <v>246</v>
      </c>
      <c r="B19" s="62"/>
      <c r="C19" s="72">
        <f>_xlfn.IFNA(VLOOKUP(封面!B1,'2020决算导出'!A:AS,45,FALSE),"")</f>
        <v>2319.56</v>
      </c>
      <c r="D19" s="72" t="s">
        <v>187</v>
      </c>
      <c r="E19" s="7" t="s">
        <v>187</v>
      </c>
      <c r="F19" s="62" t="s">
        <v>247</v>
      </c>
      <c r="G19" s="62"/>
      <c r="H19" s="62"/>
      <c r="I19" s="72">
        <f>_xlfn.IFNA(VLOOKUP(封面!B1,'2020决算导出'!A:AT,46,FALSE),"")</f>
        <v>778</v>
      </c>
      <c r="J19" s="72" t="s">
        <v>187</v>
      </c>
      <c r="K19" s="7" t="s">
        <v>232</v>
      </c>
    </row>
    <row r="20" spans="1:14" ht="18" customHeight="1">
      <c r="A20" s="62" t="s">
        <v>248</v>
      </c>
      <c r="B20" s="62"/>
      <c r="C20" s="62"/>
      <c r="D20" s="8">
        <f>_xlfn.IFNA(VLOOKUP(封面!B1,'2020决算导出'!A:AU,47,FALSE),"")</f>
        <v>1</v>
      </c>
      <c r="E20" s="66" t="s">
        <v>439</v>
      </c>
      <c r="F20" s="66"/>
      <c r="G20" s="66"/>
      <c r="H20" s="66"/>
      <c r="I20" s="66"/>
      <c r="J20" s="66"/>
      <c r="K20" s="66"/>
      <c r="L20" s="66"/>
      <c r="M20" s="54">
        <f>F15/D20</f>
        <v>10507.09</v>
      </c>
      <c r="N20" s="7" t="s">
        <v>232</v>
      </c>
    </row>
    <row r="21" spans="1:14" ht="18" customHeight="1">
      <c r="A21" s="6" t="s">
        <v>249</v>
      </c>
    </row>
    <row r="22" spans="1:14" ht="18" customHeight="1">
      <c r="A22" s="7" t="s">
        <v>250</v>
      </c>
    </row>
    <row r="23" spans="1:14" ht="18" customHeight="1">
      <c r="A23" s="6" t="s">
        <v>251</v>
      </c>
    </row>
    <row r="24" spans="1:14" ht="18" customHeight="1">
      <c r="A24" s="62" t="s">
        <v>252</v>
      </c>
      <c r="B24" s="62"/>
      <c r="C24" s="62"/>
      <c r="D24" s="62"/>
      <c r="E24" s="64">
        <f>_xlfn.IFNA(VLOOKUP(封面!B1,'2020决算导出'!A:AW,49,FALSE),"")</f>
        <v>1992019.4</v>
      </c>
      <c r="F24" s="64"/>
      <c r="G24" s="7" t="s">
        <v>187</v>
      </c>
      <c r="H24" s="62" t="s">
        <v>253</v>
      </c>
      <c r="I24" s="62"/>
      <c r="J24" s="62"/>
      <c r="K24" s="62"/>
      <c r="L24" s="64">
        <f>_xlfn.IFNA(VLOOKUP(封面!B1,'2020决算导出'!A:AX,50,FALSE),"")</f>
        <v>859219.4</v>
      </c>
      <c r="M24" s="64" t="s">
        <v>187</v>
      </c>
      <c r="N24" s="7" t="s">
        <v>187</v>
      </c>
    </row>
    <row r="25" spans="1:14" ht="18" customHeight="1">
      <c r="A25" s="62" t="s">
        <v>254</v>
      </c>
      <c r="B25" s="62"/>
      <c r="C25" s="62"/>
      <c r="D25" s="64">
        <f>_xlfn.IFNA(VLOOKUP(封面!B1,'2020决算导出'!A:AY,51,FALSE),"")</f>
        <v>0</v>
      </c>
      <c r="E25" s="64" t="s">
        <v>187</v>
      </c>
      <c r="F25" s="7" t="s">
        <v>187</v>
      </c>
      <c r="G25" s="62" t="s">
        <v>255</v>
      </c>
      <c r="H25" s="62"/>
      <c r="I25" s="62"/>
      <c r="J25" s="64">
        <f>_xlfn.IFNA(VLOOKUP(封面!B1,'2020决算导出'!A:AZ,52,FALSE),"")</f>
        <v>1132800</v>
      </c>
      <c r="K25" s="64" t="s">
        <v>187</v>
      </c>
      <c r="L25" s="7" t="s">
        <v>232</v>
      </c>
    </row>
    <row r="26" spans="1:14" ht="18" customHeight="1">
      <c r="A26" s="62" t="s">
        <v>256</v>
      </c>
      <c r="B26" s="62"/>
      <c r="C26" s="62"/>
      <c r="D26" s="62"/>
      <c r="E26" s="64">
        <f>_xlfn.IFNA(VLOOKUP(封面!B1,'2020决算导出'!A:BA,53,FALSE),"")</f>
        <v>1992019.4</v>
      </c>
      <c r="F26" s="64" t="s">
        <v>187</v>
      </c>
      <c r="G26" s="7" t="s">
        <v>187</v>
      </c>
      <c r="H26" s="65" t="s">
        <v>257</v>
      </c>
      <c r="I26" s="65"/>
      <c r="J26" s="65"/>
      <c r="K26" s="28">
        <f>E26/$E$24</f>
        <v>1</v>
      </c>
      <c r="L26" s="17" t="s">
        <v>342</v>
      </c>
      <c r="M26" s="7" t="s">
        <v>440</v>
      </c>
    </row>
    <row r="27" spans="1:14" ht="18" customHeight="1">
      <c r="A27" s="62" t="s">
        <v>258</v>
      </c>
      <c r="B27" s="62"/>
      <c r="C27" s="62"/>
      <c r="D27" s="62"/>
      <c r="E27" s="64">
        <f>_xlfn.IFNA(VLOOKUP(封面!B1,'2020决算导出'!A:BB,54,FALSE),"")</f>
        <v>0</v>
      </c>
      <c r="F27" s="64" t="s">
        <v>187</v>
      </c>
      <c r="G27" s="7" t="s">
        <v>187</v>
      </c>
      <c r="H27" s="65" t="s">
        <v>257</v>
      </c>
      <c r="I27" s="65"/>
      <c r="J27" s="65"/>
      <c r="K27" s="28">
        <f>E27/$E$24</f>
        <v>0</v>
      </c>
      <c r="L27" s="17" t="s">
        <v>344</v>
      </c>
    </row>
    <row r="28" spans="1:14" ht="18" customHeight="1">
      <c r="A28" s="6" t="s">
        <v>259</v>
      </c>
    </row>
    <row r="29" spans="1:14" ht="18" customHeight="1">
      <c r="A29" s="62" t="s">
        <v>260</v>
      </c>
      <c r="B29" s="62"/>
      <c r="C29" s="8">
        <f>_xlfn.IFNA(VLOOKUP(封面!B1,'2020决算导出'!A:BC,55,FALSE),"")</f>
        <v>1</v>
      </c>
      <c r="D29" s="7" t="s">
        <v>261</v>
      </c>
      <c r="M29" s="72">
        <f>_xlfn.IFNA(VLOOKUP(封面!B1,'2020决算导出'!A:BD,56,FALSE),"")</f>
        <v>124524</v>
      </c>
      <c r="N29" s="72" t="s">
        <v>187</v>
      </c>
    </row>
    <row r="30" spans="1:14" ht="18" customHeight="1">
      <c r="A30" s="12" t="s">
        <v>262</v>
      </c>
      <c r="B30" s="62" t="s">
        <v>263</v>
      </c>
      <c r="C30" s="62"/>
      <c r="D30" s="62"/>
      <c r="E30" s="62"/>
      <c r="F30" s="62"/>
      <c r="G30" s="8">
        <f>_xlfn.IFNA(VLOOKUP(封面!B1,'2020决算导出'!A:BE,57,FALSE),"")</f>
        <v>10</v>
      </c>
      <c r="H30" s="7" t="s">
        <v>264</v>
      </c>
      <c r="J30" s="7" t="s">
        <v>265</v>
      </c>
    </row>
    <row r="31" spans="1:14" ht="18" customHeight="1">
      <c r="A31" s="12">
        <f>_xlfn.IFNA(VLOOKUP(封面!B1,'2020决算导出'!A:BF,58,FALSE),"")</f>
        <v>0</v>
      </c>
      <c r="B31" s="7" t="s">
        <v>266</v>
      </c>
    </row>
    <row r="32" spans="1:14" ht="18" customHeight="1">
      <c r="A32" s="6" t="s">
        <v>267</v>
      </c>
    </row>
    <row r="33" spans="1:14" ht="18" customHeight="1">
      <c r="A33" s="7" t="s">
        <v>268</v>
      </c>
    </row>
    <row r="34" spans="1:14" ht="18" customHeight="1">
      <c r="A34" s="6" t="s">
        <v>269</v>
      </c>
    </row>
    <row r="35" spans="1:14" ht="304.14999999999998" customHeight="1">
      <c r="A35" s="67" t="s">
        <v>270</v>
      </c>
      <c r="B35" s="67"/>
      <c r="C35" s="67"/>
      <c r="D35" s="67"/>
      <c r="E35" s="67"/>
      <c r="F35" s="67"/>
      <c r="G35" s="67"/>
      <c r="H35" s="67"/>
      <c r="I35" s="67"/>
      <c r="J35" s="67"/>
      <c r="K35" s="67"/>
      <c r="L35" s="67"/>
      <c r="M35" s="67"/>
      <c r="N35" s="67"/>
    </row>
  </sheetData>
  <mergeCells count="51">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3:G3"/>
    <mergeCell ref="A4:B4"/>
    <mergeCell ref="E4:F4"/>
    <mergeCell ref="A17:N17"/>
    <mergeCell ref="I11:K11"/>
    <mergeCell ref="H12:I12"/>
    <mergeCell ref="B12:C12"/>
    <mergeCell ref="F11:G11"/>
    <mergeCell ref="L11:M11"/>
    <mergeCell ref="A13:N13"/>
    <mergeCell ref="H14:I14"/>
    <mergeCell ref="F15:G15"/>
    <mergeCell ref="L15:M15"/>
    <mergeCell ref="B16:C16"/>
    <mergeCell ref="A11:E11"/>
    <mergeCell ref="A14:C14"/>
    <mergeCell ref="F14:G14"/>
    <mergeCell ref="A15:E15"/>
    <mergeCell ref="A8:N8"/>
    <mergeCell ref="A10:B10"/>
    <mergeCell ref="E10:G10"/>
    <mergeCell ref="H10:I10"/>
    <mergeCell ref="L10:M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O2" sqref="O2"/>
    </sheetView>
  </sheetViews>
  <sheetFormatPr defaultRowHeight="14.25"/>
  <sheetData>
    <row r="1" spans="1:14" s="7" customFormat="1" ht="35.450000000000003" customHeight="1">
      <c r="A1" s="60" t="s">
        <v>272</v>
      </c>
      <c r="B1" s="60"/>
      <c r="C1" s="60"/>
      <c r="D1" s="60"/>
      <c r="E1" s="60"/>
      <c r="F1" s="60"/>
      <c r="G1" s="60"/>
      <c r="H1" s="60"/>
      <c r="I1" s="60"/>
      <c r="J1" s="60"/>
      <c r="K1" s="60"/>
      <c r="L1" s="60"/>
      <c r="M1" s="60"/>
      <c r="N1" s="60"/>
    </row>
    <row r="2" spans="1:14" ht="281.45" customHeight="1">
      <c r="A2" s="67" t="s">
        <v>448</v>
      </c>
      <c r="B2" s="67"/>
      <c r="C2" s="67"/>
      <c r="D2" s="67"/>
      <c r="E2" s="67"/>
      <c r="F2" s="67"/>
      <c r="G2" s="67"/>
      <c r="H2" s="67"/>
      <c r="I2" s="67"/>
      <c r="J2" s="67"/>
      <c r="K2" s="67"/>
      <c r="L2" s="67"/>
      <c r="M2" s="67"/>
      <c r="N2" s="6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5"/>
    <col min="2" max="2" width="18.875" style="35" customWidth="1"/>
    <col min="3" max="16384" width="8.875" style="35"/>
  </cols>
  <sheetData>
    <row r="1" spans="1:58" ht="48">
      <c r="A1" s="20" t="s">
        <v>278</v>
      </c>
      <c r="B1" s="21" t="s">
        <v>279</v>
      </c>
      <c r="C1" s="21" t="s">
        <v>274</v>
      </c>
      <c r="D1" s="21" t="s">
        <v>280</v>
      </c>
      <c r="E1" s="21" t="s">
        <v>281</v>
      </c>
      <c r="F1" s="21" t="s">
        <v>282</v>
      </c>
      <c r="G1" s="21" t="s">
        <v>283</v>
      </c>
      <c r="H1" s="21" t="s">
        <v>284</v>
      </c>
      <c r="I1" s="21" t="s">
        <v>285</v>
      </c>
      <c r="J1" s="21" t="s">
        <v>286</v>
      </c>
      <c r="K1" s="21" t="s">
        <v>287</v>
      </c>
      <c r="L1" s="21" t="s">
        <v>288</v>
      </c>
      <c r="M1" s="21" t="s">
        <v>289</v>
      </c>
      <c r="N1" s="21" t="s">
        <v>290</v>
      </c>
      <c r="O1" s="21" t="s">
        <v>291</v>
      </c>
      <c r="P1" s="21" t="s">
        <v>292</v>
      </c>
      <c r="Q1" s="21" t="s">
        <v>293</v>
      </c>
      <c r="R1" s="21" t="s">
        <v>294</v>
      </c>
      <c r="S1" s="21" t="s">
        <v>295</v>
      </c>
      <c r="T1" s="21" t="s">
        <v>296</v>
      </c>
      <c r="U1" s="21" t="s">
        <v>297</v>
      </c>
      <c r="V1" s="21" t="s">
        <v>298</v>
      </c>
      <c r="W1" s="21" t="s">
        <v>299</v>
      </c>
      <c r="X1" s="21" t="s">
        <v>300</v>
      </c>
      <c r="Y1" s="21" t="s">
        <v>301</v>
      </c>
      <c r="Z1" s="21" t="s">
        <v>346</v>
      </c>
      <c r="AA1" s="21" t="s">
        <v>302</v>
      </c>
      <c r="AB1" s="21" t="s">
        <v>303</v>
      </c>
      <c r="AC1" s="21" t="s">
        <v>304</v>
      </c>
      <c r="AD1" s="21" t="s">
        <v>305</v>
      </c>
      <c r="AE1" s="21" t="s">
        <v>306</v>
      </c>
      <c r="AF1" s="21" t="s">
        <v>307</v>
      </c>
      <c r="AG1" s="21" t="s">
        <v>308</v>
      </c>
      <c r="AH1" s="21" t="s">
        <v>309</v>
      </c>
      <c r="AI1" s="21" t="s">
        <v>310</v>
      </c>
      <c r="AJ1" s="21" t="s">
        <v>311</v>
      </c>
      <c r="AK1" s="21" t="s">
        <v>312</v>
      </c>
      <c r="AL1" s="21" t="s">
        <v>313</v>
      </c>
      <c r="AM1" s="21" t="s">
        <v>347</v>
      </c>
      <c r="AN1" s="21" t="s">
        <v>348</v>
      </c>
      <c r="AO1" s="21" t="s">
        <v>314</v>
      </c>
      <c r="AP1" s="21" t="s">
        <v>315</v>
      </c>
      <c r="AQ1" s="21" t="s">
        <v>316</v>
      </c>
      <c r="AR1" s="21" t="s">
        <v>317</v>
      </c>
      <c r="AS1" s="21" t="s">
        <v>318</v>
      </c>
      <c r="AT1" s="21" t="s">
        <v>319</v>
      </c>
      <c r="AU1" s="21" t="s">
        <v>320</v>
      </c>
      <c r="AV1" s="21" t="s">
        <v>349</v>
      </c>
      <c r="AW1" s="21" t="s">
        <v>321</v>
      </c>
      <c r="AX1" s="21" t="s">
        <v>322</v>
      </c>
      <c r="AY1" s="21" t="s">
        <v>323</v>
      </c>
      <c r="AZ1" s="21" t="s">
        <v>324</v>
      </c>
      <c r="BA1" s="21" t="s">
        <v>325</v>
      </c>
      <c r="BB1" s="21" t="s">
        <v>326</v>
      </c>
      <c r="BC1" s="21" t="s">
        <v>327</v>
      </c>
      <c r="BD1" s="21" t="s">
        <v>441</v>
      </c>
      <c r="BE1" s="21" t="s">
        <v>328</v>
      </c>
      <c r="BF1" s="21" t="s">
        <v>329</v>
      </c>
    </row>
    <row r="2" spans="1:58">
      <c r="A2" s="23">
        <v>255001</v>
      </c>
      <c r="B2" s="24" t="s">
        <v>330</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331</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332</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278</v>
      </c>
      <c r="B1" s="21" t="s">
        <v>279</v>
      </c>
      <c r="C1" s="21" t="s">
        <v>333</v>
      </c>
      <c r="D1" s="21" t="s">
        <v>334</v>
      </c>
      <c r="E1" s="21" t="s">
        <v>335</v>
      </c>
      <c r="F1" s="21" t="s">
        <v>336</v>
      </c>
    </row>
    <row r="2" spans="1:6">
      <c r="A2" s="23">
        <v>255001</v>
      </c>
      <c r="B2" s="24" t="s">
        <v>330</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337</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338</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339</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340</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9" width="8.625" style="46"/>
    <col min="20" max="22" width="8.75" style="46" customWidth="1"/>
    <col min="23" max="16384" width="8.625" style="46"/>
  </cols>
  <sheetData>
    <row r="1" spans="1:42" s="41" customFormat="1" ht="60">
      <c r="A1" s="41" t="s">
        <v>350</v>
      </c>
      <c r="B1" s="41" t="s">
        <v>387</v>
      </c>
      <c r="C1" s="41" t="s">
        <v>388</v>
      </c>
      <c r="D1" s="41" t="s">
        <v>389</v>
      </c>
      <c r="E1" s="41" t="s">
        <v>390</v>
      </c>
      <c r="F1" s="41" t="s">
        <v>391</v>
      </c>
      <c r="G1" s="41" t="s">
        <v>392</v>
      </c>
      <c r="H1" s="41" t="s">
        <v>393</v>
      </c>
      <c r="I1" s="41" t="s">
        <v>394</v>
      </c>
      <c r="J1" s="41" t="s">
        <v>395</v>
      </c>
      <c r="K1" s="41" t="s">
        <v>396</v>
      </c>
      <c r="L1" s="41" t="s">
        <v>397</v>
      </c>
      <c r="M1" s="41" t="s">
        <v>398</v>
      </c>
      <c r="N1" s="41" t="s">
        <v>399</v>
      </c>
      <c r="O1" s="41" t="s">
        <v>400</v>
      </c>
      <c r="P1" s="41" t="s">
        <v>401</v>
      </c>
      <c r="Q1" s="41" t="s">
        <v>402</v>
      </c>
      <c r="R1" s="41" t="s">
        <v>403</v>
      </c>
      <c r="S1" s="41" t="s">
        <v>404</v>
      </c>
      <c r="T1" s="41" t="s">
        <v>405</v>
      </c>
      <c r="U1" s="41" t="s">
        <v>406</v>
      </c>
      <c r="V1" s="41" t="s">
        <v>407</v>
      </c>
      <c r="W1" s="41" t="s">
        <v>408</v>
      </c>
      <c r="X1" s="41" t="s">
        <v>409</v>
      </c>
      <c r="Y1" s="41" t="s">
        <v>410</v>
      </c>
      <c r="Z1" s="41" t="s">
        <v>411</v>
      </c>
      <c r="AA1" s="41" t="s">
        <v>412</v>
      </c>
      <c r="AB1" s="41" t="s">
        <v>413</v>
      </c>
      <c r="AC1" s="41" t="s">
        <v>414</v>
      </c>
      <c r="AD1" s="41" t="s">
        <v>415</v>
      </c>
      <c r="AE1" s="41" t="s">
        <v>416</v>
      </c>
      <c r="AF1" s="41" t="s">
        <v>417</v>
      </c>
      <c r="AG1" s="41" t="s">
        <v>418</v>
      </c>
      <c r="AH1" s="41" t="s">
        <v>419</v>
      </c>
      <c r="AI1" s="41" t="s">
        <v>420</v>
      </c>
      <c r="AJ1" s="41" t="s">
        <v>421</v>
      </c>
      <c r="AK1" s="41" t="s">
        <v>422</v>
      </c>
      <c r="AL1" s="41" t="s">
        <v>423</v>
      </c>
      <c r="AM1" s="41" t="s">
        <v>424</v>
      </c>
      <c r="AN1" s="41" t="s">
        <v>425</v>
      </c>
      <c r="AO1" s="41" t="s">
        <v>426</v>
      </c>
      <c r="AP1" s="41" t="s">
        <v>427</v>
      </c>
    </row>
    <row r="2" spans="1:42">
      <c r="A2" s="42">
        <v>255001</v>
      </c>
      <c r="B2" s="43" t="s">
        <v>330</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331</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428</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429</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2021-09-01T06:04:38Z</cp:lastPrinted>
  <dcterms:created xsi:type="dcterms:W3CDTF">2021-08-26T09:47:38Z</dcterms:created>
  <dcterms:modified xsi:type="dcterms:W3CDTF">2021-09-02T02:42:36Z</dcterms:modified>
</cp:coreProperties>
</file>