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lockStructure="1"/>
  <bookViews>
    <workbookView xWindow="-108" yWindow="-108" windowWidth="20736" windowHeight="1176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A3" i="6"/>
  <c r="D33" i="5" l="1"/>
  <c r="A14" i="6"/>
  <c r="G13" i="6"/>
  <c r="M12" i="6"/>
  <c r="C12" i="6"/>
  <c r="E10" i="6" l="1"/>
  <c r="E9" i="6"/>
  <c r="J8" i="6"/>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s="1"/>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s="1"/>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s="1"/>
  <c r="C1596" i="10" s="1"/>
  <c r="E1595" i="10"/>
  <c r="D1595" i="10"/>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s="1"/>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s="1"/>
  <c r="C1560" i="10" s="1"/>
  <c r="E1559" i="10"/>
  <c r="D1559" i="10" s="1"/>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c r="C1531" i="10" s="1"/>
  <c r="E1530" i="10"/>
  <c r="D1530" i="10" s="1"/>
  <c r="C1530" i="10" s="1"/>
  <c r="E1529" i="10"/>
  <c r="D1529" i="10" s="1"/>
  <c r="C1529" i="10" s="1"/>
  <c r="E1528" i="10"/>
  <c r="D1528" i="10" s="1"/>
  <c r="C1528" i="10" s="1"/>
  <c r="E1527" i="10"/>
  <c r="D1527" i="10" s="1"/>
  <c r="C1527" i="10" s="1"/>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s="1"/>
  <c r="C1503" i="10" s="1"/>
  <c r="E1502" i="10"/>
  <c r="D1502" i="10" s="1"/>
  <c r="C1502" i="10" s="1"/>
  <c r="E1501" i="10"/>
  <c r="D1501" i="10" s="1"/>
  <c r="C1501" i="10" s="1"/>
  <c r="E1500" i="10"/>
  <c r="D1500" i="10" s="1"/>
  <c r="C1500" i="10" s="1"/>
  <c r="E1499" i="10"/>
  <c r="D1499" i="10"/>
  <c r="C1499" i="10" s="1"/>
  <c r="E1498" i="10"/>
  <c r="D1498" i="10" s="1"/>
  <c r="C1498" i="10" s="1"/>
  <c r="E1497" i="10"/>
  <c r="D1497" i="10" s="1"/>
  <c r="C1497" i="10" s="1"/>
  <c r="E1496" i="10"/>
  <c r="D1496" i="10" s="1"/>
  <c r="C1496" i="10" s="1"/>
  <c r="E1495" i="10"/>
  <c r="D1495" i="10" s="1"/>
  <c r="C1495" i="10" s="1"/>
  <c r="E1494" i="10"/>
  <c r="D1494" i="10" s="1"/>
  <c r="E1493" i="10"/>
  <c r="D1493" i="10" s="1"/>
  <c r="C1493" i="10" s="1"/>
  <c r="E1492" i="10"/>
  <c r="D1492" i="10"/>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s="1"/>
  <c r="C1471" i="10" s="1"/>
  <c r="E1470" i="10"/>
  <c r="D1470" i="10" s="1"/>
  <c r="C1470" i="10" s="1"/>
  <c r="E1469" i="10"/>
  <c r="D1469" i="10" s="1"/>
  <c r="C1469" i="10" s="1"/>
  <c r="E1468" i="10"/>
  <c r="D1468" i="10"/>
  <c r="C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c r="C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C1363" i="10" s="1"/>
  <c r="E1362" i="10"/>
  <c r="D1362" i="10" s="1"/>
  <c r="C1362" i="10" s="1"/>
  <c r="E1361" i="10"/>
  <c r="D1361" i="10" s="1"/>
  <c r="C1361" i="10" s="1"/>
  <c r="E1360" i="10"/>
  <c r="D1360" i="10" s="1"/>
  <c r="C1360" i="10" s="1"/>
  <c r="E1359" i="10"/>
  <c r="D1359" i="10"/>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c r="C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E1283" i="10"/>
  <c r="D1283" i="10" s="1"/>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c r="C1271" i="10" s="1"/>
  <c r="E1270" i="10"/>
  <c r="D1270" i="10" s="1"/>
  <c r="C1270" i="10" s="1"/>
  <c r="E1269" i="10"/>
  <c r="D1269" i="10" s="1"/>
  <c r="C1269" i="10" s="1"/>
  <c r="E1268" i="10"/>
  <c r="D1268" i="10" s="1"/>
  <c r="C1268" i="10" s="1"/>
  <c r="E1267" i="10"/>
  <c r="D1267" i="10" s="1"/>
  <c r="C1267" i="10" s="1"/>
  <c r="E1266" i="10"/>
  <c r="D1266" i="10" s="1"/>
  <c r="C1266" i="10" s="1"/>
  <c r="E1265" i="10"/>
  <c r="D1265" i="10" s="1"/>
  <c r="C1265" i="10" s="1"/>
  <c r="E1264" i="10"/>
  <c r="D1264" i="10" s="1"/>
  <c r="C1264" i="10" s="1"/>
  <c r="E1263" i="10"/>
  <c r="D1263" i="10"/>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s="1"/>
  <c r="C1243" i="10" s="1"/>
  <c r="E1242" i="10"/>
  <c r="D1242" i="10"/>
  <c r="C1242" i="10" s="1"/>
  <c r="E1241" i="10"/>
  <c r="D1241" i="10" s="1"/>
  <c r="C1241" i="10" s="1"/>
  <c r="E1240" i="10"/>
  <c r="D1240" i="10" s="1"/>
  <c r="C1240" i="10" s="1"/>
  <c r="E1239" i="10"/>
  <c r="D1239" i="10" s="1"/>
  <c r="C1239" i="10" s="1"/>
  <c r="E1238" i="10"/>
  <c r="D1238" i="10"/>
  <c r="C1238" i="10" s="1"/>
  <c r="E1237" i="10"/>
  <c r="D1237" i="10"/>
  <c r="C1237" i="10" s="1"/>
  <c r="E1236" i="10"/>
  <c r="D1236" i="10" s="1"/>
  <c r="C1236" i="10" s="1"/>
  <c r="E1235" i="10"/>
  <c r="D1235" i="10"/>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c r="C1174" i="10" s="1"/>
  <c r="E1173" i="10"/>
  <c r="D1173" i="10"/>
  <c r="C1173" i="10" s="1"/>
  <c r="E1172" i="10"/>
  <c r="D1172" i="10" s="1"/>
  <c r="C1172" i="10" s="1"/>
  <c r="E1171" i="10"/>
  <c r="D1171" i="10"/>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c r="C1139" i="10" s="1"/>
  <c r="E1138" i="10"/>
  <c r="D1138" i="10" s="1"/>
  <c r="C1138" i="10" s="1"/>
  <c r="E1137" i="10"/>
  <c r="D1137" i="10" s="1"/>
  <c r="C1137" i="10" s="1"/>
  <c r="E1136" i="10"/>
  <c r="D1136" i="10" s="1"/>
  <c r="E1135" i="10"/>
  <c r="D1135" i="10" s="1"/>
  <c r="C1135" i="10" s="1"/>
  <c r="E1134" i="10"/>
  <c r="D1134" i="10" s="1"/>
  <c r="C1134" i="10" s="1"/>
  <c r="E1133" i="10"/>
  <c r="D1133" i="10" s="1"/>
  <c r="C1133" i="10" s="1"/>
  <c r="E1132" i="10"/>
  <c r="D1132" i="10" s="1"/>
  <c r="C1132" i="10" s="1"/>
  <c r="E1131" i="10"/>
  <c r="D1131" i="10"/>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s="1"/>
  <c r="C1119" i="10" s="1"/>
  <c r="E1118" i="10"/>
  <c r="D1118" i="10" s="1"/>
  <c r="C1118" i="10" s="1"/>
  <c r="E1117" i="10"/>
  <c r="D1117" i="10" s="1"/>
  <c r="C1117" i="10" s="1"/>
  <c r="E1116" i="10"/>
  <c r="D1116" i="10" s="1"/>
  <c r="C1116" i="10" s="1"/>
  <c r="E1115" i="10"/>
  <c r="D1115" i="10"/>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C1086" i="10" s="1"/>
  <c r="E1085" i="10"/>
  <c r="D1085" i="10" s="1"/>
  <c r="C1085" i="10" s="1"/>
  <c r="E1084" i="10"/>
  <c r="D1084" i="10" s="1"/>
  <c r="C1084" i="10" s="1"/>
  <c r="E1083" i="10"/>
  <c r="D1083" i="10"/>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c r="C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c r="C1035" i="10" s="1"/>
  <c r="E1034" i="10"/>
  <c r="D1034" i="10" s="1"/>
  <c r="C1034" i="10" s="1"/>
  <c r="E1033" i="10"/>
  <c r="D1033" i="10" s="1"/>
  <c r="C1033" i="10" s="1"/>
  <c r="E1032" i="10"/>
  <c r="D1032" i="10" s="1"/>
  <c r="C1032" i="10" s="1"/>
  <c r="E1031" i="10"/>
  <c r="D1031" i="10" s="1"/>
  <c r="C1031" i="10" s="1"/>
  <c r="E1030" i="10"/>
  <c r="D1030" i="10"/>
  <c r="C1030" i="10" s="1"/>
  <c r="E1029" i="10"/>
  <c r="D1029" i="10" s="1"/>
  <c r="C1029" i="10" s="1"/>
  <c r="E1028" i="10"/>
  <c r="D1028" i="10" s="1"/>
  <c r="E1027" i="10"/>
  <c r="D1027" i="10" s="1"/>
  <c r="C1027" i="10" s="1"/>
  <c r="E1026" i="10"/>
  <c r="D1026" i="10"/>
  <c r="C1026" i="10" s="1"/>
  <c r="E1025" i="10"/>
  <c r="D1025" i="10"/>
  <c r="C1025" i="10" s="1"/>
  <c r="E1024" i="10"/>
  <c r="D1024" i="10" s="1"/>
  <c r="C1024" i="10" s="1"/>
  <c r="E1023" i="10"/>
  <c r="D1023" i="10"/>
  <c r="C1023" i="10" s="1"/>
  <c r="E1022" i="10"/>
  <c r="D1022" i="10" s="1"/>
  <c r="C1022" i="10" s="1"/>
  <c r="E1021" i="10"/>
  <c r="D1021" i="10" s="1"/>
  <c r="C1021" i="10" s="1"/>
  <c r="E1020" i="10"/>
  <c r="D1020" i="10" s="1"/>
  <c r="C1020" i="10" s="1"/>
  <c r="E1019" i="10"/>
  <c r="D1019" i="10"/>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s="1"/>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s="1"/>
  <c r="C903" i="10" s="1"/>
  <c r="E902" i="10"/>
  <c r="D902" i="10" s="1"/>
  <c r="C902" i="10" s="1"/>
  <c r="E901" i="10"/>
  <c r="D901" i="10" s="1"/>
  <c r="C901" i="10" s="1"/>
  <c r="E900" i="10"/>
  <c r="D900" i="10" s="1"/>
  <c r="C900" i="10" s="1"/>
  <c r="E899" i="10"/>
  <c r="D899" i="10"/>
  <c r="C899" i="10" s="1"/>
  <c r="E898" i="10"/>
  <c r="D898" i="10" s="1"/>
  <c r="C898" i="10" s="1"/>
  <c r="E897" i="10"/>
  <c r="D897" i="10" s="1"/>
  <c r="C897" i="10" s="1"/>
  <c r="E896" i="10"/>
  <c r="D896" i="10" s="1"/>
  <c r="C896" i="10" s="1"/>
  <c r="E895" i="10"/>
  <c r="D895" i="10" s="1"/>
  <c r="C895" i="10" s="1"/>
  <c r="E894" i="10"/>
  <c r="D894" i="10"/>
  <c r="C894" i="10" s="1"/>
  <c r="E893" i="10"/>
  <c r="D893" i="10" s="1"/>
  <c r="C893" i="10" s="1"/>
  <c r="E892" i="10"/>
  <c r="D892" i="10" s="1"/>
  <c r="C892" i="10" s="1"/>
  <c r="E891" i="10"/>
  <c r="D891" i="10" s="1"/>
  <c r="C891" i="10" s="1"/>
  <c r="E890" i="10"/>
  <c r="D890" i="10"/>
  <c r="C890" i="10" s="1"/>
  <c r="E889" i="10"/>
  <c r="D889" i="10"/>
  <c r="C889" i="10" s="1"/>
  <c r="E888" i="10"/>
  <c r="D888" i="10" s="1"/>
  <c r="E887" i="10"/>
  <c r="D887" i="10"/>
  <c r="C887" i="10" s="1"/>
  <c r="E886" i="10"/>
  <c r="D886" i="10" s="1"/>
  <c r="C886" i="10" s="1"/>
  <c r="E885" i="10"/>
  <c r="D885" i="10" s="1"/>
  <c r="C885" i="10" s="1"/>
  <c r="E884" i="10"/>
  <c r="D884" i="10" s="1"/>
  <c r="C884" i="10" s="1"/>
  <c r="E883" i="10"/>
  <c r="D883" i="10"/>
  <c r="C883" i="10" s="1"/>
  <c r="E882" i="10"/>
  <c r="D882" i="10" s="1"/>
  <c r="C882" i="10" s="1"/>
  <c r="E881" i="10"/>
  <c r="D881" i="10" s="1"/>
  <c r="C881" i="10" s="1"/>
  <c r="E880" i="10"/>
  <c r="D880" i="10" s="1"/>
  <c r="C880" i="10" s="1"/>
  <c r="E879" i="10"/>
  <c r="D879" i="10" s="1"/>
  <c r="C879" i="10" s="1"/>
  <c r="E878" i="10"/>
  <c r="D878" i="10"/>
  <c r="C878" i="10" s="1"/>
  <c r="E877" i="10"/>
  <c r="D877" i="10" s="1"/>
  <c r="C877" i="10" s="1"/>
  <c r="E876" i="10"/>
  <c r="D876" i="10" s="1"/>
  <c r="E875" i="10"/>
  <c r="D875" i="10" s="1"/>
  <c r="C875" i="10" s="1"/>
  <c r="E874" i="10"/>
  <c r="D874" i="10"/>
  <c r="C874" i="10" s="1"/>
  <c r="E873" i="10"/>
  <c r="D873" i="10"/>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s="1"/>
  <c r="C866" i="10" s="1"/>
  <c r="E865" i="10"/>
  <c r="D865" i="10"/>
  <c r="C865" i="10" s="1"/>
  <c r="E864" i="10"/>
  <c r="D864" i="10" s="1"/>
  <c r="C864" i="10" s="1"/>
  <c r="E863" i="10"/>
  <c r="D863" i="10" s="1"/>
  <c r="C863" i="10" s="1"/>
  <c r="E862" i="10"/>
  <c r="D862" i="10"/>
  <c r="C862" i="10" s="1"/>
  <c r="E861" i="10"/>
  <c r="D861" i="10" s="1"/>
  <c r="C861" i="10" s="1"/>
  <c r="E860" i="10"/>
  <c r="D860" i="10" s="1"/>
  <c r="C860" i="10" s="1"/>
  <c r="E859" i="10"/>
  <c r="D859" i="10" s="1"/>
  <c r="C859" i="10" s="1"/>
  <c r="E858" i="10"/>
  <c r="D858" i="10"/>
  <c r="C858" i="10" s="1"/>
  <c r="E857" i="10"/>
  <c r="D857" i="10" s="1"/>
  <c r="C857" i="10"/>
  <c r="E856" i="10"/>
  <c r="D856" i="10" s="1"/>
  <c r="C856" i="10" s="1"/>
  <c r="E855" i="10"/>
  <c r="D855" i="10" s="1"/>
  <c r="C855" i="10" s="1"/>
  <c r="E854" i="10"/>
  <c r="D854" i="10" s="1"/>
  <c r="C854" i="10" s="1"/>
  <c r="E853" i="10"/>
  <c r="D853" i="10" s="1"/>
  <c r="C853" i="10" s="1"/>
  <c r="E852" i="10"/>
  <c r="D852" i="10" s="1"/>
  <c r="C852" i="10" s="1"/>
  <c r="E851" i="10"/>
  <c r="D851" i="10"/>
  <c r="C851" i="10" s="1"/>
  <c r="E850" i="10"/>
  <c r="D850" i="10" s="1"/>
  <c r="C850" i="10"/>
  <c r="E849" i="10"/>
  <c r="D849" i="10"/>
  <c r="C849" i="10" s="1"/>
  <c r="E848" i="10"/>
  <c r="D848" i="10" s="1"/>
  <c r="C848" i="10" s="1"/>
  <c r="E847" i="10"/>
  <c r="D847" i="10" s="1"/>
  <c r="C847" i="10" s="1"/>
  <c r="E846" i="10"/>
  <c r="D846" i="10"/>
  <c r="C846" i="10" s="1"/>
  <c r="E845" i="10"/>
  <c r="D845" i="10" s="1"/>
  <c r="C845" i="10" s="1"/>
  <c r="E844" i="10"/>
  <c r="D844" i="10" s="1"/>
  <c r="C844" i="10" s="1"/>
  <c r="E843" i="10"/>
  <c r="D843" i="10" s="1"/>
  <c r="C843" i="10" s="1"/>
  <c r="E842" i="10"/>
  <c r="D842" i="10" s="1"/>
  <c r="C842" i="10" s="1"/>
  <c r="E841" i="10"/>
  <c r="D841" i="10" s="1"/>
  <c r="C841" i="10"/>
  <c r="E840" i="10"/>
  <c r="D840" i="10" s="1"/>
  <c r="C840" i="10" s="1"/>
  <c r="E839" i="10"/>
  <c r="D839" i="10" s="1"/>
  <c r="C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c r="C831" i="10" s="1"/>
  <c r="E830" i="10"/>
  <c r="D830" i="10"/>
  <c r="C830" i="10" s="1"/>
  <c r="E829" i="10"/>
  <c r="D829" i="10" s="1"/>
  <c r="C829" i="10" s="1"/>
  <c r="E828" i="10"/>
  <c r="D828" i="10" s="1"/>
  <c r="C828" i="10" s="1"/>
  <c r="E827" i="10"/>
  <c r="D827" i="10" s="1"/>
  <c r="C827" i="10" s="1"/>
  <c r="E826" i="10"/>
  <c r="D826" i="10" s="1"/>
  <c r="C826" i="10" s="1"/>
  <c r="E825" i="10"/>
  <c r="D825" i="10"/>
  <c r="C825" i="10" s="1"/>
  <c r="E824" i="10"/>
  <c r="D824" i="10" s="1"/>
  <c r="C824" i="10" s="1"/>
  <c r="E823" i="10"/>
  <c r="D823" i="10" s="1"/>
  <c r="C823" i="10" s="1"/>
  <c r="E822" i="10"/>
  <c r="D822" i="10" s="1"/>
  <c r="C822" i="10" s="1"/>
  <c r="E821" i="10"/>
  <c r="D821" i="10" s="1"/>
  <c r="C821" i="10" s="1"/>
  <c r="E820" i="10"/>
  <c r="D820" i="10" s="1"/>
  <c r="C820" i="10" s="1"/>
  <c r="E819" i="10"/>
  <c r="D819" i="10"/>
  <c r="C819" i="10" s="1"/>
  <c r="E818" i="10"/>
  <c r="D818" i="10" s="1"/>
  <c r="C818" i="10"/>
  <c r="E817" i="10"/>
  <c r="D817" i="10"/>
  <c r="C817" i="10" s="1"/>
  <c r="E816" i="10"/>
  <c r="D816" i="10" s="1"/>
  <c r="C816" i="10" s="1"/>
  <c r="E815" i="10"/>
  <c r="D815" i="10" s="1"/>
  <c r="C815" i="10" s="1"/>
  <c r="E814" i="10"/>
  <c r="D814" i="10"/>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C800" i="10" s="1"/>
  <c r="E799" i="10"/>
  <c r="D799" i="10"/>
  <c r="C799" i="10" s="1"/>
  <c r="E798" i="10"/>
  <c r="D798" i="10" s="1"/>
  <c r="C798" i="10" s="1"/>
  <c r="E797" i="10"/>
  <c r="D797" i="10" s="1"/>
  <c r="C797" i="10" s="1"/>
  <c r="E796" i="10"/>
  <c r="D796" i="10" s="1"/>
  <c r="C796" i="10" s="1"/>
  <c r="E795" i="10"/>
  <c r="D795" i="10" s="1"/>
  <c r="C795" i="10" s="1"/>
  <c r="E794" i="10"/>
  <c r="D794" i="10" s="1"/>
  <c r="C794" i="10" s="1"/>
  <c r="E793" i="10"/>
  <c r="D793" i="10"/>
  <c r="C793" i="10" s="1"/>
  <c r="E792" i="10"/>
  <c r="D792" i="10" s="1"/>
  <c r="E791" i="10"/>
  <c r="D791" i="10"/>
  <c r="C791" i="10" s="1"/>
  <c r="E790" i="10"/>
  <c r="D790" i="10" s="1"/>
  <c r="C790" i="10" s="1"/>
  <c r="E789" i="10"/>
  <c r="D789" i="10"/>
  <c r="C789" i="10" s="1"/>
  <c r="E788" i="10"/>
  <c r="D788" i="10" s="1"/>
  <c r="C788" i="10" s="1"/>
  <c r="E787" i="10"/>
  <c r="D787" i="10" s="1"/>
  <c r="C787" i="10" s="1"/>
  <c r="E786" i="10"/>
  <c r="D786" i="10" s="1"/>
  <c r="C786" i="10"/>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c r="C777" i="10"/>
  <c r="E776" i="10"/>
  <c r="D776" i="10" s="1"/>
  <c r="C776" i="10" s="1"/>
  <c r="E775" i="10"/>
  <c r="D775" i="10"/>
  <c r="C775" i="10" s="1"/>
  <c r="E774" i="10"/>
  <c r="D774" i="10" s="1"/>
  <c r="C774" i="10" s="1"/>
  <c r="E773" i="10"/>
  <c r="D773" i="10"/>
  <c r="C773" i="10" s="1"/>
  <c r="E772" i="10"/>
  <c r="D772" i="10" s="1"/>
  <c r="E771" i="10"/>
  <c r="D771" i="10" s="1"/>
  <c r="C771" i="10" s="1"/>
  <c r="E770" i="10"/>
  <c r="D770" i="10"/>
  <c r="C770" i="10" s="1"/>
  <c r="E769" i="10"/>
  <c r="D769" i="10" s="1"/>
  <c r="C769" i="10" s="1"/>
  <c r="E768" i="10"/>
  <c r="D768" i="10" s="1"/>
  <c r="C768" i="10" s="1"/>
  <c r="E767" i="10"/>
  <c r="D767" i="10" s="1"/>
  <c r="C767" i="10" s="1"/>
  <c r="E766" i="10"/>
  <c r="D766" i="10" s="1"/>
  <c r="C766" i="10" s="1"/>
  <c r="E765" i="10"/>
  <c r="D765" i="10" s="1"/>
  <c r="C765" i="10" s="1"/>
  <c r="E764" i="10"/>
  <c r="D764" i="10" s="1"/>
  <c r="C764" i="10" s="1"/>
  <c r="E763" i="10"/>
  <c r="D763" i="10"/>
  <c r="C763" i="10" s="1"/>
  <c r="E762" i="10"/>
  <c r="D762" i="10"/>
  <c r="C762" i="10" s="1"/>
  <c r="E761" i="10"/>
  <c r="D761" i="10" s="1"/>
  <c r="C761" i="10" s="1"/>
  <c r="E760" i="10"/>
  <c r="D760" i="10" s="1"/>
  <c r="C760" i="10" s="1"/>
  <c r="E759" i="10"/>
  <c r="D759" i="10" s="1"/>
  <c r="C759" i="10" s="1"/>
  <c r="E758" i="10"/>
  <c r="D758" i="10" s="1"/>
  <c r="C758" i="10" s="1"/>
  <c r="E757" i="10"/>
  <c r="D757" i="10"/>
  <c r="C757" i="10" s="1"/>
  <c r="E756" i="10"/>
  <c r="D756" i="10" s="1"/>
  <c r="C756" i="10" s="1"/>
  <c r="E755" i="10"/>
  <c r="D755" i="10"/>
  <c r="C755" i="10" s="1"/>
  <c r="E754" i="10"/>
  <c r="D754" i="10" s="1"/>
  <c r="C754" i="10" s="1"/>
  <c r="E753" i="10"/>
  <c r="D753" i="10" s="1"/>
  <c r="C753" i="10" s="1"/>
  <c r="E752" i="10"/>
  <c r="D752" i="10" s="1"/>
  <c r="C752" i="10" s="1"/>
  <c r="E751" i="10"/>
  <c r="D751" i="10" s="1"/>
  <c r="C751" i="10" s="1"/>
  <c r="E750" i="10"/>
  <c r="D750" i="10" s="1"/>
  <c r="C750" i="10" s="1"/>
  <c r="E749" i="10"/>
  <c r="D749" i="10"/>
  <c r="C749" i="10" s="1"/>
  <c r="E748" i="10"/>
  <c r="D748" i="10" s="1"/>
  <c r="C748" i="10" s="1"/>
  <c r="E747" i="10"/>
  <c r="D747" i="10"/>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s="1"/>
  <c r="C739" i="10" s="1"/>
  <c r="E738" i="10"/>
  <c r="D738" i="10"/>
  <c r="C738" i="10" s="1"/>
  <c r="E737" i="10"/>
  <c r="D737" i="10" s="1"/>
  <c r="C737" i="10" s="1"/>
  <c r="E736" i="10"/>
  <c r="D736" i="10" s="1"/>
  <c r="C736" i="10" s="1"/>
  <c r="E735" i="10"/>
  <c r="D735" i="10" s="1"/>
  <c r="C735" i="10" s="1"/>
  <c r="E734" i="10"/>
  <c r="D734" i="10" s="1"/>
  <c r="C734" i="10" s="1"/>
  <c r="E733" i="10"/>
  <c r="D733" i="10" s="1"/>
  <c r="C733" i="10" s="1"/>
  <c r="E732" i="10"/>
  <c r="D732" i="10" s="1"/>
  <c r="C732" i="10" s="1"/>
  <c r="E731" i="10"/>
  <c r="D731" i="10"/>
  <c r="C731" i="10" s="1"/>
  <c r="E730" i="10"/>
  <c r="D730" i="10"/>
  <c r="C730" i="10" s="1"/>
  <c r="E729" i="10"/>
  <c r="D729" i="10" s="1"/>
  <c r="C729" i="10" s="1"/>
  <c r="E728" i="10"/>
  <c r="D728" i="10" s="1"/>
  <c r="C728" i="10" s="1"/>
  <c r="E727" i="10"/>
  <c r="D727" i="10" s="1"/>
  <c r="C727" i="10" s="1"/>
  <c r="E726" i="10"/>
  <c r="D726" i="10" s="1"/>
  <c r="C726" i="10" s="1"/>
  <c r="E725" i="10"/>
  <c r="D725" i="10"/>
  <c r="C725" i="10" s="1"/>
  <c r="E724" i="10"/>
  <c r="D724" i="10" s="1"/>
  <c r="C724" i="10" s="1"/>
  <c r="E723" i="10"/>
  <c r="D723" i="10"/>
  <c r="C723" i="10" s="1"/>
  <c r="E722" i="10"/>
  <c r="D722" i="10" s="1"/>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c r="C715" i="10" s="1"/>
  <c r="E714" i="10"/>
  <c r="D714" i="10"/>
  <c r="C714" i="10" s="1"/>
  <c r="E713" i="10"/>
  <c r="D713" i="10" s="1"/>
  <c r="C713" i="10" s="1"/>
  <c r="E712" i="10"/>
  <c r="D712" i="10" s="1"/>
  <c r="C712" i="10" s="1"/>
  <c r="E711" i="10"/>
  <c r="D711" i="10" s="1"/>
  <c r="C711" i="10" s="1"/>
  <c r="E710" i="10"/>
  <c r="D710" i="10" s="1"/>
  <c r="C710" i="10" s="1"/>
  <c r="E709" i="10"/>
  <c r="D709" i="10"/>
  <c r="C709" i="10" s="1"/>
  <c r="E708" i="10"/>
  <c r="D708" i="10" s="1"/>
  <c r="C708" i="10" s="1"/>
  <c r="E707" i="10"/>
  <c r="D707" i="10" s="1"/>
  <c r="C707" i="10" s="1"/>
  <c r="E706" i="10"/>
  <c r="D706" i="10"/>
  <c r="C706" i="10" s="1"/>
  <c r="E705" i="10"/>
  <c r="D705" i="10" s="1"/>
  <c r="C705" i="10" s="1"/>
  <c r="E704" i="10"/>
  <c r="D704" i="10" s="1"/>
  <c r="C704" i="10" s="1"/>
  <c r="E703" i="10"/>
  <c r="D703" i="10" s="1"/>
  <c r="C703" i="10" s="1"/>
  <c r="E702" i="10"/>
  <c r="D702" i="10" s="1"/>
  <c r="C702" i="10" s="1"/>
  <c r="E701" i="10"/>
  <c r="D701" i="10" s="1"/>
  <c r="C701" i="10" s="1"/>
  <c r="E700" i="10"/>
  <c r="D700" i="10" s="1"/>
  <c r="C700" i="10" s="1"/>
  <c r="E699" i="10"/>
  <c r="D699" i="10"/>
  <c r="C699" i="10" s="1"/>
  <c r="E698" i="10"/>
  <c r="D698" i="10"/>
  <c r="C698" i="10" s="1"/>
  <c r="E697" i="10"/>
  <c r="D697" i="10" s="1"/>
  <c r="C697" i="10" s="1"/>
  <c r="E696" i="10"/>
  <c r="D696" i="10" s="1"/>
  <c r="C696" i="10" s="1"/>
  <c r="E695" i="10"/>
  <c r="D695" i="10" s="1"/>
  <c r="C695" i="10" s="1"/>
  <c r="E694" i="10"/>
  <c r="D694" i="10" s="1"/>
  <c r="C694" i="10" s="1"/>
  <c r="E693" i="10"/>
  <c r="D693" i="10"/>
  <c r="C693" i="10" s="1"/>
  <c r="E692" i="10"/>
  <c r="D692" i="10" s="1"/>
  <c r="C692" i="10" s="1"/>
  <c r="E691" i="10"/>
  <c r="D691" i="10"/>
  <c r="C691" i="10" s="1"/>
  <c r="E690" i="10"/>
  <c r="D690" i="10" s="1"/>
  <c r="C690" i="10" s="1"/>
  <c r="E689" i="10"/>
  <c r="D689" i="10" s="1"/>
  <c r="C689" i="10" s="1"/>
  <c r="E688" i="10"/>
  <c r="D688" i="10" s="1"/>
  <c r="C688" i="10" s="1"/>
  <c r="E687" i="10"/>
  <c r="D687" i="10" s="1"/>
  <c r="C687" i="10" s="1"/>
  <c r="E686" i="10"/>
  <c r="D686" i="10" s="1"/>
  <c r="C686" i="10" s="1"/>
  <c r="E685" i="10"/>
  <c r="D685" i="10"/>
  <c r="C685" i="10" s="1"/>
  <c r="E684" i="10"/>
  <c r="D684" i="10" s="1"/>
  <c r="C684" i="10" s="1"/>
  <c r="E683" i="10"/>
  <c r="D683" i="10"/>
  <c r="C683" i="10" s="1"/>
  <c r="E682" i="10"/>
  <c r="D682" i="10"/>
  <c r="C682" i="10" s="1"/>
  <c r="E681" i="10"/>
  <c r="D681" i="10" s="1"/>
  <c r="C681" i="10" s="1"/>
  <c r="E680" i="10"/>
  <c r="D680" i="10" s="1"/>
  <c r="C680" i="10" s="1"/>
  <c r="E679" i="10"/>
  <c r="D679" i="10" s="1"/>
  <c r="C679" i="10" s="1"/>
  <c r="E678" i="10"/>
  <c r="D678" i="10" s="1"/>
  <c r="C678" i="10" s="1"/>
  <c r="E677" i="10"/>
  <c r="D677" i="10"/>
  <c r="C677" i="10" s="1"/>
  <c r="E676" i="10"/>
  <c r="D676" i="10" s="1"/>
  <c r="E675" i="10"/>
  <c r="D675" i="10" s="1"/>
  <c r="C675" i="10" s="1"/>
  <c r="E674" i="10"/>
  <c r="D674" i="10"/>
  <c r="C674" i="10" s="1"/>
  <c r="E673" i="10"/>
  <c r="D673" i="10" s="1"/>
  <c r="C673" i="10" s="1"/>
  <c r="E672" i="10"/>
  <c r="D672" i="10" s="1"/>
  <c r="C672" i="10" s="1"/>
  <c r="E671" i="10"/>
  <c r="D671" i="10" s="1"/>
  <c r="C671" i="10" s="1"/>
  <c r="E670" i="10"/>
  <c r="D670" i="10" s="1"/>
  <c r="C670" i="10" s="1"/>
  <c r="E669" i="10"/>
  <c r="D669" i="10" s="1"/>
  <c r="C669" i="10" s="1"/>
  <c r="E668" i="10"/>
  <c r="D668" i="10" s="1"/>
  <c r="C668" i="10" s="1"/>
  <c r="E667" i="10"/>
  <c r="D667" i="10"/>
  <c r="C667" i="10" s="1"/>
  <c r="E666" i="10"/>
  <c r="D666" i="10"/>
  <c r="C666" i="10" s="1"/>
  <c r="E665" i="10"/>
  <c r="D665" i="10" s="1"/>
  <c r="C665" i="10" s="1"/>
  <c r="E664" i="10"/>
  <c r="D664" i="10" s="1"/>
  <c r="E663" i="10"/>
  <c r="D663" i="10" s="1"/>
  <c r="C663" i="10" s="1"/>
  <c r="E662" i="10"/>
  <c r="D662" i="10" s="1"/>
  <c r="C662" i="10" s="1"/>
  <c r="E661" i="10"/>
  <c r="D661" i="10"/>
  <c r="C661" i="10" s="1"/>
  <c r="E660" i="10"/>
  <c r="D660" i="10" s="1"/>
  <c r="C660" i="10" s="1"/>
  <c r="E659" i="10"/>
  <c r="D659" i="10"/>
  <c r="C659" i="10" s="1"/>
  <c r="E658" i="10"/>
  <c r="D658" i="10" s="1"/>
  <c r="C658" i="10" s="1"/>
  <c r="E657" i="10"/>
  <c r="D657" i="10" s="1"/>
  <c r="C657" i="10" s="1"/>
  <c r="E656" i="10"/>
  <c r="D656" i="10" s="1"/>
  <c r="C656" i="10" s="1"/>
  <c r="E655" i="10"/>
  <c r="D655" i="10" s="1"/>
  <c r="C655" i="10" s="1"/>
  <c r="E654" i="10"/>
  <c r="D654" i="10" s="1"/>
  <c r="C654" i="10"/>
  <c r="E653" i="10"/>
  <c r="D653" i="10"/>
  <c r="C653" i="10" s="1"/>
  <c r="E652" i="10"/>
  <c r="D652" i="10" s="1"/>
  <c r="C652" i="10" s="1"/>
  <c r="E651" i="10"/>
  <c r="D651" i="10"/>
  <c r="C651" i="10" s="1"/>
  <c r="E650" i="10"/>
  <c r="D650" i="10" s="1"/>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c r="C643" i="10" s="1"/>
  <c r="E642" i="10"/>
  <c r="D642" i="10"/>
  <c r="C642" i="10" s="1"/>
  <c r="E641" i="10"/>
  <c r="D641" i="10" s="1"/>
  <c r="C641" i="10" s="1"/>
  <c r="E640" i="10"/>
  <c r="D640" i="10" s="1"/>
  <c r="C640" i="10" s="1"/>
  <c r="E639" i="10"/>
  <c r="D639" i="10" s="1"/>
  <c r="C639" i="10" s="1"/>
  <c r="E638" i="10"/>
  <c r="D638" i="10" s="1"/>
  <c r="C638" i="10" s="1"/>
  <c r="E637" i="10"/>
  <c r="D637" i="10"/>
  <c r="C637" i="10" s="1"/>
  <c r="E636" i="10"/>
  <c r="D636" i="10" s="1"/>
  <c r="C636" i="10" s="1"/>
  <c r="E635" i="10"/>
  <c r="D635" i="10"/>
  <c r="C635" i="10" s="1"/>
  <c r="E634" i="10"/>
  <c r="D634" i="10"/>
  <c r="C634" i="10" s="1"/>
  <c r="E633" i="10"/>
  <c r="D633" i="10" s="1"/>
  <c r="C633" i="10" s="1"/>
  <c r="E632" i="10"/>
  <c r="D632" i="10" s="1"/>
  <c r="C632" i="10" s="1"/>
  <c r="E631" i="10"/>
  <c r="D631" i="10" s="1"/>
  <c r="C631" i="10" s="1"/>
  <c r="E630" i="10"/>
  <c r="D630" i="10" s="1"/>
  <c r="C630" i="10" s="1"/>
  <c r="E629" i="10"/>
  <c r="D629" i="10"/>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s="1"/>
  <c r="C622" i="10"/>
  <c r="E621" i="10"/>
  <c r="D621" i="10"/>
  <c r="C621" i="10" s="1"/>
  <c r="E620" i="10"/>
  <c r="D620" i="10" s="1"/>
  <c r="C620" i="10" s="1"/>
  <c r="E619" i="10"/>
  <c r="D619" i="10" s="1"/>
  <c r="C619" i="10" s="1"/>
  <c r="E618" i="10"/>
  <c r="D618" i="10"/>
  <c r="C618" i="10" s="1"/>
  <c r="E617" i="10"/>
  <c r="D617" i="10" s="1"/>
  <c r="C617" i="10" s="1"/>
  <c r="E616" i="10"/>
  <c r="D616" i="10" s="1"/>
  <c r="C616" i="10" s="1"/>
  <c r="E615" i="10"/>
  <c r="D615" i="10" s="1"/>
  <c r="C615" i="10" s="1"/>
  <c r="E614" i="10"/>
  <c r="D614" i="10" s="1"/>
  <c r="C614" i="10" s="1"/>
  <c r="E613" i="10"/>
  <c r="D613" i="10" s="1"/>
  <c r="C613" i="10" s="1"/>
  <c r="E612" i="10"/>
  <c r="D612" i="10" s="1"/>
  <c r="E611" i="10"/>
  <c r="D611" i="10"/>
  <c r="C611" i="10" s="1"/>
  <c r="E610" i="10"/>
  <c r="D610" i="10"/>
  <c r="C610" i="10" s="1"/>
  <c r="E609" i="10"/>
  <c r="D609" i="10" s="1"/>
  <c r="C609" i="10" s="1"/>
  <c r="E608" i="10"/>
  <c r="D608" i="10" s="1"/>
  <c r="C608" i="10" s="1"/>
  <c r="E607" i="10"/>
  <c r="D607" i="10" s="1"/>
  <c r="C607" i="10" s="1"/>
  <c r="E606" i="10"/>
  <c r="D606" i="10" s="1"/>
  <c r="C606" i="10"/>
  <c r="E605" i="10"/>
  <c r="D605" i="10" s="1"/>
  <c r="C605" i="10" s="1"/>
  <c r="E604" i="10"/>
  <c r="D604" i="10" s="1"/>
  <c r="C604" i="10" s="1"/>
  <c r="E603" i="10"/>
  <c r="D603" i="10"/>
  <c r="C603" i="10" s="1"/>
  <c r="E602" i="10"/>
  <c r="D602" i="10"/>
  <c r="C602" i="10" s="1"/>
  <c r="E601" i="10"/>
  <c r="D601" i="10" s="1"/>
  <c r="C601" i="10" s="1"/>
  <c r="E600" i="10"/>
  <c r="D600" i="10" s="1"/>
  <c r="E599" i="10"/>
  <c r="D599" i="10" s="1"/>
  <c r="C599" i="10" s="1"/>
  <c r="E598" i="10"/>
  <c r="D598" i="10" s="1"/>
  <c r="C598" i="10" s="1"/>
  <c r="E597" i="10"/>
  <c r="D597" i="10"/>
  <c r="C597" i="10" s="1"/>
  <c r="E596" i="10"/>
  <c r="D596" i="10" s="1"/>
  <c r="C596" i="10" s="1"/>
  <c r="E595" i="10"/>
  <c r="D595" i="10"/>
  <c r="C595" i="10" s="1"/>
  <c r="E594" i="10"/>
  <c r="D594" i="10" s="1"/>
  <c r="C594" i="10" s="1"/>
  <c r="E593" i="10"/>
  <c r="D593" i="10" s="1"/>
  <c r="C593" i="10"/>
  <c r="E592" i="10"/>
  <c r="D592" i="10" s="1"/>
  <c r="C592" i="10" s="1"/>
  <c r="E591" i="10"/>
  <c r="D591" i="10" s="1"/>
  <c r="C591" i="10" s="1"/>
  <c r="E590" i="10"/>
  <c r="D590" i="10" s="1"/>
  <c r="C590" i="10"/>
  <c r="E589" i="10"/>
  <c r="D589" i="10" s="1"/>
  <c r="C589" i="10" s="1"/>
  <c r="E588" i="10"/>
  <c r="D588" i="10" s="1"/>
  <c r="C588" i="10" s="1"/>
  <c r="E587" i="10"/>
  <c r="D587" i="10"/>
  <c r="C587" i="10" s="1"/>
  <c r="E586" i="10"/>
  <c r="D586" i="10"/>
  <c r="C586" i="10" s="1"/>
  <c r="E585" i="10"/>
  <c r="D585" i="10" s="1"/>
  <c r="C585" i="10"/>
  <c r="E584" i="10"/>
  <c r="D584" i="10" s="1"/>
  <c r="C584" i="10" s="1"/>
  <c r="E583" i="10"/>
  <c r="D583" i="10" s="1"/>
  <c r="C583" i="10" s="1"/>
  <c r="E582" i="10"/>
  <c r="D582" i="10" s="1"/>
  <c r="C582" i="10"/>
  <c r="E581" i="10"/>
  <c r="D581" i="10"/>
  <c r="C581" i="10" s="1"/>
  <c r="E580" i="10"/>
  <c r="D580" i="10" s="1"/>
  <c r="C580" i="10" s="1"/>
  <c r="E579" i="10"/>
  <c r="D579" i="10" s="1"/>
  <c r="C579" i="10" s="1"/>
  <c r="E578" i="10"/>
  <c r="D578" i="10"/>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c r="C571" i="10" s="1"/>
  <c r="E570" i="10"/>
  <c r="D570" i="10"/>
  <c r="C570" i="10" s="1"/>
  <c r="E569" i="10"/>
  <c r="D569" i="10" s="1"/>
  <c r="C569" i="10" s="1"/>
  <c r="E568" i="10"/>
  <c r="D568" i="10" s="1"/>
  <c r="C568" i="10" s="1"/>
  <c r="E567" i="10"/>
  <c r="D567" i="10" s="1"/>
  <c r="C567" i="10" s="1"/>
  <c r="E566" i="10"/>
  <c r="D566" i="10" s="1"/>
  <c r="C566" i="10" s="1"/>
  <c r="E565" i="10"/>
  <c r="D565" i="10"/>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c r="C557" i="10" s="1"/>
  <c r="E556" i="10"/>
  <c r="D556" i="10" s="1"/>
  <c r="C556" i="10" s="1"/>
  <c r="E555" i="10"/>
  <c r="D555" i="10"/>
  <c r="C555" i="10" s="1"/>
  <c r="E554" i="10"/>
  <c r="D554" i="10"/>
  <c r="C554" i="10" s="1"/>
  <c r="E553" i="10"/>
  <c r="D553" i="10" s="1"/>
  <c r="C553" i="10"/>
  <c r="E552" i="10"/>
  <c r="D552" i="10" s="1"/>
  <c r="C552" i="10" s="1"/>
  <c r="E551" i="10"/>
  <c r="D551" i="10" s="1"/>
  <c r="C551" i="10" s="1"/>
  <c r="E550" i="10"/>
  <c r="D550" i="10" s="1"/>
  <c r="C550" i="10"/>
  <c r="E549" i="10"/>
  <c r="D549" i="10"/>
  <c r="C549" i="10" s="1"/>
  <c r="E548" i="10"/>
  <c r="D548" i="10" s="1"/>
  <c r="C548" i="10" s="1"/>
  <c r="E547" i="10"/>
  <c r="D547" i="10"/>
  <c r="C547" i="10" s="1"/>
  <c r="E546" i="10"/>
  <c r="D546" i="10" s="1"/>
  <c r="C546" i="10" s="1"/>
  <c r="E545" i="10"/>
  <c r="D545" i="10" s="1"/>
  <c r="C545" i="10"/>
  <c r="E544" i="10"/>
  <c r="D544" i="10" s="1"/>
  <c r="C544" i="10" s="1"/>
  <c r="E543" i="10"/>
  <c r="D543" i="10" s="1"/>
  <c r="C543" i="10" s="1"/>
  <c r="E542" i="10"/>
  <c r="D542" i="10" s="1"/>
  <c r="C542" i="10"/>
  <c r="E541" i="10"/>
  <c r="D541" i="10" s="1"/>
  <c r="C541" i="10" s="1"/>
  <c r="E540" i="10"/>
  <c r="D540" i="10" s="1"/>
  <c r="C540" i="10" s="1"/>
  <c r="E539" i="10"/>
  <c r="D539" i="10" s="1"/>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s="1"/>
  <c r="C523" i="10" s="1"/>
  <c r="E522" i="10"/>
  <c r="D522" i="10"/>
  <c r="C522" i="10" s="1"/>
  <c r="E521" i="10"/>
  <c r="D521" i="10" s="1"/>
  <c r="C521" i="10" s="1"/>
  <c r="E520" i="10"/>
  <c r="D520" i="10" s="1"/>
  <c r="C520" i="10" s="1"/>
  <c r="E519" i="10"/>
  <c r="D519" i="10" s="1"/>
  <c r="C519" i="10" s="1"/>
  <c r="E518" i="10"/>
  <c r="D518" i="10" s="1"/>
  <c r="C518" i="10"/>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c r="C509" i="10" s="1"/>
  <c r="E508" i="10"/>
  <c r="D508" i="10" s="1"/>
  <c r="C508" i="10" s="1"/>
  <c r="E507" i="10"/>
  <c r="D507" i="10"/>
  <c r="C507" i="10" s="1"/>
  <c r="E506" i="10"/>
  <c r="D506" i="10" s="1"/>
  <c r="C506" i="10" s="1"/>
  <c r="E505" i="10"/>
  <c r="D505" i="10" s="1"/>
  <c r="C505" i="10" s="1"/>
  <c r="E504" i="10"/>
  <c r="D504" i="10" s="1"/>
  <c r="C504" i="10" s="1"/>
  <c r="E503" i="10"/>
  <c r="D503" i="10" s="1"/>
  <c r="C503" i="10" s="1"/>
  <c r="E502" i="10"/>
  <c r="D502" i="10" s="1"/>
  <c r="C502" i="10"/>
  <c r="E501" i="10"/>
  <c r="D501" i="10" s="1"/>
  <c r="C501" i="10" s="1"/>
  <c r="E500" i="10"/>
  <c r="D500" i="10" s="1"/>
  <c r="C500" i="10" s="1"/>
  <c r="E499" i="10"/>
  <c r="D499" i="10"/>
  <c r="C499" i="10" s="1"/>
  <c r="E498" i="10"/>
  <c r="D498" i="10"/>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c r="C491" i="10" s="1"/>
  <c r="E490" i="10"/>
  <c r="D490" i="10" s="1"/>
  <c r="C490" i="10" s="1"/>
  <c r="E489" i="10"/>
  <c r="D489" i="10" s="1"/>
  <c r="C489" i="10" s="1"/>
  <c r="E488" i="10"/>
  <c r="D488" i="10" s="1"/>
  <c r="C488" i="10" s="1"/>
  <c r="E487" i="10"/>
  <c r="D487" i="10"/>
  <c r="C487" i="10" s="1"/>
  <c r="E486" i="10"/>
  <c r="D486" i="10" s="1"/>
  <c r="C486" i="10" s="1"/>
  <c r="E485" i="10"/>
  <c r="D485" i="10" s="1"/>
  <c r="C485" i="10" s="1"/>
  <c r="E484" i="10"/>
  <c r="D484" i="10" s="1"/>
  <c r="C484" i="10" s="1"/>
  <c r="E483" i="10"/>
  <c r="D483" i="10" s="1"/>
  <c r="C483" i="10" s="1"/>
  <c r="E482" i="10"/>
  <c r="D482" i="10"/>
  <c r="C482" i="10"/>
  <c r="E481" i="10"/>
  <c r="D481" i="10" s="1"/>
  <c r="C481" i="10" s="1"/>
  <c r="E480" i="10"/>
  <c r="D480" i="10" s="1"/>
  <c r="C480" i="10" s="1"/>
  <c r="E479" i="10"/>
  <c r="D479" i="10" s="1"/>
  <c r="C479" i="10" s="1"/>
  <c r="E478" i="10"/>
  <c r="D478" i="10"/>
  <c r="C478" i="10" s="1"/>
  <c r="E477" i="10"/>
  <c r="D477" i="10"/>
  <c r="C477" i="10"/>
  <c r="E476" i="10"/>
  <c r="D476" i="10" s="1"/>
  <c r="E475" i="10"/>
  <c r="D475" i="10"/>
  <c r="C475" i="10" s="1"/>
  <c r="E474" i="10"/>
  <c r="D474" i="10" s="1"/>
  <c r="C474" i="10" s="1"/>
  <c r="E473" i="10"/>
  <c r="D473" i="10" s="1"/>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c r="C466" i="10"/>
  <c r="E465" i="10"/>
  <c r="D465" i="10" s="1"/>
  <c r="C465" i="10" s="1"/>
  <c r="E464" i="10"/>
  <c r="D464" i="10" s="1"/>
  <c r="C464" i="10" s="1"/>
  <c r="E463" i="10"/>
  <c r="D463" i="10" s="1"/>
  <c r="C463" i="10" s="1"/>
  <c r="E462" i="10"/>
  <c r="D462" i="10"/>
  <c r="C462" i="10" s="1"/>
  <c r="E461" i="10"/>
  <c r="D461" i="10"/>
  <c r="C461" i="10"/>
  <c r="E460" i="10"/>
  <c r="D460" i="10" s="1"/>
  <c r="C460" i="10" s="1"/>
  <c r="E459" i="10"/>
  <c r="D459" i="10"/>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c r="C450" i="10"/>
  <c r="E449" i="10"/>
  <c r="D449" i="10" s="1"/>
  <c r="C449" i="10" s="1"/>
  <c r="E448" i="10"/>
  <c r="D448" i="10" s="1"/>
  <c r="C448" i="10" s="1"/>
  <c r="E447" i="10"/>
  <c r="D447" i="10" s="1"/>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c r="E433" i="10"/>
  <c r="D433" i="10" s="1"/>
  <c r="C433" i="10" s="1"/>
  <c r="E432" i="10"/>
  <c r="D432" i="10" s="1"/>
  <c r="C432" i="10" s="1"/>
  <c r="E431" i="10"/>
  <c r="D431" i="10" s="1"/>
  <c r="C431" i="10" s="1"/>
  <c r="E430" i="10"/>
  <c r="D430" i="10"/>
  <c r="C430" i="10" s="1"/>
  <c r="E429" i="10"/>
  <c r="D429" i="10"/>
  <c r="C429" i="10"/>
  <c r="E428" i="10"/>
  <c r="D428" i="10" s="1"/>
  <c r="E427" i="10"/>
  <c r="D427" i="10" s="1"/>
  <c r="C427" i="10" s="1"/>
  <c r="E426" i="10"/>
  <c r="D426" i="10" s="1"/>
  <c r="C426" i="10" s="1"/>
  <c r="E425" i="10"/>
  <c r="D425" i="10" s="1"/>
  <c r="C425" i="10" s="1"/>
  <c r="E424" i="10"/>
  <c r="D424" i="10" s="1"/>
  <c r="C424" i="10" s="1"/>
  <c r="E423" i="10"/>
  <c r="D423" i="10"/>
  <c r="C423" i="10" s="1"/>
  <c r="E422" i="10"/>
  <c r="D422" i="10" s="1"/>
  <c r="C422" i="10" s="1"/>
  <c r="E421" i="10"/>
  <c r="D421" i="10" s="1"/>
  <c r="C421" i="10" s="1"/>
  <c r="E420" i="10"/>
  <c r="D420" i="10" s="1"/>
  <c r="C420" i="10" s="1"/>
  <c r="E419" i="10"/>
  <c r="D419" i="10" s="1"/>
  <c r="C419" i="10" s="1"/>
  <c r="E418" i="10"/>
  <c r="D418" i="10" s="1"/>
  <c r="C418" i="10" s="1"/>
  <c r="E417" i="10"/>
  <c r="D417" i="10" s="1"/>
  <c r="C417" i="10" s="1"/>
  <c r="E416" i="10"/>
  <c r="D416" i="10" s="1"/>
  <c r="E415" i="10"/>
  <c r="D415" i="10" s="1"/>
  <c r="C415" i="10" s="1"/>
  <c r="E414" i="10"/>
  <c r="D414" i="10"/>
  <c r="C414" i="10" s="1"/>
  <c r="E413" i="10"/>
  <c r="D413" i="10" s="1"/>
  <c r="C413" i="10" s="1"/>
  <c r="E412" i="10"/>
  <c r="D412" i="10" s="1"/>
  <c r="C412" i="10" s="1"/>
  <c r="E411" i="10"/>
  <c r="D411" i="10" s="1"/>
  <c r="C411" i="10" s="1"/>
  <c r="E410" i="10"/>
  <c r="D410" i="10" s="1"/>
  <c r="C410" i="10" s="1"/>
  <c r="E409" i="10"/>
  <c r="D409" i="10" s="1"/>
  <c r="C409" i="10" s="1"/>
  <c r="E408" i="10"/>
  <c r="D408" i="10" s="1"/>
  <c r="C408" i="10" s="1"/>
  <c r="E407" i="10"/>
  <c r="D407" i="10"/>
  <c r="C407" i="10" s="1"/>
  <c r="E406" i="10"/>
  <c r="D406" i="10" s="1"/>
  <c r="C406" i="10" s="1"/>
  <c r="E405" i="10"/>
  <c r="D405" i="10" s="1"/>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c r="C391" i="10" s="1"/>
  <c r="E390" i="10"/>
  <c r="D390" i="10" s="1"/>
  <c r="C390" i="10" s="1"/>
  <c r="E389" i="10"/>
  <c r="D389" i="10" s="1"/>
  <c r="C389" i="10" s="1"/>
  <c r="E388" i="10"/>
  <c r="D388" i="10" s="1"/>
  <c r="C388" i="10" s="1"/>
  <c r="E387" i="10"/>
  <c r="D387" i="10" s="1"/>
  <c r="C387" i="10" s="1"/>
  <c r="E386" i="10"/>
  <c r="D386" i="10" s="1"/>
  <c r="C386" i="10" s="1"/>
  <c r="E385" i="10"/>
  <c r="D385" i="10" s="1"/>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c r="C366" i="10" s="1"/>
  <c r="E365" i="10"/>
  <c r="D365" i="10" s="1"/>
  <c r="C365" i="10" s="1"/>
  <c r="E364" i="10"/>
  <c r="D364" i="10" s="1"/>
  <c r="C364" i="10" s="1"/>
  <c r="E363" i="10"/>
  <c r="D363" i="10" s="1"/>
  <c r="C363" i="10" s="1"/>
  <c r="E362" i="10"/>
  <c r="D362" i="10" s="1"/>
  <c r="C362" i="10" s="1"/>
  <c r="E361" i="10"/>
  <c r="D361" i="10" s="1"/>
  <c r="C361" i="10" s="1"/>
  <c r="E360" i="10"/>
  <c r="D360" i="10" s="1"/>
  <c r="C360" i="10" s="1"/>
  <c r="E359" i="10"/>
  <c r="D359" i="10"/>
  <c r="C359" i="10" s="1"/>
  <c r="E358" i="10"/>
  <c r="D358" i="10" s="1"/>
  <c r="C358" i="10" s="1"/>
  <c r="E357" i="10"/>
  <c r="D357" i="10" s="1"/>
  <c r="C357" i="10" s="1"/>
  <c r="E356" i="10"/>
  <c r="D356" i="10" s="1"/>
  <c r="C356" i="10" s="1"/>
  <c r="E355" i="10"/>
  <c r="D355" i="10" s="1"/>
  <c r="C355" i="10" s="1"/>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s="1"/>
  <c r="C341" i="10" s="1"/>
  <c r="E340" i="10"/>
  <c r="D340" i="10" s="1"/>
  <c r="C340" i="10" s="1"/>
  <c r="E339" i="10"/>
  <c r="D339" i="10" s="1"/>
  <c r="C339" i="10" s="1"/>
  <c r="E338" i="10"/>
  <c r="D338" i="10" s="1"/>
  <c r="C338" i="10" s="1"/>
  <c r="E337" i="10"/>
  <c r="D337" i="10" s="1"/>
  <c r="C337" i="10" s="1"/>
  <c r="E336" i="10"/>
  <c r="D336" i="10" s="1"/>
  <c r="E335" i="10"/>
  <c r="D335" i="10" s="1"/>
  <c r="C335" i="10" s="1"/>
  <c r="E334" i="10"/>
  <c r="D334" i="10"/>
  <c r="C334" i="10" s="1"/>
  <c r="E333" i="10"/>
  <c r="D333" i="10" s="1"/>
  <c r="C333" i="10" s="1"/>
  <c r="E332" i="10"/>
  <c r="D332" i="10" s="1"/>
  <c r="C332" i="10" s="1"/>
  <c r="E331" i="10"/>
  <c r="D331" i="10" s="1"/>
  <c r="C331" i="10" s="1"/>
  <c r="E330" i="10"/>
  <c r="D330" i="10" s="1"/>
  <c r="C330" i="10" s="1"/>
  <c r="E329" i="10"/>
  <c r="D329" i="10" s="1"/>
  <c r="C329" i="10" s="1"/>
  <c r="E328" i="10"/>
  <c r="D328" i="10" s="1"/>
  <c r="C328" i="10" s="1"/>
  <c r="E327" i="10"/>
  <c r="D327" i="10"/>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C304" i="10" s="1"/>
  <c r="E303" i="10"/>
  <c r="D303" i="10" s="1"/>
  <c r="C303" i="10" s="1"/>
  <c r="E302" i="10"/>
  <c r="D302" i="10"/>
  <c r="C302" i="10" s="1"/>
  <c r="E301" i="10"/>
  <c r="D301" i="10" s="1"/>
  <c r="C301" i="10" s="1"/>
  <c r="E300" i="10"/>
  <c r="D300" i="10" s="1"/>
  <c r="C300" i="10" s="1"/>
  <c r="E299" i="10"/>
  <c r="D299" i="10" s="1"/>
  <c r="C299" i="10" s="1"/>
  <c r="E298" i="10"/>
  <c r="D298" i="10" s="1"/>
  <c r="C298" i="10" s="1"/>
  <c r="E297" i="10"/>
  <c r="D297" i="10" s="1"/>
  <c r="C297" i="10" s="1"/>
  <c r="E296" i="10"/>
  <c r="D296" i="10" s="1"/>
  <c r="E295" i="10"/>
  <c r="D295" i="10"/>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C281" i="10" s="1"/>
  <c r="E280" i="10"/>
  <c r="D280" i="10" s="1"/>
  <c r="C280" i="10" s="1"/>
  <c r="E279" i="10"/>
  <c r="D279" i="10"/>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c r="C270" i="10" s="1"/>
  <c r="E269" i="10"/>
  <c r="D269" i="10" s="1"/>
  <c r="C269" i="10" s="1"/>
  <c r="E268" i="10"/>
  <c r="D268" i="10" s="1"/>
  <c r="C268" i="10" s="1"/>
  <c r="E267" i="10"/>
  <c r="D267" i="10" s="1"/>
  <c r="C267" i="10" s="1"/>
  <c r="E266" i="10"/>
  <c r="D266" i="10" s="1"/>
  <c r="C266" i="10" s="1"/>
  <c r="E265" i="10"/>
  <c r="D265" i="10" s="1"/>
  <c r="C265" i="10" s="1"/>
  <c r="E264" i="10"/>
  <c r="D264" i="10" s="1"/>
  <c r="C264" i="10" s="1"/>
  <c r="E263" i="10"/>
  <c r="D263" i="10"/>
  <c r="C263" i="10" s="1"/>
  <c r="E262" i="10"/>
  <c r="D262" i="10" s="1"/>
  <c r="C262" i="10" s="1"/>
  <c r="E261" i="10"/>
  <c r="D261" i="10" s="1"/>
  <c r="C261" i="10" s="1"/>
  <c r="E260" i="10"/>
  <c r="D260" i="10" s="1"/>
  <c r="C260" i="10" s="1"/>
  <c r="E259" i="10"/>
  <c r="D259" i="10" s="1"/>
  <c r="C259" i="10" s="1"/>
  <c r="E258" i="10"/>
  <c r="D258" i="10" s="1"/>
  <c r="C258" i="10" s="1"/>
  <c r="E257" i="10"/>
  <c r="D257" i="10" s="1"/>
  <c r="C257" i="10"/>
  <c r="E256" i="10"/>
  <c r="D256" i="10" s="1"/>
  <c r="C256" i="10" s="1"/>
  <c r="E255" i="10"/>
  <c r="D255" i="10" s="1"/>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c r="C227" i="10" s="1"/>
  <c r="E226" i="10"/>
  <c r="D226" i="10" s="1"/>
  <c r="C226" i="10" s="1"/>
  <c r="E225" i="10"/>
  <c r="D225" i="10"/>
  <c r="C225" i="10"/>
  <c r="E224" i="10"/>
  <c r="D224" i="10" s="1"/>
  <c r="C224" i="10" s="1"/>
  <c r="E223" i="10"/>
  <c r="D223" i="10" s="1"/>
  <c r="C223" i="10" s="1"/>
  <c r="E222" i="10"/>
  <c r="D222" i="10"/>
  <c r="C222" i="10" s="1"/>
  <c r="E221" i="10"/>
  <c r="D221" i="10" s="1"/>
  <c r="C221" i="10" s="1"/>
  <c r="E220" i="10"/>
  <c r="D220" i="10" s="1"/>
  <c r="C220" i="10" s="1"/>
  <c r="E219" i="10"/>
  <c r="D219" i="10" s="1"/>
  <c r="C219" i="10" s="1"/>
  <c r="E218" i="10"/>
  <c r="D218" i="10"/>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c r="C178" i="10" s="1"/>
  <c r="E177" i="10"/>
  <c r="D177" i="10" s="1"/>
  <c r="C177" i="10" s="1"/>
  <c r="E176" i="10"/>
  <c r="D176" i="10" s="1"/>
  <c r="C176" i="10" s="1"/>
  <c r="E175" i="10"/>
  <c r="D175" i="10" s="1"/>
  <c r="C175" i="10" s="1"/>
  <c r="E174" i="10"/>
  <c r="D174" i="10" s="1"/>
  <c r="C174" i="10" s="1"/>
  <c r="E173" i="10"/>
  <c r="D173" i="10"/>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s="1"/>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s="1"/>
  <c r="C56" i="10" s="1"/>
  <c r="E55" i="10"/>
  <c r="D55" i="10" s="1"/>
  <c r="C55" i="10" s="1"/>
  <c r="E54" i="10"/>
  <c r="D54" i="10" s="1"/>
  <c r="C54" i="10" s="1"/>
  <c r="E53" i="10"/>
  <c r="D53" i="10" s="1"/>
  <c r="C53" i="10" s="1"/>
  <c r="E52" i="10"/>
  <c r="D52" i="10" s="1"/>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s="1"/>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s="1"/>
  <c r="C8" i="10" s="1"/>
  <c r="E7" i="10"/>
  <c r="D7" i="10" s="1"/>
  <c r="C7" i="10" s="1"/>
  <c r="E6" i="10"/>
  <c r="D6" i="10" s="1"/>
  <c r="C6" i="10" s="1"/>
  <c r="E5" i="10"/>
  <c r="D5" i="10" s="1"/>
  <c r="C5" i="10" s="1"/>
  <c r="E4" i="10"/>
  <c r="D4" i="10" s="1"/>
  <c r="C4" i="10" s="1"/>
  <c r="E3" i="10"/>
  <c r="D3" i="10" s="1"/>
  <c r="C3" i="10" s="1"/>
  <c r="E2" i="10"/>
  <c r="D2" i="10" s="1"/>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J54" i="5" s="1"/>
  <c r="D43" i="11"/>
  <c r="J35" i="5" s="1"/>
  <c r="AJ43" i="11"/>
  <c r="AE43" i="11"/>
  <c r="E59" i="5" s="1"/>
  <c r="AA43" i="11"/>
  <c r="E54" i="5" s="1"/>
  <c r="C43" i="11"/>
  <c r="E35" i="5" s="1"/>
  <c r="AN43" i="11"/>
  <c r="J63" i="5" s="1"/>
  <c r="AI43" i="11"/>
  <c r="E61" i="5" s="1"/>
  <c r="V43" i="11"/>
  <c r="J48" i="5" s="1"/>
  <c r="R43" i="11"/>
  <c r="AM43" i="11"/>
  <c r="E63" i="5" s="1"/>
  <c r="U43" i="11"/>
  <c r="E48" i="5" s="1"/>
  <c r="Q43" i="11"/>
  <c r="E46" i="5" s="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J65" i="5" s="1"/>
  <c r="AL43" i="11"/>
  <c r="AH43" i="11"/>
  <c r="AK43" i="11"/>
  <c r="E62" i="5" s="1"/>
  <c r="X43" i="11"/>
  <c r="J50" i="5" s="1"/>
  <c r="T43" i="11"/>
  <c r="P43" i="11"/>
  <c r="J43" i="5" s="1"/>
  <c r="L43" i="11"/>
  <c r="H43" i="11"/>
  <c r="AO43" i="11"/>
  <c r="E65" i="5" s="1"/>
  <c r="W43" i="11"/>
  <c r="E50" i="5" s="1"/>
  <c r="S43" i="11"/>
  <c r="E47" i="5" s="1"/>
  <c r="O43" i="11"/>
  <c r="E43" i="5" s="1"/>
  <c r="K43" i="11"/>
  <c r="G43" i="11"/>
  <c r="AD43" i="11"/>
  <c r="J56" i="5" s="1"/>
  <c r="Z43" i="11"/>
  <c r="N43" i="11"/>
  <c r="J40" i="5" s="1"/>
  <c r="J43" i="11"/>
  <c r="F43" i="11"/>
  <c r="J37" i="5" s="1"/>
  <c r="AG43" i="11"/>
  <c r="E60" i="5" s="1"/>
  <c r="AC43" i="11"/>
  <c r="E56" i="5" s="1"/>
  <c r="Y43" i="11"/>
  <c r="E53" i="5" s="1"/>
  <c r="M43" i="11"/>
  <c r="E40" i="5" s="1"/>
  <c r="I43" i="11"/>
  <c r="E43" i="11"/>
  <c r="E37" i="5" s="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38" i="5" l="1"/>
  <c r="F38" i="5"/>
  <c r="C38" i="5"/>
  <c r="G38" i="5" s="1"/>
  <c r="B57" i="5"/>
  <c r="C57" i="5"/>
  <c r="G57" i="5" s="1"/>
  <c r="F57" i="5"/>
  <c r="B66" i="5"/>
  <c r="C66" i="5"/>
  <c r="G66" i="5" s="1"/>
  <c r="F66" i="5"/>
  <c r="F64" i="5"/>
  <c r="C64" i="5"/>
  <c r="G64" i="5" s="1"/>
  <c r="B64" i="5"/>
  <c r="F44" i="5"/>
  <c r="C44" i="5"/>
  <c r="G44" i="5" s="1"/>
  <c r="B44" i="5"/>
  <c r="F36" i="5"/>
  <c r="C36" i="5"/>
  <c r="G36" i="5" s="1"/>
  <c r="B36" i="5"/>
  <c r="B41" i="5"/>
  <c r="C41" i="5"/>
  <c r="G41" i="5" s="1"/>
  <c r="F41" i="5"/>
  <c r="C55" i="5"/>
  <c r="G55" i="5" s="1"/>
  <c r="F55" i="5"/>
  <c r="B55" i="5"/>
  <c r="C51" i="5"/>
  <c r="G51" i="5" s="1"/>
  <c r="F51" i="5"/>
  <c r="B51" i="5"/>
  <c r="F49" i="5"/>
  <c r="B49" i="5"/>
  <c r="C49" i="5"/>
  <c r="G49"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3"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<sst xmlns="http://schemas.openxmlformats.org/spreadsheetml/2006/main" count="4616" uniqueCount="449">
  <si>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</si>
  <si>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</si>
  <si>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</si>
  <si>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</si>
  <si>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</si>
  <si>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</si>
  <si>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</si>
  <si>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</si>
  <si>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</si>
  <si>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</si>
  <si>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</si>
  <si>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</si>
  <si>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</si>
  <si>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</si>
  <si>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</si>
  <si>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</si>
  <si>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</si>
  <si>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</si>
  <si>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</si>
  <si>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</si>
  <si>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</si>
  <si>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</si>
  <si>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</si>
  <si>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</si>
  <si>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</si>
  <si>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</si>
  <si>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</si>
  <si>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</si>
  <si>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</si>
  <si>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</si>
  <si>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</si>
  <si>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</si>
  <si>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</si>
  <si>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</si>
  <si>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</si>
  <si>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</si>
  <si>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</si>
  <si>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</si>
  <si>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</si>
  <si>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</si>
  <si>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</si>
  <si>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</si>
  <si>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</si>
  <si>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</si>
  <si>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</si>
  <si>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</si>
  <si>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</si>
  <si>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</si>
  <si>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</si>
  <si>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</si>
  <si>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</si>
  <si>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</si>
  <si>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</si>
  <si>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</si>
  <si>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</si>
  <si>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</si>
  <si>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</si>
  <si>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</si>
  <si>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</si>
  <si>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</si>
  <si>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</si>
  <si>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</si>
  <si>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</si>
  <si>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</si>
  <si>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</si>
  <si>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</si>
  <si>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</si>
  <si>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</si>
  <si>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</si>
  <si>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</si>
  <si>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</si>
  <si>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</si>
  <si>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</si>
  <si>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</si>
  <si>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</si>
  <si>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</si>
  <si>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</si>
  <si>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</si>
  <si>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</si>
  <si>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</si>
  <si>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</si>
  <si>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</si>
  <si>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</si>
  <si>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</si>
  <si>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</si>
  <si>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</si>
  <si>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</si>
  <si>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</si>
  <si>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</si>
  <si>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</si>
  <si>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</si>
  <si>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</si>
  <si>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</si>
  <si>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</si>
  <si>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</si>
  <si>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</si>
  <si>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</si>
  <si>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</si>
  <si>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</si>
  <si>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</si>
  <si>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</si>
  <si>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</si>
  <si>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</si>
  <si>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</si>
  <si>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</si>
  <si>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</si>
  <si>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</si>
  <si>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</si>
  <si>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</si>
  <si>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</si>
  <si>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</si>
  <si>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</si>
  <si>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</si>
  <si>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</si>
  <si>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</si>
  <si>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</si>
  <si>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</si>
  <si>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</si>
  <si>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</si>
  <si>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</si>
  <si>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</si>
  <si>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</si>
  <si>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</si>
  <si>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</si>
  <si>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</si>
  <si>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</si>
  <si>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</si>
  <si>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</si>
  <si>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</si>
  <si>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</si>
  <si>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</si>
  <si>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</si>
  <si>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</si>
  <si>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</si>
  <si>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</si>
  <si>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</si>
  <si>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</si>
  <si>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</si>
  <si>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</si>
  <si>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</si>
  <si>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</si>
  <si>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</si>
  <si>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</si>
  <si>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</si>
  <si>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</si>
  <si>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</si>
  <si>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</si>
  <si>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</si>
  <si>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</si>
  <si>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</si>
  <si>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</si>
  <si>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</si>
  <si>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</si>
  <si>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</si>
  <si>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</si>
  <si>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</si>
  <si>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</si>
  <si>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</si>
  <si>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</si>
  <si>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</si>
  <si>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</si>
  <si>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</si>
  <si>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</si>
  <si>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</si>
  <si>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</si>
  <si>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</si>
  <si>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</si>
  <si>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</si>
  <si>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</si>
  <si>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</si>
  <si>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</si>
  <si>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</si>
  <si>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</si>
  <si>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</si>
  <si>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</si>
  <si>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</si>
  <si>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</si>
  <si>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</si>
  <si>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</si>
  <si>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</si>
  <si>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</si>
  <si>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</si>
  <si>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</si>
  <si>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</si>
  <si>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</si>
  <si>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</si>
  <si>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</si>
  <si>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</si>
  <si>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</si>
  <si>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</si>
  <si>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</si>
  <si>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</si>
  <si>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</si>
  <si>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</si>
  <si>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</si>
  <si>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</si>
  <si>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</si>
  <si>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</si>
  <si>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</si>
  <si>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</si>
  <si>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</si>
  <si>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</si>
  <si>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</si>
  <si>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</si>
  <si>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</si>
  <si>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</si>
  <si>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</si>
  <si>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</si>
  <si>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</si>
  <si>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</si>
  <si>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</si>
  <si>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</si>
  <si>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</si>
  <si>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</si>
  <si>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</si>
  <si>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</si>
  <si>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</si>
  <si>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</si>
  <si>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</si>
  <si>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</si>
  <si>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</si>
  <si>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</si>
  <si>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</si>
  <si>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</si>
  <si>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</si>
  <si>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</si>
  <si>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</si>
  <si>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</si>
  <si>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</si>
  <si>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</si>
  <si>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</si>
  <si>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</si>
  <si>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</si>
  <si>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</si>
  <si>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</si>
  <si>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</si>
  <si>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</si>
  <si>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</si>
  <si>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</si>
  <si>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</si>
  <si>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</si>
  <si>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</si>
  <si>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</si>
  <si>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</si>
  <si>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</si>
  <si>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</si>
  <si>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</si>
  <si>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</si>
  <si>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</si>
  <si>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</si>
  <si>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</si>
  <si>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</si>
  <si>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</si>
  <si>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</si>
  <si>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</si>
  <si>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</si>
  <si>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</si>
  <si>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</si>
  <si>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</si>
  <si>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</si>
  <si>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</si>
  <si>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</si>
  <si>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</si>
  <si>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</si>
  <si>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</si>
  <si>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</si>
  <si>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</si>
  <si>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</si>
  <si>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</si>
  <si>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</si>
  <si>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</si>
  <si>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</si>
  <si>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</si>
  <si>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</si>
  <si>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</si>
  <si>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</si>
  <si>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</si>
  <si>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</si>
  <si>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</si>
  <si>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</si>
  <si>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</si>
  <si>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</si>
  <si>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</si>
  <si>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</si>
  <si>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</si>
  <si>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</si>
  <si>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</si>
  <si>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</si>
  <si>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</si>
  <si>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</si>
  <si>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</si>
  <si>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</si>
  <si>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</si>
  <si>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</si>
  <si>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</si>
  <si>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</si>
  <si>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</si>
  <si>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</si>
  <si>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</si>
  <si>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</si>
  <si>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</si>
  <si>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</si>
  <si>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</si>
  <si>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</si>
  <si>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</si>
  <si>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</si>
  <si>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</si>
  <si>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</si>
  <si>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</si>
  <si>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</si>
  <si>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</si>
  <si>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</si>
  <si>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</si>
  <si>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</si>
  <si>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</si>
  <si>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</si>
  <si>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</si>
  <si>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</si>
  <si>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</si>
  <si>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</si>
  <si>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</si>
  <si>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</si>
  <si>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</si>
  <si>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</si>
  <si>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</si>
  <si>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</si>
  <si>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</si>
  <si>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</si>
  <si>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</si>
  <si>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</si>
  <si>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</si>
  <si>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</si>
  <si>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</si>
  <si>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</si>
  <si>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</si>
  <si>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</si>
  <si>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</si>
  <si>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</si>
  <si>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</si>
  <si>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</si>
  <si>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</si>
  <si>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</si>
  <si>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</si>
  <si>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</si>
  <si>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</si>
  <si>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</si>
  <si>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</si>
  <si>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</si>
  <si>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</si>
  <si>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</si>
  <si>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</si>
  <si>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</si>
  <si>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</si>
  <si>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</si>
  <si>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</si>
  <si>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</si>
  <si>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</si>
  <si>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</si>
  <si>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</si>
  <si>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</si>
  <si>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</si>
  <si>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</si>
  <si>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</si>
  <si>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</si>
  <si>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</si>
  <si>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</si>
  <si>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</si>
  <si>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</si>
  <si>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</si>
  <si>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</si>
  <si>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</si>
  <si>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</si>
  <si>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</si>
  <si>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</si>
  <si>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</si>
  <si>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</si>
  <si>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</si>
  <si>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</si>
  <si>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</si>
  <si>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</si>
  <si>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</si>
  <si>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</si>
  <si>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</si>
  <si>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</si>
  <si>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</si>
  <si>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</si>
  <si>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</si>
  <si>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</si>
  <si>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</si>
  <si>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</si>
  <si>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</si>
  <si>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</si>
  <si>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</si>
  <si>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</si>
  <si>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</si>
  <si>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</si>
  <si>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</si>
  <si>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</si>
  <si>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</si>
  <si>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</si>
  <si>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</si>
  <si>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</si>
  <si>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</si>
  <si>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</si>
  <si>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</si>
  <si>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</si>
  <si>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</si>
  <si>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</si>
  <si>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</si>
  <si>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</si>
  <si>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</si>
  <si>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</si>
  <si>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</si>
  <si>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</si>
  <si>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</si>
  <si>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</si>
  <si>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</si>
  <si>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</si>
  <si>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</si>
  <si>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</si>
  <si>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</si>
  <si>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</si>
  <si>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</si>
  <si>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</si>
  <si>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</si>
  <si>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</si>
  <si>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</si>
  <si>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</si>
  <si>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</si>
  <si>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</si>
  <si>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</si>
  <si>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</si>
  <si>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</si>
  <si>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</si>
  <si>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</si>
  <si>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</si>
  <si>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</si>
  <si>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</si>
  <si>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</si>
  <si>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</si>
  <si>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北京雷锋小学始建于1946年，1990年由北京市人民政府命名为北京雷锋小学，是北京唯一一所以“雷锋”命名的学校。2017年5月，北京市西城区新街口东街小学与北京雷锋小学合并，成立新的北京雷锋小学。北京雷锋小学一直是西城区区委和区教委确定的爱国主义教育基地，多年来雷锋精神已成为学校的精神追求和道德理念，成为学校周边、社区教育的宣传点。学校把雷锋精神作为校魂，树立以雷锋精神建校育人宗旨，提倡教师像雷锋那样敬业爱岗，学生像雷锋那样做人成材，并已形成学校学雷锋做雷锋学校文化。
现共有在职教师102人(上年年末在职教师99人)，退休教师94人(上年末95人),在校学生40个班共计1375名学生（在校生1375人）
</t>
    <phoneticPr fontId="3" type="noConversion"/>
  </si>
  <si>
    <t>主要原因是人员增加，人员经费增加；扩班带来的项目类增加；退休去世人员增加，丧葬抚恤金增加</t>
    <phoneticPr fontId="3" type="noConversion"/>
  </si>
  <si>
    <t>主要原因是人员增加，人员经费增加；扩班带来的项目类增加。</t>
    <phoneticPr fontId="3" type="noConversion"/>
  </si>
  <si>
    <t>主要原因是由于疫情缘故，没有进行培训。</t>
    <phoneticPr fontId="3" type="noConversion"/>
  </si>
  <si>
    <t>主要原因是部分项目支付后剩余尾款上交财政。</t>
    <phoneticPr fontId="3" type="noConversion"/>
  </si>
  <si>
    <t>主要原因是增加人员后，行政事业单位养老保险增加。</t>
    <phoneticPr fontId="3" type="noConversion"/>
  </si>
  <si>
    <t>主要原因是增加人员后，医疗保险增加。</t>
    <phoneticPr fontId="3" type="noConversion"/>
  </si>
  <si>
    <t>主要原因是增加人员后，住房公积金增加，住房补贴增加。</t>
    <phoneticPr fontId="3" type="noConversion"/>
  </si>
  <si>
    <t>北京雷锋小学对2020年度部门项目支出实施绩效评价，评价项目4个，占项目总数的15.38%，涉及金额426.8万元。预算执行负责人由主管校长胡兵负责，主要组成人员有总务主任田海涛,蔡宇,会计主管张喜军以及全体行政干部。队伍具有较强的专业素养和业务能力，有明确的组织和分工，学校具有较强的执行力。为满足项目实施的需要，学校为改善软、硬件环境做出了极大的努力，具备项目开展的条件。所有项目严格按照预算项目申请要求落实，结果满意无偏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</si>
</sst>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6640625" customWidth="1"/>
    <col min="2" max="2" width="12.77734375" bestFit="1" customWidth="1"/>
  </cols>
  <sheetData>
    <row r="1" spans="1:14" ht="37.65" customHeight="1">
      <c r="A1" s="25" t="s">
        <v>0</v>
      </c>
      <c r="B1" s="26">
        <v>255053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北京雷锋小学</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E24" sqref="E24"/>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432</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selection activeCell="A70" sqref="A70:XFD77"/>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42.5" customHeight="1">
      <c r="A4" s="58" t="s">
        <v>440</v>
      </c>
      <c r="B4" s="58"/>
      <c r="C4" s="58"/>
      <c r="D4" s="58"/>
      <c r="E4" s="58"/>
      <c r="F4" s="58"/>
      <c r="G4" s="58"/>
      <c r="H4" s="58"/>
      <c r="I4" s="58"/>
      <c r="J4" s="58"/>
      <c r="K4" s="58"/>
      <c r="L4" s="58"/>
      <c r="M4" s="58"/>
      <c r="N4" s="17"/>
    </row>
    <row r="5" spans="1:14" ht="18" customHeight="1">
      <c r="A5" s="7" t="s">
        <v>183</v>
      </c>
    </row>
    <row r="6" spans="1:14" ht="18" customHeight="1">
      <c r="A6" s="62" t="s">
        <v>262</v>
      </c>
      <c r="B6" s="62"/>
      <c r="C6" s="10">
        <v>107</v>
      </c>
      <c r="D6" s="10" t="s">
        <v>264</v>
      </c>
      <c r="E6" s="8">
        <f>_xlfn.IFNA(VLOOKUP(封面!B1,'2020决算导出'!A:C,3,FALSE),"")</f>
        <v>102</v>
      </c>
      <c r="F6" s="10" t="s">
        <v>265</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50892382.189999998</v>
      </c>
      <c r="E8" s="7" t="s">
        <v>187</v>
      </c>
      <c r="F8" s="18" t="s">
        <v>266</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5805506.8099999949</v>
      </c>
      <c r="I8" s="15" t="s">
        <v>187</v>
      </c>
      <c r="J8" s="28" t="str">
        <f>IF(ISNA(VLOOKUP(封面!B1,'2019决算导出'!A:C,3,FALSE)),"",IF(D8-VLOOKUP(封面!B1,'2019决算导出'!A:C,3,FALSE)&gt;0,"增长","下降"))</f>
        <v>增长</v>
      </c>
      <c r="K8" s="29">
        <f>IF(ISNA(VLOOKUP(封面!B1,'2019决算导出'!A:C,3,FALSE)),"",H8/VLOOKUP(封面!B1,'2019决算导出'!A:C,3,FALSE))</f>
        <v>0.12876267785403572</v>
      </c>
      <c r="L8" s="7" t="s">
        <v>330</v>
      </c>
    </row>
    <row r="9" spans="1:14" ht="18" customHeight="1">
      <c r="A9" s="7" t="s">
        <v>188</v>
      </c>
      <c r="G9" s="30"/>
      <c r="H9" s="30"/>
      <c r="I9" s="30"/>
      <c r="J9" s="30"/>
      <c r="K9" s="30"/>
    </row>
    <row r="10" spans="1:14" ht="18" customHeight="1">
      <c r="A10" s="62" t="s">
        <v>189</v>
      </c>
      <c r="B10" s="62"/>
      <c r="C10" s="62"/>
      <c r="D10" s="13">
        <f>_xlfn.IFNA(VLOOKUP(封面!B1,'2020决算导出'!A:E,5,FALSE),"")</f>
        <v>50176843.32</v>
      </c>
      <c r="E10" s="7" t="s">
        <v>187</v>
      </c>
      <c r="F10" s="18" t="s">
        <v>266</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5598287.3400000036</v>
      </c>
      <c r="I10" s="15" t="s">
        <v>187</v>
      </c>
      <c r="J10" s="28" t="str">
        <f>IF(ISNA(VLOOKUP(封面!B1,'2019决算导出'!A:D,4,FALSE)),"",IF(D10-VLOOKUP(封面!B1,'2019决算导出'!A:D,4,FALSE)&gt;0,"增长","下降"))</f>
        <v>增长</v>
      </c>
      <c r="K10" s="29">
        <f>IF(ISNA(VLOOKUP(封面!B1,'2019决算导出'!A:D,4,FALSE)),"",H10/VLOOKUP(封面!B1,'2019决算导出'!A:D,4,FALSE))</f>
        <v>0.12558251870050824</v>
      </c>
      <c r="L10" s="7" t="s">
        <v>331</v>
      </c>
    </row>
    <row r="11" spans="1:14" ht="18" customHeight="1">
      <c r="A11" s="62" t="s">
        <v>190</v>
      </c>
      <c r="B11" s="62"/>
      <c r="C11" s="62"/>
      <c r="D11" s="13">
        <f>_xlfn.IFNA(VLOOKUP(封面!B1,'2020决算导出'!A:F,6,FALSE),"")</f>
        <v>50176843.32</v>
      </c>
      <c r="E11" s="7" t="s">
        <v>187</v>
      </c>
      <c r="F11" s="62" t="s">
        <v>191</v>
      </c>
      <c r="G11" s="62"/>
      <c r="H11" s="27">
        <f>D11/$D$10</f>
        <v>1</v>
      </c>
      <c r="I11" s="7" t="s">
        <v>332</v>
      </c>
    </row>
    <row r="12" spans="1:14" ht="18" customHeight="1">
      <c r="A12" s="62" t="s">
        <v>192</v>
      </c>
      <c r="B12" s="62"/>
      <c r="C12" s="62"/>
      <c r="D12" s="13">
        <f>_xlfn.IFNA(VLOOKUP(封面!B1,'2020决算导出'!A:G,7,FALSE),"")</f>
        <v>0</v>
      </c>
      <c r="E12" s="7" t="s">
        <v>187</v>
      </c>
      <c r="F12" s="62" t="s">
        <v>191</v>
      </c>
      <c r="G12" s="62"/>
      <c r="H12" s="27">
        <f t="shared" ref="H12:H15" si="0">D12/$D$10</f>
        <v>0</v>
      </c>
      <c r="I12" s="7" t="s">
        <v>332</v>
      </c>
    </row>
    <row r="13" spans="1:14" ht="18" customHeight="1">
      <c r="A13" s="62" t="s">
        <v>193</v>
      </c>
      <c r="B13" s="62"/>
      <c r="C13" s="62"/>
      <c r="D13" s="13">
        <f>_xlfn.IFNA(VLOOKUP(封面!B1,'2020决算导出'!A:H,8,FALSE),"")</f>
        <v>0</v>
      </c>
      <c r="E13" s="7" t="s">
        <v>187</v>
      </c>
      <c r="F13" s="62" t="s">
        <v>191</v>
      </c>
      <c r="G13" s="62"/>
      <c r="H13" s="27">
        <f t="shared" si="0"/>
        <v>0</v>
      </c>
      <c r="I13" s="7" t="s">
        <v>332</v>
      </c>
    </row>
    <row r="14" spans="1:14" ht="18" customHeight="1">
      <c r="A14" s="62" t="s">
        <v>194</v>
      </c>
      <c r="B14" s="62"/>
      <c r="C14" s="62"/>
      <c r="D14" s="13">
        <f>_xlfn.IFNA(VLOOKUP(封面!B1,'2020决算导出'!A:I,9,FALSE),"")</f>
        <v>0</v>
      </c>
      <c r="E14" s="7" t="s">
        <v>187</v>
      </c>
      <c r="F14" s="62" t="s">
        <v>191</v>
      </c>
      <c r="G14" s="62"/>
      <c r="H14" s="27">
        <f t="shared" si="0"/>
        <v>0</v>
      </c>
      <c r="I14" s="7" t="s">
        <v>332</v>
      </c>
    </row>
    <row r="15" spans="1:14" ht="18" customHeight="1">
      <c r="A15" s="62" t="s">
        <v>195</v>
      </c>
      <c r="B15" s="62"/>
      <c r="C15" s="62"/>
      <c r="D15" s="13">
        <f>_xlfn.IFNA(VLOOKUP(封面!B1,'2020决算导出'!A:J,10,FALSE),"")</f>
        <v>0</v>
      </c>
      <c r="E15" s="7" t="s">
        <v>187</v>
      </c>
      <c r="F15" s="62" t="s">
        <v>191</v>
      </c>
      <c r="G15" s="62"/>
      <c r="H15" s="27">
        <f t="shared" si="0"/>
        <v>0</v>
      </c>
      <c r="I15" s="7" t="s">
        <v>333</v>
      </c>
    </row>
    <row r="16" spans="1:14" ht="18" customHeight="1">
      <c r="A16" s="7" t="s">
        <v>196</v>
      </c>
    </row>
    <row r="17" spans="1:13" ht="18" customHeight="1">
      <c r="A17" s="62" t="s">
        <v>197</v>
      </c>
      <c r="B17" s="62"/>
      <c r="C17" s="62"/>
      <c r="D17" s="13">
        <f>_xlfn.IFNA(VLOOKUP(封面!B1,'2020决算导出'!A:K,11,FALSE),"")</f>
        <v>50892382.189999998</v>
      </c>
      <c r="E17" s="7" t="s">
        <v>187</v>
      </c>
      <c r="F17" s="18" t="s">
        <v>266</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6630185.6799999997</v>
      </c>
      <c r="I17" s="7" t="s">
        <v>187</v>
      </c>
      <c r="J17" s="28" t="str">
        <f>IF(ISNA(VLOOKUP(封面!B1,'2019决算导出'!A:E,5,FALSE)),"",IF(D17-VLOOKUP(封面!B1,'2019决算导出'!A:E,5,FALSE)&gt;0,"增长","下降"))</f>
        <v>增长</v>
      </c>
      <c r="K17" s="29">
        <f>IF(ISNA(VLOOKUP(封面!B1,'2019决算导出'!A:E,5,FALSE)),"",H17/VLOOKUP(封面!B1,'2019决算导出'!A:E,5,FALSE))</f>
        <v>0.14979341747086741</v>
      </c>
      <c r="L17" s="7" t="s">
        <v>334</v>
      </c>
    </row>
    <row r="18" spans="1:13" ht="18" customHeight="1">
      <c r="A18" s="62" t="s">
        <v>198</v>
      </c>
      <c r="B18" s="62"/>
      <c r="C18" s="62"/>
      <c r="D18" s="13">
        <f>_xlfn.IFNA(VLOOKUP(封面!B1,'2020决算导出'!A:L,12,FALSE),"")</f>
        <v>42053660.450000003</v>
      </c>
      <c r="E18" s="7" t="s">
        <v>187</v>
      </c>
      <c r="F18" s="62" t="s">
        <v>199</v>
      </c>
      <c r="G18" s="62"/>
      <c r="H18" s="27">
        <f>D18/$D$17</f>
        <v>0.82632525027023118</v>
      </c>
      <c r="I18" s="7" t="s">
        <v>332</v>
      </c>
    </row>
    <row r="19" spans="1:13" ht="18" customHeight="1">
      <c r="A19" s="62" t="s">
        <v>200</v>
      </c>
      <c r="B19" s="62"/>
      <c r="C19" s="62"/>
      <c r="D19" s="13">
        <f>_xlfn.IFNA(VLOOKUP(封面!B1,'2020决算导出'!A:M,13,FALSE),"")</f>
        <v>8838721.7400000002</v>
      </c>
      <c r="E19" s="7" t="s">
        <v>187</v>
      </c>
      <c r="F19" s="62" t="s">
        <v>199</v>
      </c>
      <c r="G19" s="62"/>
      <c r="H19" s="27">
        <f t="shared" ref="H19:H20" si="1">D19/$D$17</f>
        <v>0.17367474972976896</v>
      </c>
      <c r="I19" s="7" t="s">
        <v>332</v>
      </c>
    </row>
    <row r="20" spans="1:13" ht="18" customHeight="1">
      <c r="A20" s="62" t="s">
        <v>201</v>
      </c>
      <c r="B20" s="62"/>
      <c r="C20" s="62"/>
      <c r="D20" s="13">
        <f>_xlfn.IFNA(VLOOKUP(封面!B1,'2020决算导出'!A:N,14,FALSE),"")</f>
        <v>0</v>
      </c>
      <c r="E20" s="7" t="s">
        <v>187</v>
      </c>
      <c r="F20" s="62" t="s">
        <v>199</v>
      </c>
      <c r="G20" s="62"/>
      <c r="H20" s="27">
        <f t="shared" si="1"/>
        <v>0</v>
      </c>
      <c r="I20" s="7" t="s">
        <v>333</v>
      </c>
    </row>
    <row r="21" spans="1:13" ht="18" customHeight="1">
      <c r="A21" s="6" t="s">
        <v>202</v>
      </c>
    </row>
    <row r="22" spans="1:13" ht="18" customHeight="1">
      <c r="A22" s="62" t="s">
        <v>203</v>
      </c>
      <c r="B22" s="62"/>
      <c r="C22" s="62"/>
      <c r="D22" s="62"/>
      <c r="E22" s="57">
        <f>_xlfn.IFNA(VLOOKUP(封面!B1,'2020决算导出'!A:O,15,FALSE),"")</f>
        <v>50892382.189999998</v>
      </c>
      <c r="F22" s="57"/>
      <c r="G22" s="14" t="s">
        <v>266</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6003561.2100000009</v>
      </c>
      <c r="J22" s="7" t="s">
        <v>187</v>
      </c>
      <c r="K22" s="28" t="str">
        <f>IF(ISNA(VLOOKUP(封面!B1,'2019决算导出'!A:F,6,FALSE)),"",IF(E22-VLOOKUP(封面!B1,'2019决算导出'!A:F,6,FALSE)&gt;0,"增长","下降"))</f>
        <v>增长</v>
      </c>
      <c r="L22" s="29">
        <f>IF(ISNA(VLOOKUP(封面!B1,'2019决算导出'!A:F,6,FALSE)),"",I22/VLOOKUP(封面!B1,'2019决算导出'!A:F,6,FALSE))</f>
        <v>0.13374290255194851</v>
      </c>
      <c r="M22" s="7" t="s">
        <v>330</v>
      </c>
    </row>
    <row r="23" spans="1:13" ht="28.5" customHeight="1">
      <c r="B23" s="64" t="s">
        <v>441</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2" t="s">
        <v>206</v>
      </c>
      <c r="B26" s="62"/>
      <c r="C26" s="62"/>
      <c r="D26" s="62"/>
      <c r="E26" s="62"/>
      <c r="F26" s="57">
        <f>_xlfn.IFNA(VLOOKUP(封面!B1,'2020决算导出'!A:P,16,FALSE),"")</f>
        <v>50892382.189999998</v>
      </c>
      <c r="G26" s="57"/>
      <c r="H26" s="7" t="s">
        <v>187</v>
      </c>
      <c r="I26" s="10" t="s">
        <v>207</v>
      </c>
      <c r="J26" s="10"/>
      <c r="K26" s="10"/>
      <c r="L26" s="10"/>
      <c r="M26" s="10"/>
    </row>
    <row r="27" spans="1:13" ht="18" customHeight="1">
      <c r="A27" s="62" t="s">
        <v>210</v>
      </c>
      <c r="B27" s="62"/>
      <c r="C27" s="62"/>
      <c r="D27" s="57">
        <f>_xlfn.IFNA(VLOOKUP(封面!B1,'2020决算导出'!A:Q,17,FALSE),"")</f>
        <v>38752060.18</v>
      </c>
      <c r="E27" s="57"/>
      <c r="F27" s="7" t="s">
        <v>187</v>
      </c>
      <c r="G27" s="60" t="s">
        <v>209</v>
      </c>
      <c r="H27" s="60"/>
      <c r="I27" s="27">
        <f>D27/$F$26</f>
        <v>0.76145109567330316</v>
      </c>
      <c r="J27" s="7" t="s">
        <v>332</v>
      </c>
      <c r="K27" s="9"/>
      <c r="L27" s="9"/>
      <c r="M27" s="9"/>
    </row>
    <row r="28" spans="1:13" ht="18" customHeight="1">
      <c r="A28" s="62" t="s">
        <v>211</v>
      </c>
      <c r="B28" s="62"/>
      <c r="C28" s="62"/>
      <c r="D28" s="57">
        <f>_xlfn.IFNA(VLOOKUP(封面!B1,'2020决算导出'!A:R,18,FALSE),"")</f>
        <v>0</v>
      </c>
      <c r="E28" s="57"/>
      <c r="F28" s="7" t="s">
        <v>187</v>
      </c>
      <c r="G28" s="60" t="s">
        <v>209</v>
      </c>
      <c r="H28" s="60"/>
      <c r="I28" s="27">
        <f t="shared" ref="I28:I33" si="2">D28/$F$26</f>
        <v>0</v>
      </c>
      <c r="J28" s="7" t="s">
        <v>332</v>
      </c>
      <c r="K28" s="9"/>
      <c r="L28" s="9"/>
      <c r="M28" s="9"/>
    </row>
    <row r="29" spans="1:13" ht="18" customHeight="1">
      <c r="A29" s="62" t="s">
        <v>208</v>
      </c>
      <c r="B29" s="62"/>
      <c r="C29" s="62"/>
      <c r="D29" s="57">
        <f>_xlfn.IFNA(VLOOKUP(封面!B1,'2020决算导出'!A:S,19,FALSE),"")</f>
        <v>5113613.0199999996</v>
      </c>
      <c r="E29" s="57"/>
      <c r="F29" s="7" t="s">
        <v>187</v>
      </c>
      <c r="G29" s="60" t="s">
        <v>209</v>
      </c>
      <c r="H29" s="60"/>
      <c r="I29" s="27">
        <f t="shared" si="2"/>
        <v>0.10047894792798262</v>
      </c>
      <c r="J29" s="7" t="s">
        <v>332</v>
      </c>
    </row>
    <row r="30" spans="1:13" ht="18" customHeight="1">
      <c r="A30" s="62" t="s">
        <v>212</v>
      </c>
      <c r="B30" s="62"/>
      <c r="C30" s="62"/>
      <c r="D30" s="57">
        <f>_xlfn.IFNA(VLOOKUP(封面!B1,'2020决算导出'!A:T,20,FALSE),"")</f>
        <v>2091480.99</v>
      </c>
      <c r="E30" s="57"/>
      <c r="F30" s="7" t="s">
        <v>187</v>
      </c>
      <c r="G30" s="60" t="s">
        <v>209</v>
      </c>
      <c r="H30" s="60"/>
      <c r="I30" s="27">
        <f t="shared" si="2"/>
        <v>4.1096150347054529E-2</v>
      </c>
      <c r="J30" s="7" t="s">
        <v>332</v>
      </c>
    </row>
    <row r="31" spans="1:13" ht="18" customHeight="1">
      <c r="A31" s="62" t="s">
        <v>213</v>
      </c>
      <c r="B31" s="62"/>
      <c r="C31" s="62"/>
      <c r="D31" s="57">
        <f>_xlfn.IFNA(VLOOKUP(封面!B1,'2020决算导出'!A:U,21,FALSE),"")</f>
        <v>0</v>
      </c>
      <c r="E31" s="57"/>
      <c r="F31" s="7" t="s">
        <v>187</v>
      </c>
      <c r="G31" s="60" t="s">
        <v>209</v>
      </c>
      <c r="H31" s="60"/>
      <c r="I31" s="27">
        <f t="shared" si="2"/>
        <v>0</v>
      </c>
      <c r="J31" s="7" t="s">
        <v>332</v>
      </c>
    </row>
    <row r="32" spans="1:13" ht="18" customHeight="1">
      <c r="A32" s="62" t="s">
        <v>214</v>
      </c>
      <c r="B32" s="62"/>
      <c r="C32" s="62"/>
      <c r="D32" s="57">
        <f>_xlfn.IFNA(VLOOKUP(封面!B1,'2020决算导出'!A:V,22,FALSE),"")</f>
        <v>0</v>
      </c>
      <c r="E32" s="57"/>
      <c r="F32" s="7" t="s">
        <v>187</v>
      </c>
      <c r="G32" s="60" t="s">
        <v>209</v>
      </c>
      <c r="H32" s="60"/>
      <c r="I32" s="27">
        <f t="shared" si="2"/>
        <v>0</v>
      </c>
      <c r="J32" s="7" t="s">
        <v>332</v>
      </c>
    </row>
    <row r="33" spans="1:12" ht="18" customHeight="1">
      <c r="A33" s="62" t="s">
        <v>215</v>
      </c>
      <c r="B33" s="62"/>
      <c r="C33" s="62"/>
      <c r="D33" s="57">
        <f>_xlfn.IFNA(VLOOKUP(封面!B1,'2020决算导出'!A:W,23,FALSE),"")</f>
        <v>4935228</v>
      </c>
      <c r="E33" s="57"/>
      <c r="F33" s="7" t="s">
        <v>187</v>
      </c>
      <c r="G33" s="60" t="s">
        <v>209</v>
      </c>
      <c r="H33" s="60"/>
      <c r="I33" s="27">
        <f t="shared" si="2"/>
        <v>9.69738060516597E-2</v>
      </c>
      <c r="J33" s="7" t="s">
        <v>333</v>
      </c>
    </row>
    <row r="34" spans="1:12" ht="18" customHeight="1">
      <c r="A34" s="7" t="s">
        <v>216</v>
      </c>
    </row>
    <row r="35" spans="1:12" ht="18" customHeight="1">
      <c r="A35" s="59" t="s">
        <v>433</v>
      </c>
      <c r="B35" s="59"/>
      <c r="C35" s="59"/>
      <c r="D35" s="59"/>
      <c r="E35" s="57">
        <f>_xlfn.IFNA(VLOOKUP(封面!B1,一般公共预算财政拨款支出决算具体情况!A:C,3,FALSE),"")</f>
        <v>38752060.179999992</v>
      </c>
      <c r="F35" s="57"/>
      <c r="G35" s="7" t="s">
        <v>187</v>
      </c>
      <c r="H35" s="60" t="s">
        <v>217</v>
      </c>
      <c r="I35" s="60"/>
      <c r="J35" s="57">
        <f>_xlfn.IFNA(VLOOKUP(封面!B1,一般公共预算财政拨款支出决算具体情况!A:D,4,FALSE),"")</f>
        <v>31210561.210000001</v>
      </c>
      <c r="K35" s="57"/>
      <c r="L35" s="11" t="s">
        <v>186</v>
      </c>
    </row>
    <row r="36" spans="1:12" ht="18" customHeight="1">
      <c r="B36" s="14" t="str">
        <f>IF(E35&gt;J35,"增加","减少")</f>
        <v>增加</v>
      </c>
      <c r="C36" s="57">
        <f>ABS(E35-J35)</f>
        <v>7541498.9699999914</v>
      </c>
      <c r="D36" s="57"/>
      <c r="E36" s="7" t="s">
        <v>187</v>
      </c>
      <c r="F36" s="14" t="str">
        <f>IF(E35&gt;J35,"增长","下降")</f>
        <v>增长</v>
      </c>
      <c r="G36" s="32">
        <f>C36/J35</f>
        <v>0.24163291775681567</v>
      </c>
      <c r="H36" s="7" t="s">
        <v>333</v>
      </c>
      <c r="I36" s="11" t="s">
        <v>218</v>
      </c>
    </row>
    <row r="37" spans="1:12" ht="18" customHeight="1">
      <c r="A37" s="62" t="s">
        <v>219</v>
      </c>
      <c r="B37" s="62"/>
      <c r="C37" s="62"/>
      <c r="D37" s="62"/>
      <c r="E37" s="57">
        <f>_xlfn.IFNA(VLOOKUP(封面!B1,一般公共预算财政拨款支出决算具体情况!A:E,5,FALSE),"")</f>
        <v>33759405.439999998</v>
      </c>
      <c r="F37" s="57"/>
      <c r="G37" s="7" t="s">
        <v>187</v>
      </c>
      <c r="H37" s="60" t="s">
        <v>217</v>
      </c>
      <c r="I37" s="60"/>
      <c r="J37" s="57">
        <f>_xlfn.IFNA(VLOOKUP(封面!B1,一般公共预算财政拨款支出决算具体情况!A:F,6,FALSE),"")</f>
        <v>25979445.210000001</v>
      </c>
      <c r="K37" s="57"/>
      <c r="L37" s="11" t="s">
        <v>186</v>
      </c>
    </row>
    <row r="38" spans="1:12" ht="18" customHeight="1">
      <c r="A38" s="14"/>
      <c r="B38" s="14" t="str">
        <f>IF(E37&gt;J37,"增加","减少")</f>
        <v>增加</v>
      </c>
      <c r="C38" s="57">
        <f>ABS(E37-J37)</f>
        <v>7779960.2299999967</v>
      </c>
      <c r="D38" s="57"/>
      <c r="E38" s="7" t="s">
        <v>187</v>
      </c>
      <c r="F38" s="14" t="str">
        <f>IF(E37&gt;J37,"增长","下降")</f>
        <v>增长</v>
      </c>
      <c r="G38" s="32">
        <f>C38/J37</f>
        <v>0.2994659880960559</v>
      </c>
      <c r="H38" s="7" t="s">
        <v>333</v>
      </c>
    </row>
    <row r="39" spans="1:12" ht="36" customHeight="1">
      <c r="B39" s="58" t="s">
        <v>442</v>
      </c>
      <c r="C39" s="58"/>
      <c r="D39" s="58"/>
      <c r="E39" s="58"/>
      <c r="F39" s="58"/>
      <c r="G39" s="58"/>
      <c r="H39" s="58"/>
      <c r="I39" s="58"/>
      <c r="J39" s="58"/>
      <c r="K39" s="58"/>
      <c r="L39" s="58"/>
    </row>
    <row r="40" spans="1:12" ht="18" customHeight="1">
      <c r="A40" s="62" t="s">
        <v>220</v>
      </c>
      <c r="B40" s="62"/>
      <c r="C40" s="62"/>
      <c r="D40" s="62"/>
      <c r="E40" s="57">
        <f>_xlfn.IFNA(VLOOKUP(封面!B1,一般公共预算财政拨款支出决算具体情况!A:M,13,FALSE),"")</f>
        <v>0</v>
      </c>
      <c r="F40" s="57"/>
      <c r="G40" s="7" t="s">
        <v>187</v>
      </c>
      <c r="H40" s="60" t="s">
        <v>217</v>
      </c>
      <c r="I40" s="60"/>
      <c r="J40" s="57">
        <f>_xlfn.IFNA(VLOOKUP(封面!B1,一般公共预算财政拨款支出决算具体情况!A:N,14,FALSE),"")</f>
        <v>80000</v>
      </c>
      <c r="K40" s="57"/>
      <c r="L40" s="11" t="s">
        <v>186</v>
      </c>
    </row>
    <row r="41" spans="1:12" ht="18" customHeight="1">
      <c r="A41" s="14"/>
      <c r="B41" s="14" t="str">
        <f>IF(E40&gt;J40,"增加","减少")</f>
        <v>减少</v>
      </c>
      <c r="C41" s="57">
        <f>ABS(E40-J40)</f>
        <v>80000</v>
      </c>
      <c r="D41" s="57"/>
      <c r="E41" s="7" t="s">
        <v>187</v>
      </c>
      <c r="F41" s="14" t="str">
        <f>IF(E40&gt;J40,"增长","下降")</f>
        <v>下降</v>
      </c>
      <c r="G41" s="32">
        <f>C41/J40</f>
        <v>1</v>
      </c>
      <c r="H41" s="7" t="s">
        <v>333</v>
      </c>
    </row>
    <row r="42" spans="1:12" ht="36" customHeight="1">
      <c r="B42" s="58" t="s">
        <v>443</v>
      </c>
      <c r="C42" s="58"/>
      <c r="D42" s="58"/>
      <c r="E42" s="58"/>
      <c r="F42" s="58"/>
      <c r="G42" s="58"/>
      <c r="H42" s="58"/>
      <c r="I42" s="58"/>
      <c r="J42" s="58"/>
      <c r="K42" s="58"/>
      <c r="L42" s="58"/>
    </row>
    <row r="43" spans="1:12" ht="18" customHeight="1">
      <c r="A43" s="61" t="s">
        <v>221</v>
      </c>
      <c r="B43" s="61"/>
      <c r="C43" s="61"/>
      <c r="D43" s="61"/>
      <c r="E43" s="57">
        <f>_xlfn.IFNA(VLOOKUP(封面!B1,一般公共预算财政拨款支出决算具体情况!A:O,15,FALSE),"")</f>
        <v>4992654.74</v>
      </c>
      <c r="F43" s="57"/>
      <c r="G43" s="7" t="s">
        <v>187</v>
      </c>
      <c r="H43" s="60" t="s">
        <v>217</v>
      </c>
      <c r="I43" s="60"/>
      <c r="J43" s="57">
        <f>_xlfn.IFNA(VLOOKUP(封面!B1,一般公共预算财政拨款支出决算具体情况!A:P,16,FALSE),"")</f>
        <v>5151116</v>
      </c>
      <c r="K43" s="57"/>
      <c r="L43" s="11" t="s">
        <v>186</v>
      </c>
    </row>
    <row r="44" spans="1:12" ht="18" customHeight="1">
      <c r="A44" s="14"/>
      <c r="B44" s="14" t="str">
        <f>IF(E43&gt;J43,"增加","减少")</f>
        <v>减少</v>
      </c>
      <c r="C44" s="57">
        <f>ABS(E43-J43)</f>
        <v>158461.25999999978</v>
      </c>
      <c r="D44" s="57"/>
      <c r="E44" s="7" t="s">
        <v>187</v>
      </c>
      <c r="F44" s="14" t="str">
        <f>IF(E43&gt;J43,"增长","下降")</f>
        <v>下降</v>
      </c>
      <c r="G44" s="32">
        <f>C44/J43</f>
        <v>3.0762510492871792E-2</v>
      </c>
      <c r="H44" s="7" t="s">
        <v>333</v>
      </c>
    </row>
    <row r="45" spans="1:12" ht="36" customHeight="1">
      <c r="B45" s="58" t="s">
        <v>444</v>
      </c>
      <c r="C45" s="58"/>
      <c r="D45" s="58"/>
      <c r="E45" s="58"/>
      <c r="F45" s="58"/>
      <c r="G45" s="58"/>
      <c r="H45" s="58"/>
      <c r="I45" s="58"/>
      <c r="J45" s="58"/>
      <c r="K45" s="58"/>
      <c r="L45" s="58"/>
    </row>
    <row r="46" spans="1:12" ht="18" customHeight="1">
      <c r="A46" s="63" t="s">
        <v>434</v>
      </c>
      <c r="B46" s="63"/>
      <c r="C46" s="63"/>
      <c r="D46" s="63"/>
      <c r="E46" s="57">
        <f>_xlfn.IFNA(VLOOKUP(封面!B1,一般公共预算财政拨款支出决算具体情况!A:Q,17,FALSE),"")</f>
        <v>0</v>
      </c>
      <c r="F46" s="57"/>
      <c r="G46" s="7" t="s">
        <v>187</v>
      </c>
      <c r="H46" s="59" t="s">
        <v>430</v>
      </c>
      <c r="I46" s="59"/>
      <c r="J46" s="59"/>
      <c r="K46" s="59"/>
      <c r="L46" s="11"/>
    </row>
    <row r="47" spans="1:12" ht="18" customHeight="1">
      <c r="A47" s="62" t="s">
        <v>222</v>
      </c>
      <c r="B47" s="62"/>
      <c r="C47" s="62"/>
      <c r="D47" s="62"/>
      <c r="E47" s="57">
        <f>_xlfn.IFNA(VLOOKUP(封面!B1,一般公共预算财政拨款支出决算具体情况!A:S,19,FALSE),"")</f>
        <v>0</v>
      </c>
      <c r="F47" s="57"/>
      <c r="G47" s="7" t="s">
        <v>187</v>
      </c>
      <c r="H47" s="59" t="s">
        <v>223</v>
      </c>
      <c r="I47" s="59"/>
      <c r="J47" s="59"/>
      <c r="K47" s="59"/>
      <c r="L47" s="11"/>
    </row>
    <row r="48" spans="1:12" ht="18" customHeight="1">
      <c r="A48" s="63" t="s">
        <v>435</v>
      </c>
      <c r="B48" s="63"/>
      <c r="C48" s="63"/>
      <c r="D48" s="63"/>
      <c r="E48" s="57">
        <f>_xlfn.IFNA(VLOOKUP(封面!B1,一般公共预算财政拨款支出决算具体情况!A:U,21,FALSE),"")</f>
        <v>5113613.0199999996</v>
      </c>
      <c r="F48" s="57"/>
      <c r="G48" s="7" t="s">
        <v>187</v>
      </c>
      <c r="H48" s="60" t="s">
        <v>217</v>
      </c>
      <c r="I48" s="60"/>
      <c r="J48" s="57">
        <f>_xlfn.IFNA(VLOOKUP(封面!B1,一般公共预算财政拨款支出决算具体情况!A:V,22,FALSE),"")</f>
        <v>4240812.88</v>
      </c>
      <c r="K48" s="57"/>
      <c r="L48" s="11" t="s">
        <v>186</v>
      </c>
    </row>
    <row r="49" spans="1:12" ht="18" customHeight="1">
      <c r="B49" s="14" t="str">
        <f>IF(E48&gt;J48,"增加","减少")</f>
        <v>增加</v>
      </c>
      <c r="C49" s="57">
        <f>ABS(E48-J48)</f>
        <v>872800.13999999966</v>
      </c>
      <c r="D49" s="57"/>
      <c r="E49" s="7" t="s">
        <v>187</v>
      </c>
      <c r="F49" s="14" t="str">
        <f>IF(E48&gt;J48,"增长","下降")</f>
        <v>增长</v>
      </c>
      <c r="G49" s="32">
        <f>C49/J48</f>
        <v>0.20580963242122574</v>
      </c>
      <c r="H49" s="7" t="s">
        <v>333</v>
      </c>
      <c r="I49" s="11" t="s">
        <v>218</v>
      </c>
    </row>
    <row r="50" spans="1:12" ht="18" customHeight="1">
      <c r="A50" s="61" t="s">
        <v>224</v>
      </c>
      <c r="B50" s="61"/>
      <c r="C50" s="61"/>
      <c r="D50" s="61"/>
      <c r="E50" s="57">
        <f>_xlfn.IFNA(VLOOKUP(封面!B1,一般公共预算财政拨款支出决算具体情况!A:W,23,FALSE),"")</f>
        <v>5113613.0199999996</v>
      </c>
      <c r="F50" s="57"/>
      <c r="G50" s="7" t="s">
        <v>187</v>
      </c>
      <c r="H50" s="60" t="s">
        <v>217</v>
      </c>
      <c r="I50" s="60"/>
      <c r="J50" s="57">
        <f>_xlfn.IFNA(VLOOKUP(封面!B1,一般公共预算财政拨款支出决算具体情况!A:X,24,FALSE),"")</f>
        <v>4240812.88</v>
      </c>
      <c r="K50" s="57"/>
      <c r="L50" s="11" t="s">
        <v>186</v>
      </c>
    </row>
    <row r="51" spans="1:12" ht="18" customHeight="1">
      <c r="A51" s="14"/>
      <c r="B51" s="14" t="str">
        <f>IF(E50&gt;J50,"增加","减少")</f>
        <v>增加</v>
      </c>
      <c r="C51" s="57">
        <f>ABS(E50-J50)</f>
        <v>872800.13999999966</v>
      </c>
      <c r="D51" s="57"/>
      <c r="E51" s="7" t="s">
        <v>187</v>
      </c>
      <c r="F51" s="14" t="str">
        <f>IF(E50&gt;J50,"增长","下降")</f>
        <v>增长</v>
      </c>
      <c r="G51" s="32">
        <f>C51/J50</f>
        <v>0.20580963242122574</v>
      </c>
      <c r="H51" s="7" t="s">
        <v>333</v>
      </c>
    </row>
    <row r="52" spans="1:12" ht="36" customHeight="1">
      <c r="B52" s="58" t="s">
        <v>445</v>
      </c>
      <c r="C52" s="58"/>
      <c r="D52" s="58"/>
      <c r="E52" s="58"/>
      <c r="F52" s="58"/>
      <c r="G52" s="58"/>
      <c r="H52" s="58"/>
      <c r="I52" s="58"/>
      <c r="J52" s="58"/>
      <c r="K52" s="58"/>
      <c r="L52" s="58"/>
    </row>
    <row r="53" spans="1:12" ht="18" customHeight="1">
      <c r="A53" s="61" t="s">
        <v>225</v>
      </c>
      <c r="B53" s="61"/>
      <c r="C53" s="61"/>
      <c r="D53" s="61"/>
      <c r="E53" s="57">
        <f>_xlfn.IFNA(VLOOKUP(封面!B1,一般公共预算财政拨款支出决算具体情况!A:Y,25,FALSE),"")</f>
        <v>0</v>
      </c>
      <c r="F53" s="57"/>
      <c r="G53" s="7" t="s">
        <v>187</v>
      </c>
      <c r="H53" s="60" t="s">
        <v>431</v>
      </c>
      <c r="I53" s="60"/>
      <c r="J53" s="57"/>
      <c r="K53" s="57"/>
      <c r="L53" s="11"/>
    </row>
    <row r="54" spans="1:12" ht="18" customHeight="1">
      <c r="A54" s="63" t="s">
        <v>436</v>
      </c>
      <c r="B54" s="63"/>
      <c r="C54" s="63"/>
      <c r="D54" s="63"/>
      <c r="E54" s="57">
        <f>_xlfn.IFNA(VLOOKUP(封面!B1,一般公共预算财政拨款支出决算具体情况!A:AA,27,FALSE),"")</f>
        <v>2091480.99</v>
      </c>
      <c r="F54" s="57"/>
      <c r="G54" s="7" t="s">
        <v>187</v>
      </c>
      <c r="H54" s="60" t="s">
        <v>217</v>
      </c>
      <c r="I54" s="60"/>
      <c r="J54" s="57">
        <f>_xlfn.IFNA(VLOOKUP(封面!B1,一般公共预算财政拨款支出决算具体情况!A:AB,28,FALSE),"")</f>
        <v>1731835.56</v>
      </c>
      <c r="K54" s="57"/>
      <c r="L54" s="11" t="s">
        <v>186</v>
      </c>
    </row>
    <row r="55" spans="1:12" ht="18" customHeight="1">
      <c r="B55" s="14" t="str">
        <f>IF(E54&gt;J54,"增加","减少")</f>
        <v>增加</v>
      </c>
      <c r="C55" s="57">
        <f>ABS(E54-J54)</f>
        <v>359645.42999999993</v>
      </c>
      <c r="D55" s="57"/>
      <c r="E55" s="7" t="s">
        <v>187</v>
      </c>
      <c r="F55" s="14" t="str">
        <f>IF(E54&gt;J54,"增长","下降")</f>
        <v>增长</v>
      </c>
      <c r="G55" s="32">
        <f>C55/J54</f>
        <v>0.20766719329865241</v>
      </c>
      <c r="H55" s="7" t="s">
        <v>333</v>
      </c>
      <c r="I55" s="11" t="s">
        <v>218</v>
      </c>
    </row>
    <row r="56" spans="1:12" ht="18" customHeight="1">
      <c r="A56" s="61" t="s">
        <v>226</v>
      </c>
      <c r="B56" s="61"/>
      <c r="C56" s="61"/>
      <c r="D56" s="61"/>
      <c r="E56" s="57">
        <f>_xlfn.IFNA(VLOOKUP(封面!B1,一般公共预算财政拨款支出决算具体情况!A:AC,29,FALSE),"")</f>
        <v>2091480.99</v>
      </c>
      <c r="F56" s="57"/>
      <c r="G56" s="7" t="s">
        <v>187</v>
      </c>
      <c r="H56" s="60" t="s">
        <v>217</v>
      </c>
      <c r="I56" s="60"/>
      <c r="J56" s="57">
        <f>_xlfn.IFNA(VLOOKUP(封面!B1,一般公共预算财政拨款支出决算具体情况!A:AD,30,FALSE),"")</f>
        <v>1731835.56</v>
      </c>
      <c r="K56" s="57"/>
      <c r="L56" s="11" t="s">
        <v>186</v>
      </c>
    </row>
    <row r="57" spans="1:12" ht="18" customHeight="1">
      <c r="A57" s="14"/>
      <c r="B57" s="14" t="str">
        <f>IF(E56&gt;J56,"增加","减少")</f>
        <v>增加</v>
      </c>
      <c r="C57" s="57">
        <f>ABS(E56-J56)</f>
        <v>359645.42999999993</v>
      </c>
      <c r="D57" s="57"/>
      <c r="E57" s="7" t="s">
        <v>187</v>
      </c>
      <c r="F57" s="14" t="str">
        <f>IF(E56&gt;J56,"增长","下降")</f>
        <v>增长</v>
      </c>
      <c r="G57" s="32">
        <f>C57/J56</f>
        <v>0.20766719329865241</v>
      </c>
      <c r="H57" s="7" t="s">
        <v>333</v>
      </c>
    </row>
    <row r="58" spans="1:12" ht="36" customHeight="1">
      <c r="B58" s="58" t="s">
        <v>446</v>
      </c>
      <c r="C58" s="58"/>
      <c r="D58" s="58"/>
      <c r="E58" s="58"/>
      <c r="F58" s="58"/>
      <c r="G58" s="58"/>
      <c r="H58" s="58"/>
      <c r="I58" s="58"/>
      <c r="J58" s="58"/>
      <c r="K58" s="58"/>
      <c r="L58" s="58"/>
    </row>
    <row r="59" spans="1:12" ht="18" customHeight="1">
      <c r="A59" s="63" t="s">
        <v>437</v>
      </c>
      <c r="B59" s="63"/>
      <c r="C59" s="63"/>
      <c r="D59" s="63"/>
      <c r="E59" s="57">
        <f>_xlfn.IFNA(VLOOKUP(封面!B1,一般公共预算财政拨款支出决算具体情况!A:AE,31,FALSE),"")</f>
        <v>0</v>
      </c>
      <c r="F59" s="57"/>
      <c r="G59" s="7" t="s">
        <v>187</v>
      </c>
      <c r="H59" s="59" t="s">
        <v>223</v>
      </c>
      <c r="I59" s="59"/>
      <c r="J59" s="59"/>
      <c r="K59" s="59"/>
      <c r="L59" s="11"/>
    </row>
    <row r="60" spans="1:12" ht="18" customHeight="1">
      <c r="A60" s="61" t="s">
        <v>227</v>
      </c>
      <c r="B60" s="61"/>
      <c r="C60" s="61"/>
      <c r="D60" s="61"/>
      <c r="E60" s="57">
        <f>_xlfn.IFNA(VLOOKUP(封面!B1,一般公共预算财政拨款支出决算具体情况!A:AG,33,FALSE),"")</f>
        <v>0</v>
      </c>
      <c r="F60" s="57"/>
      <c r="G60" s="7" t="s">
        <v>187</v>
      </c>
      <c r="H60" s="59" t="s">
        <v>223</v>
      </c>
      <c r="I60" s="59"/>
      <c r="J60" s="59"/>
      <c r="K60" s="59"/>
      <c r="L60" s="11"/>
    </row>
    <row r="61" spans="1:12" ht="18" customHeight="1">
      <c r="A61" s="63" t="s">
        <v>438</v>
      </c>
      <c r="B61" s="63"/>
      <c r="C61" s="63"/>
      <c r="D61" s="63"/>
      <c r="E61" s="57">
        <f>_xlfn.IFNA(VLOOKUP(封面!B1,一般公共预算财政拨款支出决算具体情况!A:AI,35,FALSE),"")</f>
        <v>0</v>
      </c>
      <c r="F61" s="57"/>
      <c r="G61" s="7" t="s">
        <v>187</v>
      </c>
      <c r="H61" s="59" t="s">
        <v>223</v>
      </c>
      <c r="I61" s="59"/>
      <c r="J61" s="59"/>
      <c r="K61" s="59"/>
      <c r="L61" s="11"/>
    </row>
    <row r="62" spans="1:12" ht="18" customHeight="1">
      <c r="A62" s="61" t="s">
        <v>228</v>
      </c>
      <c r="B62" s="61"/>
      <c r="C62" s="61"/>
      <c r="D62" s="61"/>
      <c r="E62" s="57">
        <f>_xlfn.IFNA(VLOOKUP(封面!B1,一般公共预算财政拨款支出决算具体情况!A:AK,37,FALSE),"")</f>
        <v>0</v>
      </c>
      <c r="F62" s="57"/>
      <c r="G62" s="7" t="s">
        <v>187</v>
      </c>
      <c r="H62" s="59" t="s">
        <v>223</v>
      </c>
      <c r="I62" s="59"/>
      <c r="J62" s="59"/>
      <c r="K62" s="59"/>
      <c r="L62" s="11"/>
    </row>
    <row r="63" spans="1:12" ht="18" customHeight="1">
      <c r="A63" s="63" t="s">
        <v>439</v>
      </c>
      <c r="B63" s="63"/>
      <c r="C63" s="63"/>
      <c r="D63" s="63"/>
      <c r="E63" s="57">
        <f>_xlfn.IFNA(VLOOKUP(封面!B1,一般公共预算财政拨款支出决算具体情况!A:AM,39,FALSE),"")</f>
        <v>4935228</v>
      </c>
      <c r="F63" s="57"/>
      <c r="G63" s="7" t="s">
        <v>187</v>
      </c>
      <c r="H63" s="60" t="s">
        <v>217</v>
      </c>
      <c r="I63" s="60"/>
      <c r="J63" s="57">
        <f>_xlfn.IFNA(VLOOKUP(封面!B1,一般公共预算财政拨款支出决算具体情况!A:AN,40,FALSE),"")</f>
        <v>4547017.4399999995</v>
      </c>
      <c r="K63" s="57"/>
      <c r="L63" s="11" t="s">
        <v>186</v>
      </c>
    </row>
    <row r="64" spans="1:12" ht="18" customHeight="1">
      <c r="B64" s="14" t="str">
        <f>IF(E63&gt;J63,"增加","减少")</f>
        <v>增加</v>
      </c>
      <c r="C64" s="57">
        <f>ABS(E63-J63)</f>
        <v>388210.56000000052</v>
      </c>
      <c r="D64" s="57"/>
      <c r="E64" s="7" t="s">
        <v>187</v>
      </c>
      <c r="F64" s="14" t="str">
        <f>IF(E63&gt;J63,"增长","下降")</f>
        <v>增长</v>
      </c>
      <c r="G64" s="32">
        <f>C64/J63</f>
        <v>8.5376967456716107E-2</v>
      </c>
      <c r="H64" s="7" t="s">
        <v>333</v>
      </c>
      <c r="I64" s="11" t="s">
        <v>218</v>
      </c>
    </row>
    <row r="65" spans="1:13" ht="18" customHeight="1">
      <c r="A65" s="61" t="s">
        <v>229</v>
      </c>
      <c r="B65" s="61"/>
      <c r="C65" s="61"/>
      <c r="D65" s="61"/>
      <c r="E65" s="57">
        <f>_xlfn.IFNA(VLOOKUP(封面!B1,一般公共预算财政拨款支出决算具体情况!A:AO,41,FALSE),"")</f>
        <v>4935228</v>
      </c>
      <c r="F65" s="57"/>
      <c r="G65" s="7" t="s">
        <v>187</v>
      </c>
      <c r="H65" s="60" t="s">
        <v>217</v>
      </c>
      <c r="I65" s="60"/>
      <c r="J65" s="57">
        <f>_xlfn.IFNA(VLOOKUP(封面!B1,一般公共预算财政拨款支出决算具体情况!A:AP,42,FALSE),"")</f>
        <v>4547017.4399999995</v>
      </c>
      <c r="K65" s="57"/>
      <c r="L65" s="11" t="s">
        <v>186</v>
      </c>
    </row>
    <row r="66" spans="1:13" ht="18" customHeight="1">
      <c r="A66" s="14"/>
      <c r="B66" s="14" t="str">
        <f>IF(E65&gt;J65,"增加","减少")</f>
        <v>增加</v>
      </c>
      <c r="C66" s="57">
        <f>ABS(E65-J65)</f>
        <v>388210.56000000052</v>
      </c>
      <c r="D66" s="57"/>
      <c r="E66" s="7" t="s">
        <v>187</v>
      </c>
      <c r="F66" s="14" t="str">
        <f>IF(E65&gt;J65,"增长","下降")</f>
        <v>增长</v>
      </c>
      <c r="G66" s="32">
        <f>C66/J65</f>
        <v>8.5376967456716107E-2</v>
      </c>
      <c r="H66" s="7" t="s">
        <v>333</v>
      </c>
    </row>
    <row r="67" spans="1:13" ht="36" customHeight="1">
      <c r="B67" s="58" t="s">
        <v>447</v>
      </c>
      <c r="C67" s="58"/>
      <c r="D67" s="58"/>
      <c r="E67" s="58"/>
      <c r="F67" s="58"/>
      <c r="G67" s="58"/>
      <c r="H67" s="58"/>
      <c r="I67" s="58"/>
      <c r="J67" s="58"/>
      <c r="K67" s="58"/>
      <c r="L67" s="58"/>
    </row>
    <row r="68" spans="1:13" ht="18" customHeight="1">
      <c r="A68" s="6" t="s">
        <v>230</v>
      </c>
    </row>
    <row r="69" spans="1:13" ht="18" customHeight="1">
      <c r="A69" s="7" t="str">
        <f>IF(_xlfn.IFNA(VLOOKUP(封面!B1,'2020决算导出'!A:X,24,FALSE),"")=0,"本年度无此项支出。","")</f>
        <v>本年度无此项支出。</v>
      </c>
    </row>
    <row r="70" spans="1:13" ht="18" customHeight="1">
      <c r="A70" s="6" t="s">
        <v>231</v>
      </c>
    </row>
    <row r="71" spans="1:13" ht="18" customHeight="1">
      <c r="A71" s="7" t="s">
        <v>232</v>
      </c>
    </row>
    <row r="72" spans="1:13" ht="18" customHeight="1">
      <c r="A72" s="6" t="s">
        <v>233</v>
      </c>
    </row>
    <row r="73" spans="1:13" ht="18" customHeight="1">
      <c r="A73" s="7" t="s">
        <v>234</v>
      </c>
      <c r="G73" s="57">
        <f>_xlfn.IFNA(VLOOKUP(封面!B1,'2020决算导出'!A:AA,27,FALSE),"")</f>
        <v>42053660.450000003</v>
      </c>
      <c r="H73" s="57"/>
      <c r="I73" s="11" t="s">
        <v>187</v>
      </c>
    </row>
    <row r="74" spans="1:13" ht="130.35" customHeight="1">
      <c r="A74" s="58" t="s">
        <v>235</v>
      </c>
      <c r="B74" s="58"/>
      <c r="C74" s="58"/>
      <c r="D74" s="58"/>
      <c r="E74" s="58"/>
      <c r="F74" s="58"/>
      <c r="G74" s="58"/>
      <c r="H74" s="58"/>
      <c r="I74" s="58"/>
      <c r="J74" s="58"/>
      <c r="K74" s="58"/>
      <c r="L74" s="58"/>
      <c r="M74" s="58"/>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J65:K65"/>
    <mergeCell ref="C66:D66"/>
    <mergeCell ref="A62:D62"/>
    <mergeCell ref="E62:F62"/>
    <mergeCell ref="H62:K62"/>
    <mergeCell ref="A63:D63"/>
    <mergeCell ref="E63:F63"/>
    <mergeCell ref="H63:I63"/>
    <mergeCell ref="J63:K63"/>
    <mergeCell ref="G73:H73"/>
    <mergeCell ref="A74:M74"/>
    <mergeCell ref="A4:M4"/>
    <mergeCell ref="B67:L67"/>
    <mergeCell ref="C64:D64"/>
    <mergeCell ref="A65:D65"/>
    <mergeCell ref="E65:F65"/>
    <mergeCell ref="H65:I6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6" workbookViewId="0">
      <selection activeCell="A4" sqref="A4:XFD20"/>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260</v>
      </c>
      <c r="B1" s="55"/>
      <c r="C1" s="55"/>
      <c r="D1" s="55"/>
      <c r="E1" s="55"/>
      <c r="F1" s="55"/>
      <c r="G1" s="55"/>
      <c r="H1" s="55"/>
      <c r="I1" s="55"/>
      <c r="J1" s="55"/>
      <c r="K1" s="55"/>
      <c r="L1" s="55"/>
      <c r="M1" s="55"/>
      <c r="N1" s="55"/>
    </row>
    <row r="2" spans="1:14" ht="18" customHeight="1">
      <c r="A2" s="6" t="s">
        <v>236</v>
      </c>
    </row>
    <row r="3" spans="1:14" ht="18" customHeight="1">
      <c r="A3" s="15" t="str">
        <f>IF(_xlfn.IFNA(VLOOKUP(封面!B1,'2020决算导出'!A:AB,28,FALSE),"")=0,"本年度无此项支出。","")</f>
        <v>本年度无此项支出。</v>
      </c>
    </row>
    <row r="4" spans="1:14" ht="18" customHeight="1">
      <c r="A4" s="6" t="s">
        <v>238</v>
      </c>
    </row>
    <row r="5" spans="1:14" ht="18" customHeight="1">
      <c r="A5" s="7" t="s">
        <v>239</v>
      </c>
    </row>
    <row r="6" spans="1:14" ht="18" customHeight="1">
      <c r="A6" s="6" t="s">
        <v>240</v>
      </c>
    </row>
    <row r="7" spans="1:14" ht="18" customHeight="1">
      <c r="A7" s="62" t="s">
        <v>241</v>
      </c>
      <c r="B7" s="62"/>
      <c r="C7" s="62"/>
      <c r="D7" s="62"/>
      <c r="E7" s="57">
        <f>_xlfn.IFNA(VLOOKUP(封面!B1,'2020决算导出'!A:AW,49,FALSE),"")</f>
        <v>4441929.88</v>
      </c>
      <c r="F7" s="57"/>
      <c r="G7" s="7" t="s">
        <v>187</v>
      </c>
      <c r="H7" s="62" t="s">
        <v>242</v>
      </c>
      <c r="I7" s="62"/>
      <c r="J7" s="62"/>
      <c r="K7" s="62"/>
      <c r="L7" s="57">
        <f>_xlfn.IFNA(VLOOKUP(封面!B1,'2020决算导出'!A:AX,50,FALSE),"")</f>
        <v>133086.07999999999</v>
      </c>
      <c r="M7" s="57" t="s">
        <v>187</v>
      </c>
      <c r="N7" s="7" t="s">
        <v>187</v>
      </c>
    </row>
    <row r="8" spans="1:14" ht="18" customHeight="1">
      <c r="A8" s="62" t="s">
        <v>243</v>
      </c>
      <c r="B8" s="62"/>
      <c r="C8" s="62"/>
      <c r="D8" s="57">
        <f>_xlfn.IFNA(VLOOKUP(封面!B1,'2020决算导出'!A:AY,51,FALSE),"")</f>
        <v>3773000</v>
      </c>
      <c r="E8" s="57" t="s">
        <v>187</v>
      </c>
      <c r="F8" s="7" t="s">
        <v>187</v>
      </c>
      <c r="G8" s="62" t="s">
        <v>244</v>
      </c>
      <c r="H8" s="62"/>
      <c r="I8" s="62"/>
      <c r="J8" s="57">
        <f>_xlfn.IFNA(VLOOKUP(封面!B1,'2020决算导出'!A:AZ,52,FALSE),"")</f>
        <v>535843.80000000005</v>
      </c>
      <c r="K8" s="57" t="s">
        <v>187</v>
      </c>
      <c r="L8" s="7" t="s">
        <v>237</v>
      </c>
    </row>
    <row r="9" spans="1:14" ht="18" customHeight="1">
      <c r="A9" s="62" t="s">
        <v>245</v>
      </c>
      <c r="B9" s="62"/>
      <c r="C9" s="62"/>
      <c r="D9" s="62"/>
      <c r="E9" s="57">
        <f>_xlfn.IFNA(VLOOKUP(封面!B1,'2020决算导出'!A:BA,53,FALSE),"")</f>
        <v>0</v>
      </c>
      <c r="F9" s="57" t="s">
        <v>187</v>
      </c>
      <c r="G9" s="7" t="s">
        <v>187</v>
      </c>
      <c r="H9" s="60" t="s">
        <v>246</v>
      </c>
      <c r="I9" s="60"/>
      <c r="J9" s="60"/>
      <c r="K9" s="27">
        <f>E9/$E$7</f>
        <v>0</v>
      </c>
      <c r="L9" s="16" t="s">
        <v>331</v>
      </c>
      <c r="M9" s="7" t="s">
        <v>428</v>
      </c>
    </row>
    <row r="10" spans="1:14" ht="18" customHeight="1">
      <c r="A10" s="62" t="s">
        <v>247</v>
      </c>
      <c r="B10" s="62"/>
      <c r="C10" s="62"/>
      <c r="D10" s="62"/>
      <c r="E10" s="57">
        <f>_xlfn.IFNA(VLOOKUP(封面!B1,'2020决算导出'!A:BB,54,FALSE),"")</f>
        <v>0</v>
      </c>
      <c r="F10" s="57" t="s">
        <v>187</v>
      </c>
      <c r="G10" s="7" t="s">
        <v>187</v>
      </c>
      <c r="H10" s="60" t="s">
        <v>246</v>
      </c>
      <c r="I10" s="60"/>
      <c r="J10" s="60"/>
      <c r="K10" s="27">
        <f>E10/$E$7</f>
        <v>0</v>
      </c>
      <c r="L10" s="16" t="s">
        <v>333</v>
      </c>
    </row>
    <row r="11" spans="1:14" ht="18" customHeight="1">
      <c r="A11" s="6" t="s">
        <v>248</v>
      </c>
    </row>
    <row r="12" spans="1:14" ht="18" customHeight="1">
      <c r="A12" s="62" t="s">
        <v>249</v>
      </c>
      <c r="B12" s="62"/>
      <c r="C12" s="8">
        <f>_xlfn.IFNA(VLOOKUP(封面!B1,'2020决算导出'!A:BC,55,FALSE),"")</f>
        <v>0</v>
      </c>
      <c r="D12" s="7" t="s">
        <v>250</v>
      </c>
      <c r="M12" s="65">
        <f>_xlfn.IFNA(VLOOKUP(封面!B1,'2020决算导出'!A:BD,56,FALSE),"")</f>
        <v>0</v>
      </c>
      <c r="N12" s="65" t="s">
        <v>187</v>
      </c>
    </row>
    <row r="13" spans="1:14" ht="18" customHeight="1">
      <c r="A13" s="12" t="s">
        <v>251</v>
      </c>
      <c r="B13" s="62" t="s">
        <v>252</v>
      </c>
      <c r="C13" s="62"/>
      <c r="D13" s="62"/>
      <c r="E13" s="62"/>
      <c r="F13" s="62"/>
      <c r="G13" s="8">
        <f>_xlfn.IFNA(VLOOKUP(封面!B1,'2020决算导出'!A:BE,57,FALSE),"")</f>
        <v>0</v>
      </c>
      <c r="H13" s="7" t="s">
        <v>253</v>
      </c>
      <c r="J13" s="7" t="s">
        <v>254</v>
      </c>
    </row>
    <row r="14" spans="1:14" ht="18" customHeight="1">
      <c r="A14" s="12">
        <f>_xlfn.IFNA(VLOOKUP(封面!B1,'2020决算导出'!A:BF,58,FALSE),"")</f>
        <v>0</v>
      </c>
      <c r="B14" s="7" t="s">
        <v>255</v>
      </c>
    </row>
    <row r="15" spans="1:14" ht="18" customHeight="1">
      <c r="A15" s="6" t="s">
        <v>256</v>
      </c>
    </row>
    <row r="16" spans="1:14" ht="18" customHeight="1">
      <c r="A16" s="7" t="s">
        <v>257</v>
      </c>
    </row>
    <row r="17" spans="1:14" ht="18" customHeight="1">
      <c r="A17" s="6" t="s">
        <v>258</v>
      </c>
    </row>
    <row r="18" spans="1:14" ht="304.35000000000002" customHeight="1">
      <c r="A18" s="58" t="s">
        <v>259</v>
      </c>
      <c r="B18" s="58"/>
      <c r="C18" s="58"/>
      <c r="D18" s="58"/>
      <c r="E18" s="58"/>
      <c r="F18" s="58"/>
      <c r="G18" s="58"/>
      <c r="H18" s="58"/>
      <c r="I18" s="58"/>
      <c r="J18" s="58"/>
      <c r="K18" s="58"/>
      <c r="L18" s="58"/>
      <c r="M18" s="58"/>
      <c r="N18" s="58"/>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H9" sqref="H9"/>
    </sheetView>
  </sheetViews>
  <sheetFormatPr defaultRowHeight="13.8"/>
  <sheetData>
    <row r="1" spans="1:14" s="7" customFormat="1" ht="35.4" customHeight="1">
      <c r="A1" s="55" t="s">
        <v>261</v>
      </c>
      <c r="B1" s="55"/>
      <c r="C1" s="55"/>
      <c r="D1" s="55"/>
      <c r="E1" s="55"/>
      <c r="F1" s="55"/>
      <c r="G1" s="55"/>
      <c r="H1" s="55"/>
      <c r="I1" s="55"/>
      <c r="J1" s="55"/>
      <c r="K1" s="55"/>
      <c r="L1" s="55"/>
      <c r="M1" s="55"/>
      <c r="N1" s="55"/>
    </row>
    <row r="2" spans="1:14" ht="108.75" customHeight="1">
      <c r="A2" s="58" t="s">
        <v>448</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267</v>
      </c>
      <c r="B1" s="20" t="s">
        <v>268</v>
      </c>
      <c r="C1" s="20" t="s">
        <v>263</v>
      </c>
      <c r="D1" s="20" t="s">
        <v>269</v>
      </c>
      <c r="E1" s="20" t="s">
        <v>270</v>
      </c>
      <c r="F1" s="20" t="s">
        <v>271</v>
      </c>
      <c r="G1" s="20" t="s">
        <v>272</v>
      </c>
      <c r="H1" s="20" t="s">
        <v>273</v>
      </c>
      <c r="I1" s="20" t="s">
        <v>274</v>
      </c>
      <c r="J1" s="20" t="s">
        <v>275</v>
      </c>
      <c r="K1" s="20" t="s">
        <v>276</v>
      </c>
      <c r="L1" s="20" t="s">
        <v>277</v>
      </c>
      <c r="M1" s="20" t="s">
        <v>278</v>
      </c>
      <c r="N1" s="20" t="s">
        <v>279</v>
      </c>
      <c r="O1" s="20" t="s">
        <v>280</v>
      </c>
      <c r="P1" s="20" t="s">
        <v>281</v>
      </c>
      <c r="Q1" s="20" t="s">
        <v>282</v>
      </c>
      <c r="R1" s="20" t="s">
        <v>283</v>
      </c>
      <c r="S1" s="20" t="s">
        <v>284</v>
      </c>
      <c r="T1" s="20" t="s">
        <v>285</v>
      </c>
      <c r="U1" s="20" t="s">
        <v>286</v>
      </c>
      <c r="V1" s="20" t="s">
        <v>287</v>
      </c>
      <c r="W1" s="20" t="s">
        <v>288</v>
      </c>
      <c r="X1" s="20" t="s">
        <v>289</v>
      </c>
      <c r="Y1" s="20" t="s">
        <v>290</v>
      </c>
      <c r="Z1" s="20" t="s">
        <v>335</v>
      </c>
      <c r="AA1" s="20" t="s">
        <v>291</v>
      </c>
      <c r="AB1" s="20" t="s">
        <v>292</v>
      </c>
      <c r="AC1" s="20" t="s">
        <v>293</v>
      </c>
      <c r="AD1" s="20" t="s">
        <v>294</v>
      </c>
      <c r="AE1" s="20" t="s">
        <v>295</v>
      </c>
      <c r="AF1" s="20" t="s">
        <v>296</v>
      </c>
      <c r="AG1" s="20" t="s">
        <v>297</v>
      </c>
      <c r="AH1" s="20" t="s">
        <v>298</v>
      </c>
      <c r="AI1" s="20" t="s">
        <v>299</v>
      </c>
      <c r="AJ1" s="20" t="s">
        <v>300</v>
      </c>
      <c r="AK1" s="20" t="s">
        <v>301</v>
      </c>
      <c r="AL1" s="20" t="s">
        <v>302</v>
      </c>
      <c r="AM1" s="20" t="s">
        <v>336</v>
      </c>
      <c r="AN1" s="20" t="s">
        <v>337</v>
      </c>
      <c r="AO1" s="20" t="s">
        <v>303</v>
      </c>
      <c r="AP1" s="20" t="s">
        <v>304</v>
      </c>
      <c r="AQ1" s="20" t="s">
        <v>305</v>
      </c>
      <c r="AR1" s="20" t="s">
        <v>306</v>
      </c>
      <c r="AS1" s="20" t="s">
        <v>307</v>
      </c>
      <c r="AT1" s="20" t="s">
        <v>308</v>
      </c>
      <c r="AU1" s="20" t="s">
        <v>309</v>
      </c>
      <c r="AV1" s="20" t="s">
        <v>338</v>
      </c>
      <c r="AW1" s="20" t="s">
        <v>310</v>
      </c>
      <c r="AX1" s="20" t="s">
        <v>311</v>
      </c>
      <c r="AY1" s="20" t="s">
        <v>312</v>
      </c>
      <c r="AZ1" s="20" t="s">
        <v>313</v>
      </c>
      <c r="BA1" s="20" t="s">
        <v>314</v>
      </c>
      <c r="BB1" s="20" t="s">
        <v>315</v>
      </c>
      <c r="BC1" s="20" t="s">
        <v>316</v>
      </c>
      <c r="BD1" s="20" t="s">
        <v>429</v>
      </c>
      <c r="BE1" s="20" t="s">
        <v>317</v>
      </c>
      <c r="BF1" s="20" t="s">
        <v>318</v>
      </c>
    </row>
    <row r="2" spans="1:58">
      <c r="A2" s="22">
        <v>255001</v>
      </c>
      <c r="B2" s="23" t="s">
        <v>319</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320</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321</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6640625" style="33" customWidth="1"/>
    <col min="4" max="4" width="13.109375" style="33" customWidth="1"/>
    <col min="5" max="5" width="14.33203125" style="33" customWidth="1"/>
    <col min="6" max="6" width="15.21875" style="33" customWidth="1"/>
    <col min="7" max="16384" width="8.88671875" style="33"/>
  </cols>
  <sheetData>
    <row r="1" spans="1:6" ht="24">
      <c r="A1" s="19" t="s">
        <v>267</v>
      </c>
      <c r="B1" s="20" t="s">
        <v>268</v>
      </c>
      <c r="C1" s="20" t="s">
        <v>322</v>
      </c>
      <c r="D1" s="20" t="s">
        <v>323</v>
      </c>
      <c r="E1" s="20" t="s">
        <v>324</v>
      </c>
      <c r="F1" s="20" t="s">
        <v>325</v>
      </c>
    </row>
    <row r="2" spans="1:6">
      <c r="A2" s="22">
        <v>255001</v>
      </c>
      <c r="B2" s="23" t="s">
        <v>319</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326</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327</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328</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329</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33203125" style="44" customWidth="1"/>
    <col min="6" max="6" width="9.88671875" style="44" customWidth="1"/>
    <col min="7" max="7" width="8.66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339</v>
      </c>
      <c r="B1" s="39" t="s">
        <v>376</v>
      </c>
      <c r="C1" s="39" t="s">
        <v>377</v>
      </c>
      <c r="D1" s="39" t="s">
        <v>378</v>
      </c>
      <c r="E1" s="39" t="s">
        <v>379</v>
      </c>
      <c r="F1" s="39" t="s">
        <v>380</v>
      </c>
      <c r="G1" s="39" t="s">
        <v>381</v>
      </c>
      <c r="H1" s="39" t="s">
        <v>382</v>
      </c>
      <c r="I1" s="39" t="s">
        <v>383</v>
      </c>
      <c r="J1" s="39" t="s">
        <v>384</v>
      </c>
      <c r="K1" s="39" t="s">
        <v>385</v>
      </c>
      <c r="L1" s="39" t="s">
        <v>386</v>
      </c>
      <c r="M1" s="39" t="s">
        <v>387</v>
      </c>
      <c r="N1" s="39" t="s">
        <v>388</v>
      </c>
      <c r="O1" s="39" t="s">
        <v>389</v>
      </c>
      <c r="P1" s="39" t="s">
        <v>390</v>
      </c>
      <c r="Q1" s="39" t="s">
        <v>391</v>
      </c>
      <c r="R1" s="39" t="s">
        <v>392</v>
      </c>
      <c r="S1" s="39" t="s">
        <v>393</v>
      </c>
      <c r="T1" s="39" t="s">
        <v>394</v>
      </c>
      <c r="U1" s="39" t="s">
        <v>395</v>
      </c>
      <c r="V1" s="39" t="s">
        <v>396</v>
      </c>
      <c r="W1" s="39" t="s">
        <v>397</v>
      </c>
      <c r="X1" s="39" t="s">
        <v>398</v>
      </c>
      <c r="Y1" s="39" t="s">
        <v>399</v>
      </c>
      <c r="Z1" s="39" t="s">
        <v>400</v>
      </c>
      <c r="AA1" s="39" t="s">
        <v>401</v>
      </c>
      <c r="AB1" s="39" t="s">
        <v>402</v>
      </c>
      <c r="AC1" s="39" t="s">
        <v>403</v>
      </c>
      <c r="AD1" s="39" t="s">
        <v>404</v>
      </c>
      <c r="AE1" s="39" t="s">
        <v>405</v>
      </c>
      <c r="AF1" s="39" t="s">
        <v>406</v>
      </c>
      <c r="AG1" s="39" t="s">
        <v>407</v>
      </c>
      <c r="AH1" s="39" t="s">
        <v>408</v>
      </c>
      <c r="AI1" s="39" t="s">
        <v>409</v>
      </c>
      <c r="AJ1" s="39" t="s">
        <v>410</v>
      </c>
      <c r="AK1" s="39" t="s">
        <v>411</v>
      </c>
      <c r="AL1" s="39" t="s">
        <v>412</v>
      </c>
      <c r="AM1" s="39" t="s">
        <v>413</v>
      </c>
      <c r="AN1" s="39" t="s">
        <v>414</v>
      </c>
      <c r="AO1" s="39" t="s">
        <v>415</v>
      </c>
      <c r="AP1" s="39" t="s">
        <v>416</v>
      </c>
    </row>
    <row r="2" spans="1:42">
      <c r="A2" s="40">
        <v>255001</v>
      </c>
      <c r="B2" s="41" t="s">
        <v>319</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320</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417</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418</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6640625" style="38" customWidth="1"/>
    <col min="6" max="6" width="19.6640625" style="21" customWidth="1"/>
    <col min="7" max="8" width="13.6640625" style="21" customWidth="1"/>
    <col min="9" max="16384" width="8.88671875" style="21"/>
  </cols>
  <sheetData>
    <row r="1" spans="1:8" ht="24">
      <c r="A1" s="19" t="s">
        <v>339</v>
      </c>
      <c r="B1" s="20" t="s">
        <v>268</v>
      </c>
      <c r="C1" s="34" t="s">
        <v>340</v>
      </c>
      <c r="D1" s="34" t="s">
        <v>341</v>
      </c>
      <c r="E1" s="35" t="s">
        <v>342</v>
      </c>
      <c r="F1" s="20" t="s">
        <v>343</v>
      </c>
      <c r="G1" s="20" t="s">
        <v>344</v>
      </c>
      <c r="H1" s="20" t="s">
        <v>345</v>
      </c>
    </row>
    <row r="2" spans="1:8">
      <c r="A2" s="22">
        <v>255001</v>
      </c>
      <c r="B2" s="23" t="s">
        <v>319</v>
      </c>
      <c r="C2" s="36" t="str">
        <f>LEFT(D2,3)</f>
        <v>205</v>
      </c>
      <c r="D2" s="36" t="str">
        <f>LEFT(E2,5)</f>
        <v>20502</v>
      </c>
      <c r="E2" s="36">
        <f>IF(ISNA(VLOOKUP(F2,'2020功能科目'!A:B,2,FALSE)),"",VLOOKUP(F2,'2020功能科目'!A:B,2,FALSE))</f>
        <v>2050201</v>
      </c>
      <c r="F2" s="23" t="s">
        <v>346</v>
      </c>
      <c r="G2" s="24">
        <v>91486047.549999997</v>
      </c>
      <c r="H2" s="24">
        <v>117849170.55</v>
      </c>
    </row>
    <row r="3" spans="1:8">
      <c r="A3" s="22">
        <v>255001</v>
      </c>
      <c r="B3" s="23" t="s">
        <v>319</v>
      </c>
      <c r="C3" s="36" t="str">
        <f t="shared" ref="C3:C66" si="0">LEFT(D3,3)</f>
        <v>205</v>
      </c>
      <c r="D3" s="36" t="str">
        <f t="shared" ref="D3:D66" si="1">LEFT(E3,5)</f>
        <v>20502</v>
      </c>
      <c r="E3" s="36">
        <f>IF(ISNA(VLOOKUP(F3,'2020功能科目'!A:B,2,FALSE)),"",VLOOKUP(F3,'2020功能科目'!A:B,2,FALSE))</f>
        <v>2050202</v>
      </c>
      <c r="F3" s="23" t="s">
        <v>347</v>
      </c>
      <c r="G3" s="24">
        <v>250000</v>
      </c>
      <c r="H3" s="24">
        <v>250000</v>
      </c>
    </row>
    <row r="4" spans="1:8">
      <c r="A4" s="22">
        <v>255001</v>
      </c>
      <c r="B4" s="23" t="s">
        <v>319</v>
      </c>
      <c r="C4" s="36" t="str">
        <f t="shared" si="0"/>
        <v>205</v>
      </c>
      <c r="D4" s="36" t="str">
        <f t="shared" si="1"/>
        <v>20502</v>
      </c>
      <c r="E4" s="36">
        <f>IF(ISNA(VLOOKUP(F4,'2020功能科目'!A:B,2,FALSE)),"",VLOOKUP(F4,'2020功能科目'!A:B,2,FALSE))</f>
        <v>2050204</v>
      </c>
      <c r="F4" s="23" t="s">
        <v>348</v>
      </c>
      <c r="G4" s="24">
        <v>1439000</v>
      </c>
      <c r="H4" s="24">
        <v>1439888.15</v>
      </c>
    </row>
    <row r="5" spans="1:8">
      <c r="A5" s="22">
        <v>255001</v>
      </c>
      <c r="B5" s="23" t="s">
        <v>319</v>
      </c>
      <c r="C5" s="36" t="str">
        <f t="shared" si="0"/>
        <v>205</v>
      </c>
      <c r="D5" s="36" t="str">
        <f t="shared" si="1"/>
        <v>20502</v>
      </c>
      <c r="E5" s="36">
        <f>IF(ISNA(VLOOKUP(F5,'2020功能科目'!A:B,2,FALSE)),"",VLOOKUP(F5,'2020功能科目'!A:B,2,FALSE))</f>
        <v>2050299</v>
      </c>
      <c r="F5" s="23" t="s">
        <v>349</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348</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349</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350</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351</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352</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353</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354</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355</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356</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357</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358</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359</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360</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361</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348</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349</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350</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351</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352</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353</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354</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355</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357</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358</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359</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360</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361</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348</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349</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350</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352</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353</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354</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355</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357</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358</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359</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360</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361</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348</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349</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350</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351</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352</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353</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354</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355</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357</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358</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359</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360</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361</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348</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350</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351</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352</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353</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354</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355</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357</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358</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359</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360</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361</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348</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351</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352</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353</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354</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355</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357</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358</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359</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360</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361</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348</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349</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350</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351</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352</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353</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354</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355</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356</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357</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358</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359</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360</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361</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348</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349</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350</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351</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352</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353</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354</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355</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357</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358</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359</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360</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361</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348</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349</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350</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351</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352</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353</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354</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355</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357</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358</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359</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360</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361</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348</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350</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351</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352</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353</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354</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355</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357</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358</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359</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360</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361</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348</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350</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351</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352</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353</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354</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355</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357</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358</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359</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360</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361</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348</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352</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353</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354</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355</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357</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358</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359</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360</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361</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348</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349</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350</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351</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352</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353</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354</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355</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357</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358</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359</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360</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361</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362</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349</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350</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351</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352</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353</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354</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355</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357</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358</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359</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360</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361</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348</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350</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351</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353</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354</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355</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357</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359</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360</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361</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348</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349</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350</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351</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352</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353</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354</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355</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357</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358</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359</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360</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361</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348</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349</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350</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351</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352</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353</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354</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355</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357</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358</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359</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360</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361</v>
      </c>
      <c r="G216" s="24">
        <v>4290503</v>
      </c>
      <c r="H216" s="24">
        <v>4304412</v>
      </c>
    </row>
    <row r="217" spans="1:8">
      <c r="A217" s="22">
        <v>255022</v>
      </c>
      <c r="B217" s="23" t="s">
        <v>320</v>
      </c>
      <c r="C217" s="36" t="str">
        <f t="shared" si="6"/>
        <v>205</v>
      </c>
      <c r="D217" s="36" t="str">
        <f t="shared" si="7"/>
        <v>20502</v>
      </c>
      <c r="E217" s="36">
        <f>IF(ISNA(VLOOKUP(F217,'2020功能科目'!A:B,2,FALSE)),"",VLOOKUP(F217,'2020功能科目'!A:B,2,FALSE))</f>
        <v>2050203</v>
      </c>
      <c r="F217" s="23" t="s">
        <v>362</v>
      </c>
      <c r="G217" s="24">
        <v>26873070.100000001</v>
      </c>
      <c r="H217" s="24">
        <v>22704196.510000002</v>
      </c>
    </row>
    <row r="218" spans="1:8">
      <c r="A218" s="22">
        <v>255022</v>
      </c>
      <c r="B218" s="23" t="s">
        <v>320</v>
      </c>
      <c r="C218" s="36" t="str">
        <f t="shared" si="6"/>
        <v>205</v>
      </c>
      <c r="D218" s="36" t="str">
        <f t="shared" si="7"/>
        <v>20502</v>
      </c>
      <c r="E218" s="36">
        <f>IF(ISNA(VLOOKUP(F218,'2020功能科目'!A:B,2,FALSE)),"",VLOOKUP(F218,'2020功能科目'!A:B,2,FALSE))</f>
        <v>2050204</v>
      </c>
      <c r="F218" s="23" t="s">
        <v>348</v>
      </c>
      <c r="G218" s="24">
        <v>46564</v>
      </c>
      <c r="H218" s="24">
        <v>51629</v>
      </c>
    </row>
    <row r="219" spans="1:8">
      <c r="A219" s="22">
        <v>255022</v>
      </c>
      <c r="B219" s="23" t="s">
        <v>320</v>
      </c>
      <c r="C219" s="36" t="str">
        <f t="shared" si="6"/>
        <v>205</v>
      </c>
      <c r="D219" s="36" t="str">
        <f t="shared" si="7"/>
        <v>20502</v>
      </c>
      <c r="E219" s="36">
        <f>IF(ISNA(VLOOKUP(F219,'2020功能科目'!A:B,2,FALSE)),"",VLOOKUP(F219,'2020功能科目'!A:B,2,FALSE))</f>
        <v>2050299</v>
      </c>
      <c r="F219" s="23" t="s">
        <v>349</v>
      </c>
      <c r="G219" s="24">
        <v>279.2</v>
      </c>
      <c r="H219" s="24">
        <v>0</v>
      </c>
    </row>
    <row r="220" spans="1:8">
      <c r="A220" s="22">
        <v>255022</v>
      </c>
      <c r="B220" s="23" t="s">
        <v>320</v>
      </c>
      <c r="C220" s="36" t="str">
        <f t="shared" si="6"/>
        <v>205</v>
      </c>
      <c r="D220" s="36" t="str">
        <f t="shared" si="7"/>
        <v>20508</v>
      </c>
      <c r="E220" s="36">
        <f>IF(ISNA(VLOOKUP(F220,'2020功能科目'!A:B,2,FALSE)),"",VLOOKUP(F220,'2020功能科目'!A:B,2,FALSE))</f>
        <v>2050803</v>
      </c>
      <c r="F220" s="23" t="s">
        <v>350</v>
      </c>
      <c r="G220" s="24">
        <v>36800</v>
      </c>
      <c r="H220" s="24">
        <v>73600</v>
      </c>
    </row>
    <row r="221" spans="1:8">
      <c r="A221" s="22">
        <v>255022</v>
      </c>
      <c r="B221" s="23" t="s">
        <v>320</v>
      </c>
      <c r="C221" s="36" t="str">
        <f t="shared" si="6"/>
        <v>205</v>
      </c>
      <c r="D221" s="36" t="str">
        <f t="shared" si="7"/>
        <v>20509</v>
      </c>
      <c r="E221" s="36">
        <f>IF(ISNA(VLOOKUP(F221,'2020功能科目'!A:B,2,FALSE)),"",VLOOKUP(F221,'2020功能科目'!A:B,2,FALSE))</f>
        <v>2050903</v>
      </c>
      <c r="F221" s="23" t="s">
        <v>351</v>
      </c>
      <c r="G221" s="24">
        <v>138743.4</v>
      </c>
      <c r="H221" s="24">
        <v>140000</v>
      </c>
    </row>
    <row r="222" spans="1:8">
      <c r="A222" s="22">
        <v>255022</v>
      </c>
      <c r="B222" s="23" t="s">
        <v>320</v>
      </c>
      <c r="C222" s="36" t="str">
        <f t="shared" si="6"/>
        <v>205</v>
      </c>
      <c r="D222" s="36" t="str">
        <f t="shared" si="7"/>
        <v>20509</v>
      </c>
      <c r="E222" s="36">
        <f>IF(ISNA(VLOOKUP(F222,'2020功能科目'!A:B,2,FALSE)),"",VLOOKUP(F222,'2020功能科目'!A:B,2,FALSE))</f>
        <v>2050904</v>
      </c>
      <c r="F222" s="23" t="s">
        <v>352</v>
      </c>
      <c r="G222" s="24">
        <v>1246675.0900000001</v>
      </c>
      <c r="H222" s="24">
        <v>1261160</v>
      </c>
    </row>
    <row r="223" spans="1:8">
      <c r="A223" s="22">
        <v>255022</v>
      </c>
      <c r="B223" s="23" t="s">
        <v>320</v>
      </c>
      <c r="C223" s="36" t="str">
        <f t="shared" si="6"/>
        <v>208</v>
      </c>
      <c r="D223" s="36" t="str">
        <f t="shared" si="7"/>
        <v>20805</v>
      </c>
      <c r="E223" s="36">
        <f>IF(ISNA(VLOOKUP(F223,'2020功能科目'!A:B,2,FALSE)),"",VLOOKUP(F223,'2020功能科目'!A:B,2,FALSE))</f>
        <v>2080502</v>
      </c>
      <c r="F223" s="23" t="s">
        <v>353</v>
      </c>
      <c r="G223" s="24">
        <v>2701675.56</v>
      </c>
      <c r="H223" s="24">
        <v>2070473.15</v>
      </c>
    </row>
    <row r="224" spans="1:8">
      <c r="A224" s="22">
        <v>255022</v>
      </c>
      <c r="B224" s="23" t="s">
        <v>320</v>
      </c>
      <c r="C224" s="36" t="str">
        <f t="shared" si="6"/>
        <v>208</v>
      </c>
      <c r="D224" s="36" t="str">
        <f t="shared" si="7"/>
        <v>20805</v>
      </c>
      <c r="E224" s="36">
        <f>IF(ISNA(VLOOKUP(F224,'2020功能科目'!A:B,2,FALSE)),"",VLOOKUP(F224,'2020功能科目'!A:B,2,FALSE))</f>
        <v>2080505</v>
      </c>
      <c r="F224" s="23" t="s">
        <v>354</v>
      </c>
      <c r="G224" s="24">
        <v>1964071.04</v>
      </c>
      <c r="H224" s="24">
        <v>2098399.36</v>
      </c>
    </row>
    <row r="225" spans="1:8">
      <c r="A225" s="22">
        <v>255022</v>
      </c>
      <c r="B225" s="23" t="s">
        <v>320</v>
      </c>
      <c r="C225" s="36" t="str">
        <f t="shared" si="6"/>
        <v>208</v>
      </c>
      <c r="D225" s="36" t="str">
        <f t="shared" si="7"/>
        <v>20805</v>
      </c>
      <c r="E225" s="36">
        <f>IF(ISNA(VLOOKUP(F225,'2020功能科目'!A:B,2,FALSE)),"",VLOOKUP(F225,'2020功能科目'!A:B,2,FALSE))</f>
        <v>2080506</v>
      </c>
      <c r="F225" s="23" t="s">
        <v>355</v>
      </c>
      <c r="G225" s="24">
        <v>982035.52</v>
      </c>
      <c r="H225" s="24">
        <v>1049199.68</v>
      </c>
    </row>
    <row r="226" spans="1:8">
      <c r="A226" s="22">
        <v>255022</v>
      </c>
      <c r="B226" s="23" t="s">
        <v>320</v>
      </c>
      <c r="C226" s="36" t="str">
        <f t="shared" si="6"/>
        <v>210</v>
      </c>
      <c r="D226" s="36" t="str">
        <f t="shared" si="7"/>
        <v>21011</v>
      </c>
      <c r="E226" s="36">
        <f>IF(ISNA(VLOOKUP(F226,'2020功能科目'!A:B,2,FALSE)),"",VLOOKUP(F226,'2020功能科目'!A:B,2,FALSE))</f>
        <v>2101102</v>
      </c>
      <c r="F226" s="23" t="s">
        <v>357</v>
      </c>
      <c r="G226" s="24">
        <v>2132507.06</v>
      </c>
      <c r="H226" s="24">
        <v>1704949.48</v>
      </c>
    </row>
    <row r="227" spans="1:8">
      <c r="A227" s="22">
        <v>255022</v>
      </c>
      <c r="B227" s="23" t="s">
        <v>320</v>
      </c>
      <c r="C227" s="36" t="str">
        <f t="shared" si="6"/>
        <v>210</v>
      </c>
      <c r="D227" s="36" t="str">
        <f t="shared" si="7"/>
        <v>21011</v>
      </c>
      <c r="E227" s="36">
        <f>IF(ISNA(VLOOKUP(F227,'2020功能科目'!A:B,2,FALSE)),"",VLOOKUP(F227,'2020功能科目'!A:B,2,FALSE))</f>
        <v>2101199</v>
      </c>
      <c r="F227" s="23" t="s">
        <v>358</v>
      </c>
      <c r="G227" s="24">
        <v>180000</v>
      </c>
      <c r="H227" s="24">
        <v>360000</v>
      </c>
    </row>
    <row r="228" spans="1:8">
      <c r="A228" s="22">
        <v>255022</v>
      </c>
      <c r="B228" s="23" t="s">
        <v>320</v>
      </c>
      <c r="C228" s="36" t="str">
        <f t="shared" si="6"/>
        <v>221</v>
      </c>
      <c r="D228" s="36" t="str">
        <f t="shared" si="7"/>
        <v>22102</v>
      </c>
      <c r="E228" s="36">
        <f>IF(ISNA(VLOOKUP(F228,'2020功能科目'!A:B,2,FALSE)),"",VLOOKUP(F228,'2020功能科目'!A:B,2,FALSE))</f>
        <v>2210201</v>
      </c>
      <c r="F228" s="23" t="s">
        <v>359</v>
      </c>
      <c r="G228" s="24">
        <v>2537027</v>
      </c>
      <c r="H228" s="24">
        <v>2125799.52</v>
      </c>
    </row>
    <row r="229" spans="1:8">
      <c r="A229" s="22">
        <v>255022</v>
      </c>
      <c r="B229" s="23" t="s">
        <v>320</v>
      </c>
      <c r="C229" s="36" t="str">
        <f t="shared" si="6"/>
        <v>221</v>
      </c>
      <c r="D229" s="36" t="str">
        <f t="shared" si="7"/>
        <v>22102</v>
      </c>
      <c r="E229" s="36">
        <f>IF(ISNA(VLOOKUP(F229,'2020功能科目'!A:B,2,FALSE)),"",VLOOKUP(F229,'2020功能科目'!A:B,2,FALSE))</f>
        <v>2210202</v>
      </c>
      <c r="F229" s="23" t="s">
        <v>360</v>
      </c>
      <c r="G229" s="24">
        <v>215560</v>
      </c>
      <c r="H229" s="24">
        <v>217920</v>
      </c>
    </row>
    <row r="230" spans="1:8">
      <c r="A230" s="22">
        <v>255022</v>
      </c>
      <c r="B230" s="23" t="s">
        <v>320</v>
      </c>
      <c r="C230" s="36" t="str">
        <f t="shared" si="6"/>
        <v>221</v>
      </c>
      <c r="D230" s="36" t="str">
        <f t="shared" si="7"/>
        <v>22102</v>
      </c>
      <c r="E230" s="36">
        <f>IF(ISNA(VLOOKUP(F230,'2020功能科目'!A:B,2,FALSE)),"",VLOOKUP(F230,'2020功能科目'!A:B,2,FALSE))</f>
        <v>2210203</v>
      </c>
      <c r="F230" s="23" t="s">
        <v>361</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348</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349</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350</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351</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352</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353</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354</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355</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357</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358</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359</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360</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361</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362</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349</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350</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351</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352</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353</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354</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355</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357</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358</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359</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360</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361</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362</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349</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350</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351</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352</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353</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354</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355</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357</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358</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359</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360</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361</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362</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348</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349</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350</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352</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353</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354</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355</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357</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358</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359</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360</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361</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362</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349</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350</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351</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352</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353</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354</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355</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357</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358</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359</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360</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361</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363</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364</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350</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365</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353</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354</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355</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356</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357</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358</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359</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360</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361</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349</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363</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350</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352</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365</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353</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354</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355</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357</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358</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359</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360</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361</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347</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348</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349</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350</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352</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353</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354</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355</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356</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357</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358</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359</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360</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361</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347</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349</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350</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352</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353</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354</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355</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357</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358</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359</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360</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361</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347</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349</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350</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352</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353</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354</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355</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357</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359</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360</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361</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347</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349</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350</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352</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353</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354</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355</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357</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359</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360</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361</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347</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349</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350</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352</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353</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354</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355</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357</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359</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360</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361</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347</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349</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350</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351</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352</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353</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354</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355</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357</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359</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360</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361</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347</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349</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350</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351</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352</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353</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354</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355</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357</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359</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360</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361</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347</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349</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350</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352</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353</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354</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355</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357</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359</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360</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361</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347</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349</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350</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351</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352</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353</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354</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355</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357</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359</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360</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361</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347</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349</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350</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351</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352</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353</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354</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355</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357</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358</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359</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360</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361</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347</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349</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350</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352</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353</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354</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355</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357</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359</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360</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361</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347</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349</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350</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351</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352</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353</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354</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355</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357</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358</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359</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360</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361</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347</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349</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350</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352</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353</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354</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355</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357</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359</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360</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361</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347</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349</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350</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351</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352</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353</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354</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355</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357</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358</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359</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360</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361</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347</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349</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350</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351</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352</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353</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354</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355</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357</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358</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359</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360</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361</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347</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349</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350</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351</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352</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353</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354</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355</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357</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359</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360</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361</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347</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349</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350</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351</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352</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353</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354</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355</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357</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358</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359</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360</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361</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347</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349</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350</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351</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352</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353</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354</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355</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357</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359</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360</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361</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347</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349</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350</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352</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353</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354</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355</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357</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359</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360</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361</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347</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349</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350</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351</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352</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353</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354</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355</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357</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359</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360</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361</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347</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349</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350</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351</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352</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353</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354</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355</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357</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358</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359</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360</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361</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347</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349</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350</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351</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352</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353</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354</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355</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357</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359</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360</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361</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347</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349</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350</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351</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352</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353</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354</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355</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357</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358</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359</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360</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361</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347</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349</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350</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351</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352</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353</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354</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355</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357</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359</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360</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361</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347</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349</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350</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351</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352</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366</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353</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354</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355</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356</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357</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359</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360</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361</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347</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349</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350</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352</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353</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354</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355</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357</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358</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359</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360</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361</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347</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349</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350</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351</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352</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353</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354</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355</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357</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358</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359</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360</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361</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347</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349</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350</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351</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352</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353</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354</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355</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357</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358</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359</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360</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361</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347</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349</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350</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352</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353</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354</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355</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357</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358</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359</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360</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361</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347</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349</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350</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351</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352</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353</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354</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355</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357</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358</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359</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360</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361</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347</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349</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350</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351</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352</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353</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354</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355</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357</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358</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359</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360</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361</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347</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349</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350</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352</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353</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354</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355</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357</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359</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360</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361</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347</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349</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350</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351</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352</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353</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354</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355</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357</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358</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359</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360</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361</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347</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349</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350</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351</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352</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353</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354</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355</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357</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358</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359</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360</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361</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346</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350</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366</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353</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354</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355</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357</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358</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359</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360</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361</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346</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350</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366</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353</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354</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355</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357</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358</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359</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360</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361</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346</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350</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366</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353</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354</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355</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357</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358</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359</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360</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361</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346</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350</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366</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353</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354</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355</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357</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359</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360</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361</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346</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350</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366</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353</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354</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355</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357</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359</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360</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361</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346</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350</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366</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353</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354</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355</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357</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358</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359</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360</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361</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346</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350</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366</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353</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354</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355</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357</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359</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360</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361</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346</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350</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366</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353</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354</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355</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357</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359</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360</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361</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353</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360</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346</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348</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349</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367</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350</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351</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352</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353</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354</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355</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357</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359</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360</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361</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346</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349</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367</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368</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350</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351</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352</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353</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354</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355</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357</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359</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360</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361</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349</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369</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350</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352</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353</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354</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355</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356</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357</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359</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360</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361</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349</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350</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366</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353</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354</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355</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357</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358</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359</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360</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361</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349</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350</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366</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370</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353</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354</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355</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357</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358</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359</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360</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361</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349</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350</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366</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353</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354</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355</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357</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359</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360</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361</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349</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350</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366</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353</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354</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355</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357</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359</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360</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361</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349</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350</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366</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353</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354</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355</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357</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359</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360</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361</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349</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350</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366</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353</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354</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355</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357</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359</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360</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361</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349</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350</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366</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353</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354</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355</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357</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359</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360</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361</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349</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371</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350</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366</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353</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354</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355</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357</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358</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359</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360</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361</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349</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350</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366</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353</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354</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355</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357</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359</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360</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361</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349</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350</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366</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353</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354</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355</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356</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357</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359</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360</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361</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349</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371</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350</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366</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353</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354</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355</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357</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359</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360</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361</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349</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350</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366</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353</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354</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355</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357</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359</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360</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361</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349</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350</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353</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354</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355</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357</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359</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360</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361</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349</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350</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354</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355</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357</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359</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360</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361</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349</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350</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366</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353</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354</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355</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357</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359</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360</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361</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349</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366</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353</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354</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355</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357</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359</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360</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361</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346</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350</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366</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353</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354</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355</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357</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359</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360</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361</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347</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349</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350</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351</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352</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353</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354</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355</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357</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359</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360</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361</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349</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350</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353</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354</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355</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357</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359</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360</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361</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348</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349</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350</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351</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352</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353</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354</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355</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357</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358</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359</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360</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361</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348</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349</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350</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351</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352</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353</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354</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355</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357</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358</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359</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360</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361</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348</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349</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350</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352</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353</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354</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355</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357</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358</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359</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360</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361</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348</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350</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351</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352</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353</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354</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355</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357</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358</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359</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360</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361</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348</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349</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350</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351</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352</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353</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354</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355</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357</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358</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359</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360</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361</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349</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363</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364</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350</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365</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353</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354</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355</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357</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358</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372</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359</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360</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361</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348</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350</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353</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354</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355</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357</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358</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359</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360</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361</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348</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349</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350</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351</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352</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353</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354</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355</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357</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358</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359</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360</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361</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348</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349</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350</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352</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353</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354</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355</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357</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358</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359</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360</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361</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348</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349</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350</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351</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352</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353</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354</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355</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357</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358</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359</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360</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361</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347</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349</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350</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351</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352</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353</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354</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355</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357</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358</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359</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360</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361</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347</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349</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350</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351</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352</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353</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354</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355</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357</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358</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359</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360</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361</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347</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349</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350</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351</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352</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353</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354</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355</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357</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359</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360</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361</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347</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349</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350</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351</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352</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353</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354</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355</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357</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358</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359</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360</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361</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347</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349</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350</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351</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352</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353</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354</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355</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356</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357</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358</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359</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360</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361</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347</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349</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350</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351</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352</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353</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354</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355</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357</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359</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360</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361</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347</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349</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350</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352</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353</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354</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355</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357</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359</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360</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361</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347</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349</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350</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351</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352</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353</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354</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355</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357</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359</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360</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361</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347</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349</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350</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352</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353</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354</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355</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357</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358</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359</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360</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361</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347</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349</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350</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351</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352</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353</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354</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355</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357</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358</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359</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360</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361</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347</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350</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352</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353</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354</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355</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357</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358</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359</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360</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361</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347</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349</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350</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351</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352</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353</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354</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355</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356</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357</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359</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360</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361</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347</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349</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350</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351</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352</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353</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354</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355</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357</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358</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359</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360</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361</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347</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349</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350</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351</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352</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353</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354</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355</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357</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359</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360</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361</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347</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349</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350</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351</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352</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353</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354</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355</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357</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358</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359</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360</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361</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347</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349</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350</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351</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352</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353</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354</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355</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357</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359</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360</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361</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347</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350</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351</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352</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353</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354</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355</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357</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358</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359</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360</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361</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347</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349</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350</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351</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352</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353</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354</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355</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357</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359</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360</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361</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347</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350</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351</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352</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353</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354</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355</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357</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359</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360</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361</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347</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349</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350</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352</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353</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354</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355</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357</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359</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360</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361</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347</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349</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350</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351</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352</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353</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354</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355</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357</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359</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360</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361</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347</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349</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350</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351</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352</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353</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354</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355</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357</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359</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360</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361</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346</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350</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366</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353</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354</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355</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357</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359</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360</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361</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346</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350</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366</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353</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354</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355</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357</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358</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359</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360</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361</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346</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350</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366</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353</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354</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355</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357</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358</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359</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360</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361</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346</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350</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353</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354</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355</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357</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359</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360</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361</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346</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350</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366</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353</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354</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355</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357</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359</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360</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361</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346</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350</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366</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353</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354</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355</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357</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359</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360</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361</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346</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350</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366</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353</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354</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355</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357</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359</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360</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361</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346</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350</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353</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354</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355</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357</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359</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360</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361</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346</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350</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366</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353</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354</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355</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357</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359</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360</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361</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346</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350</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366</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353</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354</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355</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357</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358</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359</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360</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361</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346</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350</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366</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353</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354</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355</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357</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359</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360</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361</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346</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350</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366</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353</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354</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355</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357</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359</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360</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361</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346</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350</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366</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353</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354</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355</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357</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359</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360</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361</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373</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350</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366</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353</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354</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355</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357</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358</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359</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360</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361</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374</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350</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366</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353</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354</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355</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357</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359</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360</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361</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349</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371</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350</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366</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353</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354</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355</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357</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358</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359</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360</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361</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349</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350</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366</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353</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354</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355</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357</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358</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359</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360</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361</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349</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350</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366</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370</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353</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354</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355</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357</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359</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360</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361</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349</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350</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366</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353</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354</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355</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357</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359</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360</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361</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349</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350</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353</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354</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355</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356</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357</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359</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360</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361</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346</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347</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362</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348</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349</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350</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351</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366</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353</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354</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355</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356</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357</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358</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375</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359</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360</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361</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349</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363</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364</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350</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365</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353</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354</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355</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357</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358</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359</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360</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361</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348</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349</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350</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351</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352</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353</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354</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355</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357</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358</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359</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360</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361</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348</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349</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350</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351</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352</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353</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354</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355</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357</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359</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360</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361</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349</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350</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366</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353</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354</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355</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357</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359</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360</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361</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346</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350</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366</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354</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355</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357</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359</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360</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361</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346</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350</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366</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354</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355</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357</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359</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360</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361</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347</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349</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350</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351</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352</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354</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355</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357</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359</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360</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361</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346</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350</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366</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353</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354</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355</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357</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359</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360</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361</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346</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350</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366</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354</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355</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357</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359</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360</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361</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346</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350</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366</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354</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355</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357</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359</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360</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361</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346</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350</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366</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354</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355</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357</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359</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360</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361</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346</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350</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366</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354</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355</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357</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359</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360</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361</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349</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350</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354</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355</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357</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359</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360</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361</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349</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354</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355</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357</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359</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349</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350</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366</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354</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355</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357</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359</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360</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361</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347</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350</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352</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354</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355</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357</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359</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360</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361</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346</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347</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362</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348</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349</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363</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364</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373</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374</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367</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369</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368</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371</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350</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351</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352</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365</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366</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370</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353</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354</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355</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356</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357</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358</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375</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372</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359</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360</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361</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33203125" style="50" bestFit="1" customWidth="1"/>
    <col min="2" max="16384" width="8.6640625" style="50"/>
  </cols>
  <sheetData>
    <row r="1" spans="1:2">
      <c r="A1" s="49" t="s">
        <v>419</v>
      </c>
      <c r="B1" s="49" t="s">
        <v>420</v>
      </c>
    </row>
    <row r="2" spans="1:2">
      <c r="A2" s="51" t="s">
        <v>421</v>
      </c>
      <c r="B2" s="49">
        <v>2050101</v>
      </c>
    </row>
    <row r="3" spans="1:2">
      <c r="A3" s="51" t="s">
        <v>422</v>
      </c>
      <c r="B3" s="49">
        <v>2050102</v>
      </c>
    </row>
    <row r="4" spans="1:2">
      <c r="A4" s="51" t="s">
        <v>346</v>
      </c>
      <c r="B4" s="49">
        <v>2050201</v>
      </c>
    </row>
    <row r="5" spans="1:2">
      <c r="A5" s="51" t="s">
        <v>347</v>
      </c>
      <c r="B5" s="49">
        <v>2050202</v>
      </c>
    </row>
    <row r="6" spans="1:2">
      <c r="A6" s="51" t="s">
        <v>362</v>
      </c>
      <c r="B6" s="49">
        <v>2050203</v>
      </c>
    </row>
    <row r="7" spans="1:2">
      <c r="A7" s="51" t="s">
        <v>348</v>
      </c>
      <c r="B7" s="49">
        <v>2050204</v>
      </c>
    </row>
    <row r="8" spans="1:2">
      <c r="A8" s="51" t="s">
        <v>349</v>
      </c>
      <c r="B8" s="49">
        <v>2050299</v>
      </c>
    </row>
    <row r="9" spans="1:2">
      <c r="A9" s="51" t="s">
        <v>363</v>
      </c>
      <c r="B9" s="49">
        <v>2050302</v>
      </c>
    </row>
    <row r="10" spans="1:2">
      <c r="A10" s="51" t="s">
        <v>423</v>
      </c>
      <c r="B10" s="49">
        <v>2050304</v>
      </c>
    </row>
    <row r="11" spans="1:2">
      <c r="A11" s="51" t="s">
        <v>364</v>
      </c>
      <c r="B11" s="49">
        <v>2050399</v>
      </c>
    </row>
    <row r="12" spans="1:2">
      <c r="A12" s="51" t="s">
        <v>373</v>
      </c>
      <c r="B12" s="49">
        <v>2050403</v>
      </c>
    </row>
    <row r="13" spans="1:2">
      <c r="A13" s="51" t="s">
        <v>374</v>
      </c>
      <c r="B13" s="49">
        <v>2050404</v>
      </c>
    </row>
    <row r="14" spans="1:2">
      <c r="A14" s="51" t="s">
        <v>367</v>
      </c>
      <c r="B14" s="49">
        <v>2050701</v>
      </c>
    </row>
    <row r="15" spans="1:2">
      <c r="A15" s="51" t="s">
        <v>369</v>
      </c>
      <c r="B15" s="49">
        <v>2050702</v>
      </c>
    </row>
    <row r="16" spans="1:2">
      <c r="A16" s="51" t="s">
        <v>368</v>
      </c>
      <c r="B16" s="49">
        <v>2050799</v>
      </c>
    </row>
    <row r="17" spans="1:2">
      <c r="A17" s="51" t="s">
        <v>371</v>
      </c>
      <c r="B17" s="49">
        <v>2050801</v>
      </c>
    </row>
    <row r="18" spans="1:2">
      <c r="A18" s="51" t="s">
        <v>350</v>
      </c>
      <c r="B18" s="49">
        <v>2050803</v>
      </c>
    </row>
    <row r="19" spans="1:2">
      <c r="A19" s="51" t="s">
        <v>351</v>
      </c>
      <c r="B19" s="49">
        <v>2050903</v>
      </c>
    </row>
    <row r="20" spans="1:2">
      <c r="A20" s="51" t="s">
        <v>352</v>
      </c>
      <c r="B20" s="49">
        <v>2050904</v>
      </c>
    </row>
    <row r="21" spans="1:2">
      <c r="A21" s="51" t="s">
        <v>365</v>
      </c>
      <c r="B21" s="49">
        <v>2050905</v>
      </c>
    </row>
    <row r="22" spans="1:2">
      <c r="A22" s="51" t="s">
        <v>366</v>
      </c>
      <c r="B22" s="49">
        <v>2050999</v>
      </c>
    </row>
    <row r="23" spans="1:2">
      <c r="A23" s="51" t="s">
        <v>370</v>
      </c>
      <c r="B23" s="49">
        <v>2060702</v>
      </c>
    </row>
    <row r="24" spans="1:2">
      <c r="A24" s="51" t="s">
        <v>424</v>
      </c>
      <c r="B24" s="49">
        <v>2080501</v>
      </c>
    </row>
    <row r="25" spans="1:2">
      <c r="A25" s="51" t="s">
        <v>353</v>
      </c>
      <c r="B25" s="49">
        <v>2080502</v>
      </c>
    </row>
    <row r="26" spans="1:2">
      <c r="A26" s="51" t="s">
        <v>354</v>
      </c>
      <c r="B26" s="49">
        <v>2080505</v>
      </c>
    </row>
    <row r="27" spans="1:2">
      <c r="A27" s="51" t="s">
        <v>355</v>
      </c>
      <c r="B27" s="49">
        <v>2080506</v>
      </c>
    </row>
    <row r="28" spans="1:2">
      <c r="A28" s="51" t="s">
        <v>356</v>
      </c>
      <c r="B28" s="49">
        <v>2080801</v>
      </c>
    </row>
    <row r="29" spans="1:2">
      <c r="A29" s="51" t="s">
        <v>425</v>
      </c>
      <c r="B29" s="49">
        <v>2101101</v>
      </c>
    </row>
    <row r="30" spans="1:2">
      <c r="A30" s="51" t="s">
        <v>357</v>
      </c>
      <c r="B30" s="49">
        <v>2101102</v>
      </c>
    </row>
    <row r="31" spans="1:2">
      <c r="A31" s="51" t="s">
        <v>358</v>
      </c>
      <c r="B31" s="49">
        <v>2101199</v>
      </c>
    </row>
    <row r="32" spans="1:2">
      <c r="A32" s="51" t="s">
        <v>375</v>
      </c>
      <c r="B32" s="49">
        <v>2120399</v>
      </c>
    </row>
    <row r="33" spans="1:2">
      <c r="A33" s="51" t="s">
        <v>359</v>
      </c>
      <c r="B33" s="49">
        <v>2210201</v>
      </c>
    </row>
    <row r="34" spans="1:2">
      <c r="A34" s="51" t="s">
        <v>360</v>
      </c>
      <c r="B34" s="49">
        <v>2210202</v>
      </c>
    </row>
    <row r="35" spans="1:2">
      <c r="A35" s="51" t="s">
        <v>361</v>
      </c>
      <c r="B35" s="49">
        <v>2210203</v>
      </c>
    </row>
    <row r="36" spans="1:2">
      <c r="A36" s="51" t="s">
        <v>426</v>
      </c>
      <c r="B36" s="49">
        <v>2296003</v>
      </c>
    </row>
    <row r="37" spans="1:2">
      <c r="A37" s="51" t="s">
        <v>427</v>
      </c>
      <c r="B37" s="49">
        <v>2340201</v>
      </c>
    </row>
    <row r="38" spans="1:2">
      <c r="A38" s="51" t="s">
        <v>372</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2021-09-08T02:52:57Z</dcterms:modified>
</cp:coreProperties>
</file>