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63 北京第二实验小学涭水河分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F61" i="5"/>
  <c r="A3" i="6"/>
  <c r="J55" i="5" l="1"/>
  <c r="E55" i="5"/>
  <c r="J53" i="5"/>
  <c r="E53" i="5"/>
  <c r="J50" i="5"/>
  <c r="E50" i="5"/>
  <c r="J48" i="5"/>
  <c r="E48" i="5"/>
  <c r="J45" i="5"/>
  <c r="E45" i="5"/>
  <c r="J43" i="5"/>
  <c r="E43" i="5"/>
  <c r="J40" i="5"/>
  <c r="E40" i="5"/>
  <c r="J37" i="5"/>
  <c r="E37" i="5"/>
  <c r="J34" i="5"/>
  <c r="E34" i="5"/>
  <c r="J32" i="5"/>
  <c r="E32" i="5"/>
  <c r="D30" i="5"/>
  <c r="B56" i="5" l="1"/>
  <c r="F46" i="5"/>
  <c r="C49" i="5"/>
  <c r="G49" i="5" s="1"/>
  <c r="C54" i="5"/>
  <c r="G54" i="5" s="1"/>
  <c r="F33" i="5"/>
  <c r="F51" i="5"/>
  <c r="C56" i="5"/>
  <c r="G56" i="5" s="1"/>
  <c r="F56" i="5"/>
  <c r="F54" i="5"/>
  <c r="B54" i="5"/>
  <c r="B51" i="5"/>
  <c r="C51" i="5"/>
  <c r="G51" i="5" s="1"/>
  <c r="F49" i="5"/>
  <c r="B49" i="5"/>
  <c r="C46" i="5"/>
  <c r="G46" i="5" s="1"/>
  <c r="F35" i="5"/>
  <c r="F38" i="5"/>
  <c r="F44" i="5"/>
  <c r="B46" i="5"/>
  <c r="B44" i="5"/>
  <c r="C44" i="5"/>
  <c r="G44" i="5" s="1"/>
  <c r="C41" i="5"/>
  <c r="G41" i="5" s="1"/>
  <c r="C33" i="5"/>
  <c r="G33" i="5" s="1"/>
  <c r="B41" i="5"/>
  <c r="F41" i="5"/>
  <c r="B38" i="5"/>
  <c r="C38" i="5"/>
  <c r="G38" i="5" s="1"/>
  <c r="B35" i="5"/>
  <c r="C35" i="5"/>
  <c r="G35" i="5" s="1"/>
  <c r="B33"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2" i="5" l="1"/>
  <c r="E64" i="5"/>
  <c r="J64" i="5"/>
  <c r="J66" i="5" s="1"/>
  <c r="D62" i="5"/>
  <c r="F26" i="5"/>
  <c r="D29" i="5"/>
  <c r="D28" i="5"/>
  <c r="D27" i="5"/>
  <c r="E22" i="5"/>
  <c r="K22" i="5" s="1"/>
  <c r="D20" i="5"/>
  <c r="D19" i="5"/>
  <c r="D18" i="5"/>
  <c r="D17" i="5"/>
  <c r="J17" i="5" s="1"/>
  <c r="D15" i="5"/>
  <c r="D14" i="5"/>
  <c r="D13" i="5"/>
  <c r="D12" i="5"/>
  <c r="D11" i="5"/>
  <c r="D10" i="5"/>
  <c r="D8" i="5"/>
  <c r="J8" i="5" s="1"/>
  <c r="H10" i="5" l="1"/>
  <c r="K10" i="5" s="1"/>
  <c r="J10" i="5"/>
  <c r="F65" i="5"/>
  <c r="F67" i="5" s="1"/>
  <c r="G8" i="5"/>
  <c r="H12" i="5"/>
  <c r="G10" i="5"/>
  <c r="H19" i="5"/>
  <c r="H8" i="5"/>
  <c r="K8" i="5" s="1"/>
  <c r="H11" i="5"/>
  <c r="H20" i="5"/>
  <c r="H14" i="5"/>
  <c r="H17" i="5"/>
  <c r="K17" i="5" s="1"/>
  <c r="H15" i="5"/>
  <c r="I22" i="5"/>
  <c r="L22" i="5" s="1"/>
  <c r="C65" i="5"/>
  <c r="E66" i="5"/>
  <c r="B65" i="5"/>
  <c r="B67" i="5" s="1"/>
  <c r="G17" i="5"/>
  <c r="H13" i="5"/>
  <c r="H18" i="5"/>
  <c r="H22" i="5"/>
  <c r="I27" i="5"/>
  <c r="I29" i="5"/>
  <c r="I30" i="5"/>
  <c r="I28" i="5"/>
  <c r="C67" i="5" l="1"/>
  <c r="G65" i="5"/>
  <c r="G67" i="5" s="1"/>
  <c r="E6" i="5"/>
</calcChain>
</file>

<file path=xl/sharedStrings.xml><?xml version="1.0" encoding="utf-8"?>
<sst xmlns="http://schemas.openxmlformats.org/spreadsheetml/2006/main" count="4597" uniqueCount="436">
  <si>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</si>
  <si>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</si>
  <si>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</si>
  <si>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</si>
  <si>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</si>
  <si>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</si>
  <si>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</si>
  <si>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</si>
  <si>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</si>
  <si>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</si>
  <si>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</si>
  <si>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</si>
  <si>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</si>
  <si>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</si>
  <si>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</si>
  <si>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</si>
  <si>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</si>
  <si>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</si>
  <si>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</si>
  <si>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</si>
  <si>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</si>
  <si>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</si>
  <si>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</si>
  <si>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</si>
  <si>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</si>
  <si>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</si>
  <si>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</si>
  <si>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</si>
  <si>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</si>
  <si>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</si>
  <si>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</si>
  <si>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</si>
  <si>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</si>
  <si>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</si>
  <si>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</si>
  <si>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</si>
  <si>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</si>
  <si>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</si>
  <si>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</si>
  <si>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</si>
  <si>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</si>
  <si>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</si>
  <si>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</si>
  <si>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</si>
  <si>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</si>
  <si>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</si>
  <si>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</si>
  <si>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</si>
  <si>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</si>
  <si>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</si>
  <si>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</si>
  <si>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</si>
  <si>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</si>
  <si>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</si>
  <si>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</si>
  <si>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</si>
  <si>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</si>
  <si>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</si>
  <si>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</si>
  <si>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</si>
  <si>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</si>
  <si>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</si>
  <si>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</si>
  <si>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</si>
  <si>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</si>
  <si>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</si>
  <si>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</si>
  <si>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</si>
  <si>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</si>
  <si>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</si>
  <si>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</si>
  <si>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</si>
  <si>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</si>
  <si>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</si>
  <si>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</si>
  <si>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</si>
  <si>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</si>
  <si>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</si>
  <si>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</si>
  <si>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</si>
  <si>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</si>
  <si>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</si>
  <si>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</si>
  <si>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</si>
  <si>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</si>
  <si>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</si>
  <si>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</si>
  <si>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</si>
  <si>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</si>
  <si>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</si>
  <si>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</si>
  <si>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</si>
  <si>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</si>
  <si>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</si>
  <si>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</si>
  <si>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</si>
  <si>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</si>
  <si>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</si>
  <si>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</si>
  <si>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</si>
  <si>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</si>
  <si>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</si>
  <si>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</si>
  <si>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</si>
  <si>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</si>
  <si>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</si>
  <si>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</si>
  <si>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</si>
  <si>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</si>
  <si>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</si>
  <si>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</si>
  <si>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</si>
  <si>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</si>
  <si>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</si>
  <si>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</si>
  <si>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</si>
  <si>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</si>
  <si>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</si>
  <si>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</si>
  <si>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</si>
  <si>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</si>
  <si>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</si>
  <si>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</si>
  <si>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</si>
  <si>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</si>
  <si>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</si>
  <si>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</si>
  <si>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</si>
  <si>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</si>
  <si>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</si>
  <si>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</si>
  <si>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</si>
  <si>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</si>
  <si>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</si>
  <si>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</si>
  <si>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</si>
  <si>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</si>
  <si>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</si>
  <si>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</si>
  <si>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</si>
  <si>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</si>
  <si>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</si>
  <si>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</si>
  <si>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</si>
  <si>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</si>
  <si>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</si>
  <si>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</si>
  <si>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</si>
  <si>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</si>
  <si>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</si>
  <si>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</si>
  <si>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</si>
  <si>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</si>
  <si>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</si>
  <si>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</si>
  <si>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</si>
  <si>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</si>
  <si>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</si>
  <si>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</si>
  <si>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</si>
  <si>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</si>
  <si>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</si>
  <si>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</si>
  <si>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</si>
  <si>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</si>
  <si>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</si>
  <si>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</si>
  <si>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</si>
  <si>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</si>
  <si>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</si>
  <si>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</si>
  <si>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</si>
  <si>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</si>
  <si>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</si>
  <si>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</si>
  <si>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</si>
  <si>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</si>
  <si>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</si>
  <si>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</si>
  <si>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</si>
  <si>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</si>
  <si>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</si>
  <si>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</si>
  <si>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</si>
  <si>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</si>
  <si>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</si>
  <si>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</si>
  <si>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</si>
  <si>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</si>
  <si>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</si>
  <si>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</si>
  <si>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</si>
  <si>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</si>
  <si>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</si>
  <si>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</si>
  <si>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</si>
  <si>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</si>
  <si>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</si>
  <si>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</si>
  <si>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</si>
  <si>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</si>
  <si>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</si>
  <si>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</si>
  <si>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</si>
  <si>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</si>
  <si>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</si>
  <si>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</si>
  <si>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</si>
  <si>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</si>
  <si>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</si>
  <si>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</si>
  <si>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</si>
  <si>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</si>
  <si>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</si>
  <si>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</si>
  <si>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</si>
  <si>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</si>
  <si>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</si>
  <si>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</si>
  <si>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</si>
  <si>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</si>
  <si>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</si>
  <si>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</si>
  <si>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</si>
  <si>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</si>
  <si>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</si>
  <si>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</si>
  <si>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</si>
  <si>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</si>
  <si>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</si>
  <si>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</si>
  <si>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</si>
  <si>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</si>
  <si>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</si>
  <si>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</si>
  <si>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</si>
  <si>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</si>
  <si>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</si>
  <si>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</si>
  <si>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</si>
  <si>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</si>
  <si>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</si>
  <si>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</si>
  <si>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</si>
  <si>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</si>
  <si>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</si>
  <si>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</si>
  <si>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本年度无此项支出。</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</si>
  <si>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</si>
  <si>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</si>
  <si>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</si>
  <si>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</si>
  <si>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</si>
  <si>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</si>
  <si>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</si>
  <si>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</si>
  <si>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</si>
  <si>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</si>
  <si>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</si>
  <si>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</si>
  <si>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</si>
  <si>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</si>
  <si>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</si>
  <si>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</si>
  <si>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</si>
  <si>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</si>
  <si>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</si>
  <si>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</si>
  <si>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</si>
  <si>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</si>
  <si>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</si>
  <si>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</si>
  <si>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</si>
  <si>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</si>
  <si>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</si>
  <si>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</si>
  <si>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</si>
  <si>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</si>
  <si>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</si>
  <si>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</si>
  <si>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</si>
  <si>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</si>
  <si>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</si>
  <si>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</si>
  <si>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</si>
  <si>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</si>
  <si>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</si>
  <si>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</si>
  <si>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</si>
  <si>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</si>
  <si>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</si>
  <si>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</si>
  <si>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</si>
  <si>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</si>
  <si>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</si>
  <si>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</si>
  <si>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</si>
  <si>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</si>
  <si>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</si>
  <si>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</si>
  <si>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</si>
  <si>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</si>
  <si>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</si>
  <si>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</si>
  <si>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</si>
  <si>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</si>
  <si>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</si>
  <si>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</si>
  <si>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</si>
  <si>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</si>
  <si>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</si>
  <si>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</si>
  <si>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</si>
  <si>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</si>
  <si>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</si>
  <si>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</si>
  <si>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</si>
  <si>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</si>
  <si>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</si>
  <si>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</si>
  <si>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</si>
  <si>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</si>
  <si>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</si>
  <si>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</si>
  <si>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</si>
  <si>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</si>
  <si>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</si>
  <si>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</si>
  <si>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</si>
  <si>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</si>
  <si>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</si>
  <si>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</si>
  <si>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</si>
  <si>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</si>
  <si>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</si>
  <si>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</si>
  <si>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</si>
  <si>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</si>
  <si>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</si>
  <si>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</si>
  <si>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</si>
  <si>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</si>
  <si>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</si>
  <si>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</si>
  <si>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</si>
  <si>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</si>
  <si>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</si>
  <si>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</si>
  <si>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</si>
  <si>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</si>
  <si>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</si>
  <si>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</si>
  <si>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</si>
  <si>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</si>
  <si>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</si>
  <si>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</si>
  <si>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</si>
  <si>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</si>
  <si>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</si>
  <si>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</si>
  <si>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</si>
  <si>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</si>
  <si>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</si>
  <si>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</si>
  <si>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</si>
  <si>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</si>
  <si>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</si>
  <si>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</si>
  <si>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</si>
  <si>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</si>
  <si>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</si>
  <si>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</si>
  <si>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</si>
  <si>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</si>
  <si>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</si>
  <si>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</si>
  <si>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</si>
  <si>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</si>
  <si>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</si>
  <si>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</si>
  <si>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</si>
  <si>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</si>
  <si>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</si>
  <si>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</si>
  <si>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</si>
  <si>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</si>
  <si>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</si>
  <si>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</si>
  <si>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</si>
  <si>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</si>
  <si>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</si>
  <si>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</si>
  <si>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</si>
  <si>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</si>
  <si>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</si>
  <si>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</si>
  <si>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</si>
  <si>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</si>
  <si>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</si>
  <si>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</si>
  <si>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</si>
  <si>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</si>
  <si>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</si>
  <si>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</si>
  <si>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</si>
  <si>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</si>
  <si>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</si>
  <si>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</si>
  <si>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</si>
  <si>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</si>
  <si>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</si>
  <si>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</si>
  <si>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</si>
  <si>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</si>
  <si>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</si>
  <si>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</si>
  <si>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</si>
  <si>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</si>
  <si>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</si>
  <si>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</si>
  <si>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</si>
  <si>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四、政府购买服务支出说明</t>
    <phoneticPr fontId="3" type="noConversion"/>
  </si>
  <si>
    <t>五、专业名词解释</t>
    <phoneticPr fontId="3" type="noConversion"/>
  </si>
  <si>
    <t>主要原因是1人员支出增加，根据相关政策调增工资福利支出，2因扩班在校学生数增加相关公用支出增加。</t>
    <phoneticPr fontId="3" type="noConversion"/>
  </si>
  <si>
    <t>主要原因是人员支出增加，根据相关政策调增工资福利支出，2因扩班在校学生数增加相关公用支出增加，因扩班增加设备及改造教室。</t>
    <phoneticPr fontId="3" type="noConversion"/>
  </si>
  <si>
    <t>主要原因是根据实际培训需要支出，因疫情减少部分培训。</t>
    <phoneticPr fontId="3" type="noConversion"/>
  </si>
  <si>
    <t>主要原因是部分支出使用上年结转资金，2020年疫情原因相关项目未开展。</t>
    <phoneticPr fontId="3" type="noConversion"/>
  </si>
  <si>
    <t>主要原因是职工人数增加，缴费基数调整。</t>
    <phoneticPr fontId="3" type="noConversion"/>
  </si>
  <si>
    <t>主要原因是职工人数增加，缴费基数调整。</t>
    <phoneticPr fontId="3" type="noConversion"/>
  </si>
  <si>
    <t>主要原因是职工人数增加，缴费基数调整。</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</si>
  <si>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</si>
  <si>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</si>
  <si>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</si>
  <si>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主要原因是消防改造项目按实际合同支出，节约支出。</t>
    <phoneticPr fontId="3" type="noConversion"/>
  </si>
  <si>
    <t>北京第二实验小学涭水河分校是北京市西城区教委直属的一所普通小学，位于金融街街道受水河胡同45号旁门（2017年2月校址周转至前门西大街137号）。学校按编制设置校长、副校长、主任、副主任和其他工作人员。设置校长办公室、德育处、少先队大队部、教学处处、总务处等职能机构。 学校实行校长负责制，校长办公室在校长指导下，由办公室主任主持日常行政工作。教学处教学主任协助校长制定并实施学校教学工作计划，开展学校的教学工作。德育处及少先队大队部德育主任和德育副主任协助校长制定实施学校教育工作计划，开展学校教育工作。总务处由后勤副校长主抓，负责学校安全、后勤、财务等工作。学校党支部积极发挥其在贯彻执行教育方针和组织教学过程中的核心、监督和保证作用，对学校发展规划、工作计划、重大改革方案、重要人事安排和工作安排等涉及方向、政策、全局性的重大问题进行研究、参与、决策。 学校工会作为教职工（代表）大会的工作机构，保障民主管理、民主监督的落实，维护教职工的合法权益。</t>
    <phoneticPr fontId="3" type="noConversion"/>
  </si>
  <si>
    <t>北京第二实验小学涭水河分校对2020年度部门项目支出实施绩效评价，评价项目4个，占项目总数的45%，涉及金额119.72万元。技防改造、校园保障、各项改造和设备购置以及扩班项目已按照时间进度完成，为我校办学水平的提升提供了强有力的后勤保障，将为广大师生提供安全舒适的教室、办公条件，保障学校的教育教学秩序，长期为教育教学提供基础保障，并进一步提高校园文化建设。提高了学校的社会满意度，收到了良好的社会效果，学校正在向着良性发展的道路前行。</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</si>
</sst>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D9" sqref="D9"/>
    </sheetView>
  </sheetViews>
  <sheetFormatPr defaultRowHeight="13.8"/>
  <cols>
    <col min="1" max="1" width="16.44140625" customWidth="1"/>
    <col min="2" max="2" width="12.77734375" bestFit="1" customWidth="1"/>
  </cols>
  <sheetData>
    <row r="1" spans="1:14" ht="37.950000000000003" customHeight="1">
      <c r="A1" s="25" t="s">
        <v>0</v>
      </c>
      <c r="B1" s="26">
        <v>255063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北京第二实验小学涭水河分校</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328</v>
      </c>
      <c r="B1" s="20" t="s">
        <v>257</v>
      </c>
      <c r="C1" s="34" t="s">
        <v>329</v>
      </c>
      <c r="D1" s="34" t="s">
        <v>330</v>
      </c>
      <c r="E1" s="35" t="s">
        <v>331</v>
      </c>
      <c r="F1" s="20" t="s">
        <v>332</v>
      </c>
      <c r="G1" s="20" t="s">
        <v>333</v>
      </c>
      <c r="H1" s="20" t="s">
        <v>334</v>
      </c>
    </row>
    <row r="2" spans="1:8">
      <c r="A2" s="22">
        <v>255001</v>
      </c>
      <c r="B2" s="23" t="s">
        <v>308</v>
      </c>
      <c r="C2" s="36" t="str">
        <f>LEFT(D2,3)</f>
        <v>205</v>
      </c>
      <c r="D2" s="36" t="str">
        <f>LEFT(E2,5)</f>
        <v>20502</v>
      </c>
      <c r="E2" s="36">
        <f>IF(ISNA(VLOOKUP(F2,'2020功能科目'!A:B,2,FALSE)),"",VLOOKUP(F2,'2020功能科目'!A:B,2,FALSE))</f>
        <v>2050201</v>
      </c>
      <c r="F2" s="23" t="s">
        <v>335</v>
      </c>
      <c r="G2" s="24">
        <v>91486047.549999997</v>
      </c>
      <c r="H2" s="24">
        <v>117849170.55</v>
      </c>
    </row>
    <row r="3" spans="1:8">
      <c r="A3" s="22">
        <v>255001</v>
      </c>
      <c r="B3" s="23" t="s">
        <v>308</v>
      </c>
      <c r="C3" s="36" t="str">
        <f t="shared" ref="C3:C66" si="0">LEFT(D3,3)</f>
        <v>205</v>
      </c>
      <c r="D3" s="36" t="str">
        <f t="shared" ref="D3:D66" si="1">LEFT(E3,5)</f>
        <v>20502</v>
      </c>
      <c r="E3" s="36">
        <f>IF(ISNA(VLOOKUP(F3,'2020功能科目'!A:B,2,FALSE)),"",VLOOKUP(F3,'2020功能科目'!A:B,2,FALSE))</f>
        <v>2050202</v>
      </c>
      <c r="F3" s="23" t="s">
        <v>336</v>
      </c>
      <c r="G3" s="24">
        <v>250000</v>
      </c>
      <c r="H3" s="24">
        <v>250000</v>
      </c>
    </row>
    <row r="4" spans="1:8">
      <c r="A4" s="22">
        <v>255001</v>
      </c>
      <c r="B4" s="23" t="s">
        <v>308</v>
      </c>
      <c r="C4" s="36" t="str">
        <f t="shared" si="0"/>
        <v>205</v>
      </c>
      <c r="D4" s="36" t="str">
        <f t="shared" si="1"/>
        <v>20502</v>
      </c>
      <c r="E4" s="36">
        <f>IF(ISNA(VLOOKUP(F4,'2020功能科目'!A:B,2,FALSE)),"",VLOOKUP(F4,'2020功能科目'!A:B,2,FALSE))</f>
        <v>2050204</v>
      </c>
      <c r="F4" s="23" t="s">
        <v>337</v>
      </c>
      <c r="G4" s="24">
        <v>1439000</v>
      </c>
      <c r="H4" s="24">
        <v>1439888.15</v>
      </c>
    </row>
    <row r="5" spans="1:8">
      <c r="A5" s="22">
        <v>255001</v>
      </c>
      <c r="B5" s="23" t="s">
        <v>308</v>
      </c>
      <c r="C5" s="36" t="str">
        <f t="shared" si="0"/>
        <v>205</v>
      </c>
      <c r="D5" s="36" t="str">
        <f t="shared" si="1"/>
        <v>20502</v>
      </c>
      <c r="E5" s="36">
        <f>IF(ISNA(VLOOKUP(F5,'2020功能科目'!A:B,2,FALSE)),"",VLOOKUP(F5,'2020功能科目'!A:B,2,FALSE))</f>
        <v>2050299</v>
      </c>
      <c r="F5" s="23" t="s">
        <v>338</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337</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338</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339</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340</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341</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342</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343</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344</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345</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346</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347</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348</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349</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350</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337</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338</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339</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340</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341</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342</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343</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344</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346</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347</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348</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349</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350</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337</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338</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339</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341</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342</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343</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344</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346</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347</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348</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349</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350</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337</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338</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339</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340</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341</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342</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343</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344</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346</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347</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348</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349</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350</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337</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339</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340</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341</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342</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343</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344</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346</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347</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348</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349</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350</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337</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340</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341</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342</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343</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344</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346</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347</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348</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349</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350</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337</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338</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339</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340</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341</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342</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343</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344</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345</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346</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347</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348</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349</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350</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337</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338</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339</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340</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341</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342</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343</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344</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346</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347</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348</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349</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350</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337</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338</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339</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340</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341</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342</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343</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344</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346</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347</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348</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349</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350</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337</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339</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340</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341</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342</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343</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344</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346</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347</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348</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349</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350</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337</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339</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340</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341</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342</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343</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344</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346</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347</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348</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349</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350</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337</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341</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342</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343</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344</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346</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347</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348</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349</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350</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337</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338</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339</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340</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341</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342</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343</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344</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346</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347</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348</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349</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350</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351</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338</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339</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340</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341</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342</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343</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344</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346</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347</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348</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349</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350</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337</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339</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340</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342</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343</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344</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346</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348</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349</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350</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337</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338</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339</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340</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341</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342</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343</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344</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346</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347</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348</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349</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350</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337</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338</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339</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340</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341</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342</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343</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344</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346</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347</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348</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349</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350</v>
      </c>
      <c r="G216" s="24">
        <v>4290503</v>
      </c>
      <c r="H216" s="24">
        <v>4304412</v>
      </c>
    </row>
    <row r="217" spans="1:8">
      <c r="A217" s="22">
        <v>255022</v>
      </c>
      <c r="B217" s="23" t="s">
        <v>309</v>
      </c>
      <c r="C217" s="36" t="str">
        <f t="shared" si="6"/>
        <v>205</v>
      </c>
      <c r="D217" s="36" t="str">
        <f t="shared" si="7"/>
        <v>20502</v>
      </c>
      <c r="E217" s="36">
        <f>IF(ISNA(VLOOKUP(F217,'2020功能科目'!A:B,2,FALSE)),"",VLOOKUP(F217,'2020功能科目'!A:B,2,FALSE))</f>
        <v>2050203</v>
      </c>
      <c r="F217" s="23" t="s">
        <v>351</v>
      </c>
      <c r="G217" s="24">
        <v>26873070.100000001</v>
      </c>
      <c r="H217" s="24">
        <v>22704196.510000002</v>
      </c>
    </row>
    <row r="218" spans="1:8">
      <c r="A218" s="22">
        <v>255022</v>
      </c>
      <c r="B218" s="23" t="s">
        <v>309</v>
      </c>
      <c r="C218" s="36" t="str">
        <f t="shared" si="6"/>
        <v>205</v>
      </c>
      <c r="D218" s="36" t="str">
        <f t="shared" si="7"/>
        <v>20502</v>
      </c>
      <c r="E218" s="36">
        <f>IF(ISNA(VLOOKUP(F218,'2020功能科目'!A:B,2,FALSE)),"",VLOOKUP(F218,'2020功能科目'!A:B,2,FALSE))</f>
        <v>2050204</v>
      </c>
      <c r="F218" s="23" t="s">
        <v>337</v>
      </c>
      <c r="G218" s="24">
        <v>46564</v>
      </c>
      <c r="H218" s="24">
        <v>51629</v>
      </c>
    </row>
    <row r="219" spans="1:8">
      <c r="A219" s="22">
        <v>255022</v>
      </c>
      <c r="B219" s="23" t="s">
        <v>309</v>
      </c>
      <c r="C219" s="36" t="str">
        <f t="shared" si="6"/>
        <v>205</v>
      </c>
      <c r="D219" s="36" t="str">
        <f t="shared" si="7"/>
        <v>20502</v>
      </c>
      <c r="E219" s="36">
        <f>IF(ISNA(VLOOKUP(F219,'2020功能科目'!A:B,2,FALSE)),"",VLOOKUP(F219,'2020功能科目'!A:B,2,FALSE))</f>
        <v>2050299</v>
      </c>
      <c r="F219" s="23" t="s">
        <v>338</v>
      </c>
      <c r="G219" s="24">
        <v>279.2</v>
      </c>
      <c r="H219" s="24">
        <v>0</v>
      </c>
    </row>
    <row r="220" spans="1:8">
      <c r="A220" s="22">
        <v>255022</v>
      </c>
      <c r="B220" s="23" t="s">
        <v>309</v>
      </c>
      <c r="C220" s="36" t="str">
        <f t="shared" si="6"/>
        <v>205</v>
      </c>
      <c r="D220" s="36" t="str">
        <f t="shared" si="7"/>
        <v>20508</v>
      </c>
      <c r="E220" s="36">
        <f>IF(ISNA(VLOOKUP(F220,'2020功能科目'!A:B,2,FALSE)),"",VLOOKUP(F220,'2020功能科目'!A:B,2,FALSE))</f>
        <v>2050803</v>
      </c>
      <c r="F220" s="23" t="s">
        <v>339</v>
      </c>
      <c r="G220" s="24">
        <v>36800</v>
      </c>
      <c r="H220" s="24">
        <v>73600</v>
      </c>
    </row>
    <row r="221" spans="1:8">
      <c r="A221" s="22">
        <v>255022</v>
      </c>
      <c r="B221" s="23" t="s">
        <v>309</v>
      </c>
      <c r="C221" s="36" t="str">
        <f t="shared" si="6"/>
        <v>205</v>
      </c>
      <c r="D221" s="36" t="str">
        <f t="shared" si="7"/>
        <v>20509</v>
      </c>
      <c r="E221" s="36">
        <f>IF(ISNA(VLOOKUP(F221,'2020功能科目'!A:B,2,FALSE)),"",VLOOKUP(F221,'2020功能科目'!A:B,2,FALSE))</f>
        <v>2050903</v>
      </c>
      <c r="F221" s="23" t="s">
        <v>340</v>
      </c>
      <c r="G221" s="24">
        <v>138743.4</v>
      </c>
      <c r="H221" s="24">
        <v>140000</v>
      </c>
    </row>
    <row r="222" spans="1:8">
      <c r="A222" s="22">
        <v>255022</v>
      </c>
      <c r="B222" s="23" t="s">
        <v>309</v>
      </c>
      <c r="C222" s="36" t="str">
        <f t="shared" si="6"/>
        <v>205</v>
      </c>
      <c r="D222" s="36" t="str">
        <f t="shared" si="7"/>
        <v>20509</v>
      </c>
      <c r="E222" s="36">
        <f>IF(ISNA(VLOOKUP(F222,'2020功能科目'!A:B,2,FALSE)),"",VLOOKUP(F222,'2020功能科目'!A:B,2,FALSE))</f>
        <v>2050904</v>
      </c>
      <c r="F222" s="23" t="s">
        <v>341</v>
      </c>
      <c r="G222" s="24">
        <v>1246675.0900000001</v>
      </c>
      <c r="H222" s="24">
        <v>1261160</v>
      </c>
    </row>
    <row r="223" spans="1:8">
      <c r="A223" s="22">
        <v>255022</v>
      </c>
      <c r="B223" s="23" t="s">
        <v>309</v>
      </c>
      <c r="C223" s="36" t="str">
        <f t="shared" si="6"/>
        <v>208</v>
      </c>
      <c r="D223" s="36" t="str">
        <f t="shared" si="7"/>
        <v>20805</v>
      </c>
      <c r="E223" s="36">
        <f>IF(ISNA(VLOOKUP(F223,'2020功能科目'!A:B,2,FALSE)),"",VLOOKUP(F223,'2020功能科目'!A:B,2,FALSE))</f>
        <v>2080502</v>
      </c>
      <c r="F223" s="23" t="s">
        <v>342</v>
      </c>
      <c r="G223" s="24">
        <v>2701675.56</v>
      </c>
      <c r="H223" s="24">
        <v>2070473.15</v>
      </c>
    </row>
    <row r="224" spans="1:8">
      <c r="A224" s="22">
        <v>255022</v>
      </c>
      <c r="B224" s="23" t="s">
        <v>309</v>
      </c>
      <c r="C224" s="36" t="str">
        <f t="shared" si="6"/>
        <v>208</v>
      </c>
      <c r="D224" s="36" t="str">
        <f t="shared" si="7"/>
        <v>20805</v>
      </c>
      <c r="E224" s="36">
        <f>IF(ISNA(VLOOKUP(F224,'2020功能科目'!A:B,2,FALSE)),"",VLOOKUP(F224,'2020功能科目'!A:B,2,FALSE))</f>
        <v>2080505</v>
      </c>
      <c r="F224" s="23" t="s">
        <v>343</v>
      </c>
      <c r="G224" s="24">
        <v>1964071.04</v>
      </c>
      <c r="H224" s="24">
        <v>2098399.36</v>
      </c>
    </row>
    <row r="225" spans="1:8">
      <c r="A225" s="22">
        <v>255022</v>
      </c>
      <c r="B225" s="23" t="s">
        <v>309</v>
      </c>
      <c r="C225" s="36" t="str">
        <f t="shared" si="6"/>
        <v>208</v>
      </c>
      <c r="D225" s="36" t="str">
        <f t="shared" si="7"/>
        <v>20805</v>
      </c>
      <c r="E225" s="36">
        <f>IF(ISNA(VLOOKUP(F225,'2020功能科目'!A:B,2,FALSE)),"",VLOOKUP(F225,'2020功能科目'!A:B,2,FALSE))</f>
        <v>2080506</v>
      </c>
      <c r="F225" s="23" t="s">
        <v>344</v>
      </c>
      <c r="G225" s="24">
        <v>982035.52</v>
      </c>
      <c r="H225" s="24">
        <v>1049199.68</v>
      </c>
    </row>
    <row r="226" spans="1:8">
      <c r="A226" s="22">
        <v>255022</v>
      </c>
      <c r="B226" s="23" t="s">
        <v>309</v>
      </c>
      <c r="C226" s="36" t="str">
        <f t="shared" si="6"/>
        <v>210</v>
      </c>
      <c r="D226" s="36" t="str">
        <f t="shared" si="7"/>
        <v>21011</v>
      </c>
      <c r="E226" s="36">
        <f>IF(ISNA(VLOOKUP(F226,'2020功能科目'!A:B,2,FALSE)),"",VLOOKUP(F226,'2020功能科目'!A:B,2,FALSE))</f>
        <v>2101102</v>
      </c>
      <c r="F226" s="23" t="s">
        <v>346</v>
      </c>
      <c r="G226" s="24">
        <v>2132507.06</v>
      </c>
      <c r="H226" s="24">
        <v>1704949.48</v>
      </c>
    </row>
    <row r="227" spans="1:8">
      <c r="A227" s="22">
        <v>255022</v>
      </c>
      <c r="B227" s="23" t="s">
        <v>309</v>
      </c>
      <c r="C227" s="36" t="str">
        <f t="shared" si="6"/>
        <v>210</v>
      </c>
      <c r="D227" s="36" t="str">
        <f t="shared" si="7"/>
        <v>21011</v>
      </c>
      <c r="E227" s="36">
        <f>IF(ISNA(VLOOKUP(F227,'2020功能科目'!A:B,2,FALSE)),"",VLOOKUP(F227,'2020功能科目'!A:B,2,FALSE))</f>
        <v>2101199</v>
      </c>
      <c r="F227" s="23" t="s">
        <v>347</v>
      </c>
      <c r="G227" s="24">
        <v>180000</v>
      </c>
      <c r="H227" s="24">
        <v>360000</v>
      </c>
    </row>
    <row r="228" spans="1:8">
      <c r="A228" s="22">
        <v>255022</v>
      </c>
      <c r="B228" s="23" t="s">
        <v>309</v>
      </c>
      <c r="C228" s="36" t="str">
        <f t="shared" si="6"/>
        <v>221</v>
      </c>
      <c r="D228" s="36" t="str">
        <f t="shared" si="7"/>
        <v>22102</v>
      </c>
      <c r="E228" s="36">
        <f>IF(ISNA(VLOOKUP(F228,'2020功能科目'!A:B,2,FALSE)),"",VLOOKUP(F228,'2020功能科目'!A:B,2,FALSE))</f>
        <v>2210201</v>
      </c>
      <c r="F228" s="23" t="s">
        <v>348</v>
      </c>
      <c r="G228" s="24">
        <v>2537027</v>
      </c>
      <c r="H228" s="24">
        <v>2125799.52</v>
      </c>
    </row>
    <row r="229" spans="1:8">
      <c r="A229" s="22">
        <v>255022</v>
      </c>
      <c r="B229" s="23" t="s">
        <v>309</v>
      </c>
      <c r="C229" s="36" t="str">
        <f t="shared" si="6"/>
        <v>221</v>
      </c>
      <c r="D229" s="36" t="str">
        <f t="shared" si="7"/>
        <v>22102</v>
      </c>
      <c r="E229" s="36">
        <f>IF(ISNA(VLOOKUP(F229,'2020功能科目'!A:B,2,FALSE)),"",VLOOKUP(F229,'2020功能科目'!A:B,2,FALSE))</f>
        <v>2210202</v>
      </c>
      <c r="F229" s="23" t="s">
        <v>349</v>
      </c>
      <c r="G229" s="24">
        <v>215560</v>
      </c>
      <c r="H229" s="24">
        <v>217920</v>
      </c>
    </row>
    <row r="230" spans="1:8">
      <c r="A230" s="22">
        <v>255022</v>
      </c>
      <c r="B230" s="23" t="s">
        <v>309</v>
      </c>
      <c r="C230" s="36" t="str">
        <f t="shared" si="6"/>
        <v>221</v>
      </c>
      <c r="D230" s="36" t="str">
        <f t="shared" si="7"/>
        <v>22102</v>
      </c>
      <c r="E230" s="36">
        <f>IF(ISNA(VLOOKUP(F230,'2020功能科目'!A:B,2,FALSE)),"",VLOOKUP(F230,'2020功能科目'!A:B,2,FALSE))</f>
        <v>2210203</v>
      </c>
      <c r="F230" s="23" t="s">
        <v>350</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337</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338</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339</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340</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341</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342</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343</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344</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346</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347</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348</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349</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350</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351</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338</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339</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340</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341</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342</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343</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344</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346</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347</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348</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349</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350</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351</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338</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339</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340</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341</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342</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343</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344</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346</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347</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348</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349</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350</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351</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337</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338</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339</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341</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342</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343</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344</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346</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347</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348</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349</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350</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351</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338</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339</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340</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341</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342</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343</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344</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346</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347</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348</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349</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350</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352</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353</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339</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354</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342</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343</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344</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345</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346</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347</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348</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349</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350</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338</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352</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339</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341</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354</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342</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343</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344</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346</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347</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348</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349</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350</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336</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337</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338</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339</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341</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342</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343</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344</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345</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346</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347</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348</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349</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350</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336</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338</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339</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341</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342</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343</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344</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346</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347</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348</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349</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350</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336</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338</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339</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341</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342</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343</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344</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346</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348</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349</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350</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336</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338</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339</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341</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342</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343</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344</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346</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348</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349</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350</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336</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338</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339</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341</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342</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343</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344</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346</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348</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349</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350</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336</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338</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339</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340</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341</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342</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343</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344</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346</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348</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349</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350</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336</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338</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339</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340</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341</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342</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343</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344</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346</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348</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349</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350</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336</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338</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339</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341</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342</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343</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344</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346</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348</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349</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350</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336</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338</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339</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340</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341</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342</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343</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344</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346</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348</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349</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350</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336</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338</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339</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340</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341</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342</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343</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344</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346</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347</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348</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349</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350</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336</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338</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339</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341</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342</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343</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344</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346</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348</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349</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350</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336</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338</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339</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340</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341</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342</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343</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344</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346</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347</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348</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349</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350</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336</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338</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339</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341</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342</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343</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344</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346</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348</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349</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350</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336</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338</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339</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340</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341</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342</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343</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344</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346</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347</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348</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349</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350</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336</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338</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339</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340</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341</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342</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343</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344</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346</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347</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348</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349</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350</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336</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338</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339</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340</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341</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342</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343</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344</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346</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348</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349</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350</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336</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338</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339</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340</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341</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342</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343</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344</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346</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347</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348</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349</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350</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336</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338</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339</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340</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341</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342</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343</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344</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346</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348</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349</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350</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336</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338</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339</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341</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342</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343</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344</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346</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348</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349</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350</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336</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338</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339</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340</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341</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342</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343</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344</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346</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348</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349</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350</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336</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338</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339</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340</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341</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342</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343</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344</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346</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347</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348</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349</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350</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336</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338</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339</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340</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341</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342</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343</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344</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346</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348</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349</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350</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336</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338</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339</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340</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341</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342</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343</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344</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346</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347</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348</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349</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350</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336</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338</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339</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340</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341</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342</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343</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344</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346</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348</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349</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350</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336</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338</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339</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340</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341</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355</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342</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343</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344</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345</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346</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348</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349</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350</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336</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338</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339</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341</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342</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343</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344</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346</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347</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348</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349</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350</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336</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338</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339</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340</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341</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342</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343</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344</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346</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347</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348</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349</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350</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336</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338</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339</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340</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341</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342</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343</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344</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346</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347</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348</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349</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350</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336</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338</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339</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341</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342</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343</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344</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346</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347</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348</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349</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350</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336</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338</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339</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340</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341</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342</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343</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344</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346</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347</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348</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349</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350</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336</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338</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339</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340</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341</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342</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343</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344</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346</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347</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348</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349</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350</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336</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338</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339</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341</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342</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343</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344</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346</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348</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349</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350</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336</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338</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339</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340</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341</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342</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343</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344</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346</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347</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348</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349</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350</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336</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338</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339</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340</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341</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342</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343</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344</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346</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347</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348</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349</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350</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335</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339</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355</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342</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343</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344</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346</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347</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348</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349</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350</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335</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339</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355</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342</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343</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344</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346</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347</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348</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349</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350</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335</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339</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355</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342</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343</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344</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346</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347</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348</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349</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350</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335</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339</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355</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342</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343</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344</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346</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348</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349</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350</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335</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339</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355</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342</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343</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344</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346</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348</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349</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350</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335</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339</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355</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342</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343</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344</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346</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347</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348</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349</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350</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335</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339</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355</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342</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343</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344</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346</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348</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349</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350</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335</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339</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355</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342</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343</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344</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346</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348</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349</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350</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342</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349</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335</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337</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338</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356</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339</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340</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341</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342</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343</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344</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346</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348</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349</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350</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335</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338</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356</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357</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339</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340</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341</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342</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343</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344</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346</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348</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349</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350</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338</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358</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339</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341</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342</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343</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344</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345</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346</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348</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349</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350</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338</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339</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355</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342</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343</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344</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346</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347</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348</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349</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350</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338</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339</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355</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359</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342</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343</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344</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346</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347</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348</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349</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350</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338</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339</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355</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342</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343</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344</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346</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348</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349</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350</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338</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339</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355</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342</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343</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344</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346</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348</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349</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350</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338</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339</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355</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342</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343</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344</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346</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348</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349</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350</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338</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339</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355</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342</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343</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344</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346</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348</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349</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350</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338</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339</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355</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342</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343</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344</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346</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348</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349</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350</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338</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360</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339</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355</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342</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343</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344</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346</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347</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348</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349</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350</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338</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339</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355</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342</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343</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344</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346</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348</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349</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350</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338</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339</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355</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342</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343</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344</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345</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346</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348</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349</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350</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338</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360</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339</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355</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342</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343</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344</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346</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348</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349</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350</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338</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339</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355</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342</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343</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344</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346</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348</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349</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350</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338</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339</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342</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343</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344</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346</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348</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349</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350</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338</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339</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343</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344</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346</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348</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349</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350</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338</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339</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355</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342</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343</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344</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346</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348</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349</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350</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338</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355</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342</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343</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344</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346</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348</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349</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350</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335</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339</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355</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342</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343</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344</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346</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348</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349</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350</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336</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338</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339</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340</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341</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342</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343</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344</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346</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348</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349</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350</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338</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339</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342</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343</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344</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346</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348</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349</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350</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337</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338</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339</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340</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341</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342</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343</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344</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346</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347</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348</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349</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350</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337</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338</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339</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340</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341</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342</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343</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344</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346</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347</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348</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349</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350</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337</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338</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339</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341</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342</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343</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344</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346</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347</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348</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349</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350</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337</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339</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340</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341</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342</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343</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344</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346</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347</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348</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349</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350</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337</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338</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339</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340</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341</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342</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343</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344</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346</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347</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348</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349</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350</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338</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352</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353</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339</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354</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342</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343</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344</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346</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347</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361</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348</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349</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350</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337</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339</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342</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343</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344</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346</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347</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348</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349</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350</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337</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338</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339</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340</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341</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342</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343</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344</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346</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347</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348</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349</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350</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337</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338</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339</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341</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342</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343</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344</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346</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347</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348</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349</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350</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337</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338</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339</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340</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341</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342</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343</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344</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346</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347</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348</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349</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350</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336</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338</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339</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340</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341</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342</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343</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344</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346</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347</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348</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349</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350</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336</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338</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339</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340</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341</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342</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343</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344</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346</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347</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348</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349</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350</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336</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338</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339</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340</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341</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342</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343</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344</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346</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348</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349</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350</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336</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338</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339</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340</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341</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342</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343</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344</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346</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347</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348</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349</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350</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336</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338</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339</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340</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341</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342</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343</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344</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345</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346</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347</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348</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349</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350</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336</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338</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339</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340</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341</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342</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343</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344</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346</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348</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349</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350</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336</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338</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339</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341</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342</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343</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344</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346</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348</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349</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350</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336</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338</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339</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340</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341</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342</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343</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344</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346</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348</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349</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350</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336</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338</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339</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341</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342</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343</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344</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346</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347</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348</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349</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350</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336</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338</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339</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340</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341</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342</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343</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344</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346</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347</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348</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349</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350</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336</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339</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341</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342</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343</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344</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346</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347</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348</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349</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350</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336</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338</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339</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340</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341</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342</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343</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344</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345</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346</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348</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349</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350</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336</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338</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339</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340</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341</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342</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343</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344</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346</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347</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348</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349</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350</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336</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338</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339</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340</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341</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342</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343</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344</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346</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348</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349</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350</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336</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338</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339</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340</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341</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342</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343</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344</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346</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347</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348</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349</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350</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336</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338</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339</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340</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341</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342</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343</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344</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346</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348</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349</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350</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336</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339</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340</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341</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342</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343</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344</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346</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347</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348</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349</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350</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336</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338</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339</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340</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341</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342</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343</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344</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346</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348</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349</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350</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336</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339</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340</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341</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342</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343</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344</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346</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348</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349</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350</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336</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338</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339</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341</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342</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343</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344</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346</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348</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349</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350</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336</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338</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339</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340</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341</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342</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343</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344</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346</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348</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349</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350</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336</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338</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339</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340</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341</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342</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343</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344</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346</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348</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349</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350</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335</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339</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355</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342</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343</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344</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346</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348</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349</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350</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335</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339</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355</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342</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343</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344</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346</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347</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348</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349</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350</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335</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339</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355</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342</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343</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344</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346</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347</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348</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349</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350</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335</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339</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342</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343</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344</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346</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348</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349</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350</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335</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339</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355</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342</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343</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344</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346</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348</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349</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350</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335</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339</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355</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342</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343</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344</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346</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348</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349</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350</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335</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339</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355</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342</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343</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344</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346</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348</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349</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350</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335</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339</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342</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343</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344</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346</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348</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349</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350</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335</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339</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355</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342</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343</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344</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346</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348</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349</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350</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335</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339</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355</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342</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343</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344</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346</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347</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348</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349</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350</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335</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339</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355</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342</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343</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344</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346</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348</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349</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350</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335</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339</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355</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342</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343</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344</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346</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348</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349</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350</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335</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339</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355</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342</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343</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344</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346</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348</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349</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350</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362</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339</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355</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342</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343</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344</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346</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347</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348</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349</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350</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363</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339</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355</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342</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343</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344</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346</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348</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349</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350</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338</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360</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339</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355</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342</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343</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344</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346</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347</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348</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349</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350</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338</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339</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355</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342</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343</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344</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346</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347</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348</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349</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350</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338</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339</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355</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359</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342</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343</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344</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346</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348</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349</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350</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338</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339</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355</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342</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343</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344</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346</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348</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349</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350</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338</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339</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342</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343</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344</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345</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346</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348</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349</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350</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335</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336</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351</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337</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338</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339</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340</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355</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342</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343</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344</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345</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346</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347</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364</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348</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349</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350</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338</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352</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353</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339</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354</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342</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343</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344</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346</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347</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348</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349</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350</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337</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338</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339</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340</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341</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342</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343</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344</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346</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347</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348</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349</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350</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337</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338</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339</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340</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341</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342</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343</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344</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346</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348</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349</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350</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338</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339</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355</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342</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343</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344</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346</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348</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349</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350</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335</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339</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355</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343</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344</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346</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348</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349</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350</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335</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339</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355</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343</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344</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346</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348</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349</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350</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336</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338</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339</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340</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341</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343</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344</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346</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348</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349</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350</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335</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339</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355</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342</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343</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344</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346</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348</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349</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350</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335</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339</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355</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343</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344</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346</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348</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349</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350</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335</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339</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355</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343</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344</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346</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348</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349</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350</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335</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339</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355</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343</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344</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346</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348</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349</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350</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335</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339</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355</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343</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344</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346</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348</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349</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350</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338</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339</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343</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344</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346</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348</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349</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350</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338</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343</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344</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346</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348</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338</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339</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355</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343</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344</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346</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348</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349</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350</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336</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339</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341</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343</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344</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346</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348</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349</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350</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335</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336</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351</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337</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338</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352</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353</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362</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363</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356</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358</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357</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360</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339</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340</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341</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354</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355</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359</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342</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343</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344</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345</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346</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347</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364</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361</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348</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349</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350</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408</v>
      </c>
      <c r="B1" s="49" t="s">
        <v>409</v>
      </c>
    </row>
    <row r="2" spans="1:2">
      <c r="A2" s="51" t="s">
        <v>410</v>
      </c>
      <c r="B2" s="49">
        <v>2050101</v>
      </c>
    </row>
    <row r="3" spans="1:2">
      <c r="A3" s="51" t="s">
        <v>411</v>
      </c>
      <c r="B3" s="49">
        <v>2050102</v>
      </c>
    </row>
    <row r="4" spans="1:2">
      <c r="A4" s="51" t="s">
        <v>335</v>
      </c>
      <c r="B4" s="49">
        <v>2050201</v>
      </c>
    </row>
    <row r="5" spans="1:2">
      <c r="A5" s="51" t="s">
        <v>336</v>
      </c>
      <c r="B5" s="49">
        <v>2050202</v>
      </c>
    </row>
    <row r="6" spans="1:2">
      <c r="A6" s="51" t="s">
        <v>351</v>
      </c>
      <c r="B6" s="49">
        <v>2050203</v>
      </c>
    </row>
    <row r="7" spans="1:2">
      <c r="A7" s="51" t="s">
        <v>337</v>
      </c>
      <c r="B7" s="49">
        <v>2050204</v>
      </c>
    </row>
    <row r="8" spans="1:2">
      <c r="A8" s="51" t="s">
        <v>338</v>
      </c>
      <c r="B8" s="49">
        <v>2050299</v>
      </c>
    </row>
    <row r="9" spans="1:2">
      <c r="A9" s="51" t="s">
        <v>352</v>
      </c>
      <c r="B9" s="49">
        <v>2050302</v>
      </c>
    </row>
    <row r="10" spans="1:2">
      <c r="A10" s="51" t="s">
        <v>412</v>
      </c>
      <c r="B10" s="49">
        <v>2050304</v>
      </c>
    </row>
    <row r="11" spans="1:2">
      <c r="A11" s="51" t="s">
        <v>353</v>
      </c>
      <c r="B11" s="49">
        <v>2050399</v>
      </c>
    </row>
    <row r="12" spans="1:2">
      <c r="A12" s="51" t="s">
        <v>362</v>
      </c>
      <c r="B12" s="49">
        <v>2050403</v>
      </c>
    </row>
    <row r="13" spans="1:2">
      <c r="A13" s="51" t="s">
        <v>363</v>
      </c>
      <c r="B13" s="49">
        <v>2050404</v>
      </c>
    </row>
    <row r="14" spans="1:2">
      <c r="A14" s="51" t="s">
        <v>356</v>
      </c>
      <c r="B14" s="49">
        <v>2050701</v>
      </c>
    </row>
    <row r="15" spans="1:2">
      <c r="A15" s="51" t="s">
        <v>358</v>
      </c>
      <c r="B15" s="49">
        <v>2050702</v>
      </c>
    </row>
    <row r="16" spans="1:2">
      <c r="A16" s="51" t="s">
        <v>357</v>
      </c>
      <c r="B16" s="49">
        <v>2050799</v>
      </c>
    </row>
    <row r="17" spans="1:2">
      <c r="A17" s="51" t="s">
        <v>360</v>
      </c>
      <c r="B17" s="49">
        <v>2050801</v>
      </c>
    </row>
    <row r="18" spans="1:2">
      <c r="A18" s="51" t="s">
        <v>339</v>
      </c>
      <c r="B18" s="49">
        <v>2050803</v>
      </c>
    </row>
    <row r="19" spans="1:2">
      <c r="A19" s="51" t="s">
        <v>340</v>
      </c>
      <c r="B19" s="49">
        <v>2050903</v>
      </c>
    </row>
    <row r="20" spans="1:2">
      <c r="A20" s="51" t="s">
        <v>341</v>
      </c>
      <c r="B20" s="49">
        <v>2050904</v>
      </c>
    </row>
    <row r="21" spans="1:2">
      <c r="A21" s="51" t="s">
        <v>354</v>
      </c>
      <c r="B21" s="49">
        <v>2050905</v>
      </c>
    </row>
    <row r="22" spans="1:2">
      <c r="A22" s="51" t="s">
        <v>355</v>
      </c>
      <c r="B22" s="49">
        <v>2050999</v>
      </c>
    </row>
    <row r="23" spans="1:2">
      <c r="A23" s="51" t="s">
        <v>359</v>
      </c>
      <c r="B23" s="49">
        <v>2060702</v>
      </c>
    </row>
    <row r="24" spans="1:2">
      <c r="A24" s="51" t="s">
        <v>413</v>
      </c>
      <c r="B24" s="49">
        <v>2080501</v>
      </c>
    </row>
    <row r="25" spans="1:2">
      <c r="A25" s="51" t="s">
        <v>342</v>
      </c>
      <c r="B25" s="49">
        <v>2080502</v>
      </c>
    </row>
    <row r="26" spans="1:2">
      <c r="A26" s="51" t="s">
        <v>343</v>
      </c>
      <c r="B26" s="49">
        <v>2080505</v>
      </c>
    </row>
    <row r="27" spans="1:2">
      <c r="A27" s="51" t="s">
        <v>344</v>
      </c>
      <c r="B27" s="49">
        <v>2080506</v>
      </c>
    </row>
    <row r="28" spans="1:2">
      <c r="A28" s="51" t="s">
        <v>345</v>
      </c>
      <c r="B28" s="49">
        <v>2080801</v>
      </c>
    </row>
    <row r="29" spans="1:2">
      <c r="A29" s="51" t="s">
        <v>414</v>
      </c>
      <c r="B29" s="49">
        <v>2101101</v>
      </c>
    </row>
    <row r="30" spans="1:2">
      <c r="A30" s="51" t="s">
        <v>346</v>
      </c>
      <c r="B30" s="49">
        <v>2101102</v>
      </c>
    </row>
    <row r="31" spans="1:2">
      <c r="A31" s="51" t="s">
        <v>347</v>
      </c>
      <c r="B31" s="49">
        <v>2101199</v>
      </c>
    </row>
    <row r="32" spans="1:2">
      <c r="A32" s="51" t="s">
        <v>364</v>
      </c>
      <c r="B32" s="49">
        <v>2120399</v>
      </c>
    </row>
    <row r="33" spans="1:2">
      <c r="A33" s="51" t="s">
        <v>348</v>
      </c>
      <c r="B33" s="49">
        <v>2210201</v>
      </c>
    </row>
    <row r="34" spans="1:2">
      <c r="A34" s="51" t="s">
        <v>349</v>
      </c>
      <c r="B34" s="49">
        <v>2210202</v>
      </c>
    </row>
    <row r="35" spans="1:2">
      <c r="A35" s="51" t="s">
        <v>350</v>
      </c>
      <c r="B35" s="49">
        <v>2210203</v>
      </c>
    </row>
    <row r="36" spans="1:2">
      <c r="A36" s="51" t="s">
        <v>415</v>
      </c>
      <c r="B36" s="49">
        <v>2296003</v>
      </c>
    </row>
    <row r="37" spans="1:2">
      <c r="A37" s="51" t="s">
        <v>416</v>
      </c>
      <c r="B37" s="49">
        <v>2340201</v>
      </c>
    </row>
    <row r="38" spans="1:2">
      <c r="A38" s="51" t="s">
        <v>361</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419</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5"/>
  <sheetViews>
    <sheetView topLeftCell="A64" zoomScaleNormal="100" workbookViewId="0">
      <selection activeCell="B36" sqref="B36:L3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60.80000000000001" customHeight="1">
      <c r="A4" s="58" t="s">
        <v>434</v>
      </c>
      <c r="B4" s="58"/>
      <c r="C4" s="58"/>
      <c r="D4" s="58"/>
      <c r="E4" s="58"/>
      <c r="F4" s="58"/>
      <c r="G4" s="58"/>
      <c r="H4" s="58"/>
      <c r="I4" s="58"/>
      <c r="J4" s="58"/>
      <c r="K4" s="58"/>
      <c r="L4" s="58"/>
      <c r="M4" s="58"/>
      <c r="N4" s="17"/>
    </row>
    <row r="5" spans="1:14" ht="18" customHeight="1">
      <c r="A5" s="7" t="s">
        <v>183</v>
      </c>
    </row>
    <row r="6" spans="1:14" ht="18" customHeight="1">
      <c r="A6" s="62" t="s">
        <v>251</v>
      </c>
      <c r="B6" s="62"/>
      <c r="C6" s="10">
        <v>53</v>
      </c>
      <c r="D6" s="10" t="s">
        <v>253</v>
      </c>
      <c r="E6" s="8">
        <f>_xlfn.IFNA(VLOOKUP(封面!B1,'2020决算导出'!A:C,3,FALSE),"")</f>
        <v>50</v>
      </c>
      <c r="F6" s="10" t="s">
        <v>254</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21807721.140000001</v>
      </c>
      <c r="E8" s="7" t="s">
        <v>187</v>
      </c>
      <c r="F8" s="18" t="s">
        <v>255</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2030152.3100000024</v>
      </c>
      <c r="I8" s="15" t="s">
        <v>187</v>
      </c>
      <c r="J8" s="28" t="str">
        <f>IF(ISNA(VLOOKUP(封面!B1,'2019决算导出'!A:C,3,FALSE)),"",IF(D8-VLOOKUP(封面!B1,'2019决算导出'!A:C,3,FALSE)&gt;0,"增长","下降"))</f>
        <v>增长</v>
      </c>
      <c r="K8" s="29">
        <f>IF(ISNA(VLOOKUP(封面!B1,'2019决算导出'!A:C,3,FALSE)),"",H8/VLOOKUP(封面!B1,'2019决算导出'!A:C,3,FALSE))</f>
        <v>0.10264923497171834</v>
      </c>
      <c r="L8" s="7" t="s">
        <v>319</v>
      </c>
    </row>
    <row r="9" spans="1:14" ht="18" customHeight="1">
      <c r="A9" s="7" t="s">
        <v>188</v>
      </c>
      <c r="G9" s="30"/>
      <c r="H9" s="30"/>
      <c r="I9" s="30"/>
      <c r="J9" s="30"/>
      <c r="K9" s="30"/>
    </row>
    <row r="10" spans="1:14" ht="18" customHeight="1">
      <c r="A10" s="62" t="s">
        <v>189</v>
      </c>
      <c r="B10" s="62"/>
      <c r="C10" s="62"/>
      <c r="D10" s="13">
        <f>_xlfn.IFNA(VLOOKUP(封面!B1,'2020决算导出'!A:E,5,FALSE),"")</f>
        <v>21719357.690000001</v>
      </c>
      <c r="E10" s="7" t="s">
        <v>187</v>
      </c>
      <c r="F10" s="18" t="s">
        <v>255</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2574208.4600000009</v>
      </c>
      <c r="I10" s="15" t="s">
        <v>187</v>
      </c>
      <c r="J10" s="28" t="str">
        <f>IF(ISNA(VLOOKUP(封面!B1,'2019决算导出'!A:D,4,FALSE)),"",IF(D10-VLOOKUP(封面!B1,'2019决算导出'!A:D,4,FALSE)&gt;0,"增长","下降"))</f>
        <v>增长</v>
      </c>
      <c r="K10" s="29">
        <f>IF(ISNA(VLOOKUP(封面!B1,'2019决算导出'!A:D,4,FALSE)),"",H10/VLOOKUP(封面!B1,'2019决算导出'!A:D,4,FALSE))</f>
        <v>0.13445747688225257</v>
      </c>
      <c r="L10" s="7" t="s">
        <v>320</v>
      </c>
    </row>
    <row r="11" spans="1:14" ht="18" customHeight="1">
      <c r="A11" s="62" t="s">
        <v>190</v>
      </c>
      <c r="B11" s="62"/>
      <c r="C11" s="62"/>
      <c r="D11" s="13">
        <f>_xlfn.IFNA(VLOOKUP(封面!B1,'2020决算导出'!A:F,6,FALSE),"")</f>
        <v>21719357.690000001</v>
      </c>
      <c r="E11" s="7" t="s">
        <v>187</v>
      </c>
      <c r="F11" s="62" t="s">
        <v>191</v>
      </c>
      <c r="G11" s="62"/>
      <c r="H11" s="27">
        <f>D11/$D$10</f>
        <v>1</v>
      </c>
      <c r="I11" s="7" t="s">
        <v>321</v>
      </c>
    </row>
    <row r="12" spans="1:14" ht="18" customHeight="1">
      <c r="A12" s="62" t="s">
        <v>193</v>
      </c>
      <c r="B12" s="62"/>
      <c r="C12" s="62"/>
      <c r="D12" s="13">
        <f>_xlfn.IFNA(VLOOKUP(封面!B1,'2020决算导出'!A:G,7,FALSE),"")</f>
        <v>0</v>
      </c>
      <c r="E12" s="7" t="s">
        <v>187</v>
      </c>
      <c r="F12" s="62" t="s">
        <v>191</v>
      </c>
      <c r="G12" s="62"/>
      <c r="H12" s="27">
        <f t="shared" ref="H12:H15" si="0">D12/$D$10</f>
        <v>0</v>
      </c>
      <c r="I12" s="7" t="s">
        <v>321</v>
      </c>
    </row>
    <row r="13" spans="1:14" ht="18" customHeight="1">
      <c r="A13" s="62" t="s">
        <v>194</v>
      </c>
      <c r="B13" s="62"/>
      <c r="C13" s="62"/>
      <c r="D13" s="13">
        <f>_xlfn.IFNA(VLOOKUP(封面!B1,'2020决算导出'!A:H,8,FALSE),"")</f>
        <v>0</v>
      </c>
      <c r="E13" s="7" t="s">
        <v>187</v>
      </c>
      <c r="F13" s="62" t="s">
        <v>191</v>
      </c>
      <c r="G13" s="62"/>
      <c r="H13" s="27">
        <f t="shared" si="0"/>
        <v>0</v>
      </c>
      <c r="I13" s="7" t="s">
        <v>321</v>
      </c>
    </row>
    <row r="14" spans="1:14" ht="18" customHeight="1">
      <c r="A14" s="62" t="s">
        <v>195</v>
      </c>
      <c r="B14" s="62"/>
      <c r="C14" s="62"/>
      <c r="D14" s="13">
        <f>_xlfn.IFNA(VLOOKUP(封面!B1,'2020决算导出'!A:I,9,FALSE),"")</f>
        <v>0</v>
      </c>
      <c r="E14" s="7" t="s">
        <v>187</v>
      </c>
      <c r="F14" s="62" t="s">
        <v>191</v>
      </c>
      <c r="G14" s="62"/>
      <c r="H14" s="27">
        <f t="shared" si="0"/>
        <v>0</v>
      </c>
      <c r="I14" s="7" t="s">
        <v>321</v>
      </c>
    </row>
    <row r="15" spans="1:14" ht="18" customHeight="1">
      <c r="A15" s="62" t="s">
        <v>196</v>
      </c>
      <c r="B15" s="62"/>
      <c r="C15" s="62"/>
      <c r="D15" s="13">
        <f>_xlfn.IFNA(VLOOKUP(封面!B1,'2020决算导出'!A:J,10,FALSE),"")</f>
        <v>0</v>
      </c>
      <c r="E15" s="7" t="s">
        <v>187</v>
      </c>
      <c r="F15" s="62" t="s">
        <v>191</v>
      </c>
      <c r="G15" s="62"/>
      <c r="H15" s="27">
        <f t="shared" si="0"/>
        <v>0</v>
      </c>
      <c r="I15" s="7" t="s">
        <v>322</v>
      </c>
    </row>
    <row r="16" spans="1:14" ht="18" customHeight="1">
      <c r="A16" s="7" t="s">
        <v>197</v>
      </c>
    </row>
    <row r="17" spans="1:13" ht="18" customHeight="1">
      <c r="A17" s="62" t="s">
        <v>198</v>
      </c>
      <c r="B17" s="62"/>
      <c r="C17" s="62"/>
      <c r="D17" s="13">
        <f>_xlfn.IFNA(VLOOKUP(封面!B1,'2020决算导出'!A:K,11,FALSE),"")</f>
        <v>21755307.859999999</v>
      </c>
      <c r="E17" s="7" t="s">
        <v>187</v>
      </c>
      <c r="F17" s="18" t="s">
        <v>255</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2411755.1099999994</v>
      </c>
      <c r="I17" s="7" t="s">
        <v>187</v>
      </c>
      <c r="J17" s="28" t="str">
        <f>IF(ISNA(VLOOKUP(封面!B1,'2019决算导出'!A:E,5,FALSE)),"",IF(D17-VLOOKUP(封面!B1,'2019决算导出'!A:E,5,FALSE)&gt;0,"增长","下降"))</f>
        <v>增长</v>
      </c>
      <c r="K17" s="29">
        <f>IF(ISNA(VLOOKUP(封面!B1,'2019决算导出'!A:E,5,FALSE)),"",H17/VLOOKUP(封面!B1,'2019决算导出'!A:E,5,FALSE))</f>
        <v>0.1246800492737819</v>
      </c>
      <c r="L17" s="7" t="s">
        <v>323</v>
      </c>
    </row>
    <row r="18" spans="1:13" ht="18" customHeight="1">
      <c r="A18" s="62" t="s">
        <v>199</v>
      </c>
      <c r="B18" s="62"/>
      <c r="C18" s="62"/>
      <c r="D18" s="13">
        <f>_xlfn.IFNA(VLOOKUP(封面!B1,'2020决算导出'!A:L,12,FALSE),"")</f>
        <v>20028247.199999999</v>
      </c>
      <c r="E18" s="7" t="s">
        <v>187</v>
      </c>
      <c r="F18" s="62" t="s">
        <v>200</v>
      </c>
      <c r="G18" s="62"/>
      <c r="H18" s="27">
        <f>D18/$D$17</f>
        <v>0.92061428543719082</v>
      </c>
      <c r="I18" s="7" t="s">
        <v>321</v>
      </c>
    </row>
    <row r="19" spans="1:13" ht="18" customHeight="1">
      <c r="A19" s="62" t="s">
        <v>201</v>
      </c>
      <c r="B19" s="62"/>
      <c r="C19" s="62"/>
      <c r="D19" s="13">
        <f>_xlfn.IFNA(VLOOKUP(封面!B1,'2020决算导出'!A:M,13,FALSE),"")</f>
        <v>1727060.66</v>
      </c>
      <c r="E19" s="7" t="s">
        <v>187</v>
      </c>
      <c r="F19" s="62" t="s">
        <v>200</v>
      </c>
      <c r="G19" s="62"/>
      <c r="H19" s="27">
        <f t="shared" ref="H19:H20" si="1">D19/$D$17</f>
        <v>7.9385714562809226E-2</v>
      </c>
      <c r="I19" s="7" t="s">
        <v>321</v>
      </c>
    </row>
    <row r="20" spans="1:13" ht="18" customHeight="1">
      <c r="A20" s="62" t="s">
        <v>202</v>
      </c>
      <c r="B20" s="62"/>
      <c r="C20" s="62"/>
      <c r="D20" s="13">
        <f>_xlfn.IFNA(VLOOKUP(封面!B1,'2020决算导出'!A:N,14,FALSE),"")</f>
        <v>0</v>
      </c>
      <c r="E20" s="7" t="s">
        <v>187</v>
      </c>
      <c r="F20" s="62" t="s">
        <v>200</v>
      </c>
      <c r="G20" s="62"/>
      <c r="H20" s="27">
        <f t="shared" si="1"/>
        <v>0</v>
      </c>
      <c r="I20" s="7" t="s">
        <v>322</v>
      </c>
    </row>
    <row r="21" spans="1:13" ht="18" customHeight="1">
      <c r="A21" s="6" t="s">
        <v>203</v>
      </c>
    </row>
    <row r="22" spans="1:13" ht="18" customHeight="1">
      <c r="A22" s="62" t="s">
        <v>204</v>
      </c>
      <c r="B22" s="62"/>
      <c r="C22" s="62"/>
      <c r="D22" s="62"/>
      <c r="E22" s="57">
        <f>_xlfn.IFNA(VLOOKUP(封面!B1,'2020决算导出'!A:O,15,FALSE),"")</f>
        <v>21807336.140000001</v>
      </c>
      <c r="F22" s="57"/>
      <c r="G22" s="14" t="s">
        <v>255</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2523167.1500000022</v>
      </c>
      <c r="J22" s="7" t="s">
        <v>187</v>
      </c>
      <c r="K22" s="28" t="str">
        <f>IF(ISNA(VLOOKUP(封面!B1,'2019决算导出'!A:F,6,FALSE)),"",IF(E22-VLOOKUP(封面!B1,'2019决算导出'!A:F,6,FALSE)&gt;0,"增长","下降"))</f>
        <v>增长</v>
      </c>
      <c r="L22" s="29">
        <f>IF(ISNA(VLOOKUP(封面!B1,'2019决算导出'!A:F,6,FALSE)),"",I22/VLOOKUP(封面!B1,'2019决算导出'!A:F,6,FALSE))</f>
        <v>0.13084137311327318</v>
      </c>
      <c r="M22" s="7" t="s">
        <v>319</v>
      </c>
    </row>
    <row r="23" spans="1:13" ht="36.75" customHeight="1">
      <c r="B23" s="64" t="s">
        <v>423</v>
      </c>
      <c r="C23" s="64"/>
      <c r="D23" s="64"/>
      <c r="E23" s="64"/>
      <c r="F23" s="64"/>
      <c r="G23" s="64"/>
      <c r="H23" s="64"/>
      <c r="I23" s="64"/>
      <c r="J23" s="64"/>
      <c r="K23" s="64"/>
      <c r="L23" s="64"/>
      <c r="M23" s="64"/>
    </row>
    <row r="24" spans="1:13" ht="18" customHeight="1">
      <c r="A24" s="6" t="s">
        <v>205</v>
      </c>
    </row>
    <row r="25" spans="1:13" ht="18" customHeight="1">
      <c r="A25" s="7" t="s">
        <v>206</v>
      </c>
    </row>
    <row r="26" spans="1:13" ht="18" customHeight="1">
      <c r="A26" s="62" t="s">
        <v>207</v>
      </c>
      <c r="B26" s="62"/>
      <c r="C26" s="62"/>
      <c r="D26" s="62"/>
      <c r="E26" s="62"/>
      <c r="F26" s="57">
        <f>_xlfn.IFNA(VLOOKUP(封面!B1,'2020决算导出'!A:P,16,FALSE),"")</f>
        <v>21726249.460000001</v>
      </c>
      <c r="G26" s="57"/>
      <c r="H26" s="7" t="s">
        <v>187</v>
      </c>
      <c r="I26" s="10" t="s">
        <v>208</v>
      </c>
      <c r="J26" s="10"/>
      <c r="K26" s="10"/>
      <c r="L26" s="10"/>
      <c r="M26" s="10"/>
    </row>
    <row r="27" spans="1:13" ht="18" customHeight="1">
      <c r="A27" s="62" t="s">
        <v>211</v>
      </c>
      <c r="B27" s="62"/>
      <c r="C27" s="62"/>
      <c r="D27" s="57">
        <f>_xlfn.IFNA(VLOOKUP(封面!B1,'2020决算导出'!A:Q,17,FALSE),"")</f>
        <v>16027199.869999999</v>
      </c>
      <c r="E27" s="57"/>
      <c r="F27" s="7" t="s">
        <v>187</v>
      </c>
      <c r="G27" s="60" t="s">
        <v>210</v>
      </c>
      <c r="H27" s="60"/>
      <c r="I27" s="27">
        <f>D27/$F$26</f>
        <v>0.73768829265757674</v>
      </c>
      <c r="J27" s="7" t="s">
        <v>321</v>
      </c>
      <c r="K27" s="9"/>
      <c r="L27" s="9"/>
      <c r="M27" s="9"/>
    </row>
    <row r="28" spans="1:13" ht="18" customHeight="1">
      <c r="A28" s="62" t="s">
        <v>209</v>
      </c>
      <c r="B28" s="62"/>
      <c r="C28" s="62"/>
      <c r="D28" s="57">
        <f>_xlfn.IFNA(VLOOKUP(封面!B1,'2020决算导出'!A:S,19,FALSE),"")</f>
        <v>2314664.6800000002</v>
      </c>
      <c r="E28" s="57"/>
      <c r="F28" s="7" t="s">
        <v>187</v>
      </c>
      <c r="G28" s="60" t="s">
        <v>210</v>
      </c>
      <c r="H28" s="60"/>
      <c r="I28" s="27">
        <f t="shared" ref="I28:I30" si="2">D28/$F$26</f>
        <v>0.10653770151454388</v>
      </c>
      <c r="J28" s="7" t="s">
        <v>321</v>
      </c>
    </row>
    <row r="29" spans="1:13" ht="18" customHeight="1">
      <c r="A29" s="62" t="s">
        <v>212</v>
      </c>
      <c r="B29" s="62"/>
      <c r="C29" s="62"/>
      <c r="D29" s="57">
        <f>_xlfn.IFNA(VLOOKUP(封面!B1,'2020决算导出'!A:T,20,FALSE),"")</f>
        <v>876248.91</v>
      </c>
      <c r="E29" s="57"/>
      <c r="F29" s="7" t="s">
        <v>187</v>
      </c>
      <c r="G29" s="60" t="s">
        <v>210</v>
      </c>
      <c r="H29" s="60"/>
      <c r="I29" s="27">
        <f t="shared" si="2"/>
        <v>4.0331347185037801E-2</v>
      </c>
      <c r="J29" s="7" t="s">
        <v>321</v>
      </c>
    </row>
    <row r="30" spans="1:13" ht="18" customHeight="1">
      <c r="A30" s="62" t="s">
        <v>213</v>
      </c>
      <c r="B30" s="62"/>
      <c r="C30" s="62"/>
      <c r="D30" s="57">
        <f>_xlfn.IFNA(VLOOKUP(封面!B1,'2020决算导出'!A:W,23,FALSE),"")</f>
        <v>2508136</v>
      </c>
      <c r="E30" s="57"/>
      <c r="F30" s="7" t="s">
        <v>187</v>
      </c>
      <c r="G30" s="60" t="s">
        <v>210</v>
      </c>
      <c r="H30" s="60"/>
      <c r="I30" s="27">
        <f t="shared" si="2"/>
        <v>0.11544265864284152</v>
      </c>
      <c r="J30" s="7" t="s">
        <v>322</v>
      </c>
    </row>
    <row r="31" spans="1:13" ht="18" customHeight="1">
      <c r="A31" s="7" t="s">
        <v>214</v>
      </c>
    </row>
    <row r="32" spans="1:13" ht="18" customHeight="1">
      <c r="A32" s="59" t="s">
        <v>420</v>
      </c>
      <c r="B32" s="59"/>
      <c r="C32" s="59"/>
      <c r="D32" s="59"/>
      <c r="E32" s="57">
        <f>_xlfn.IFNA(VLOOKUP(封面!B1,一般公共预算财政拨款支出决算具体情况!A:C,3,FALSE),"")</f>
        <v>16027199.869999999</v>
      </c>
      <c r="F32" s="57"/>
      <c r="G32" s="7" t="s">
        <v>187</v>
      </c>
      <c r="H32" s="60" t="s">
        <v>215</v>
      </c>
      <c r="I32" s="60"/>
      <c r="J32" s="57">
        <f>_xlfn.IFNA(VLOOKUP(封面!B1,一般公共预算财政拨款支出决算具体情况!A:D,4,FALSE),"")</f>
        <v>12493060.09</v>
      </c>
      <c r="K32" s="57"/>
      <c r="L32" s="11" t="s">
        <v>186</v>
      </c>
    </row>
    <row r="33" spans="1:12" ht="18" customHeight="1">
      <c r="B33" s="14" t="str">
        <f>IF(E32&gt;J32,"增加","减少")</f>
        <v>增加</v>
      </c>
      <c r="C33" s="57">
        <f>ABS(E32-J32)</f>
        <v>3534139.7799999993</v>
      </c>
      <c r="D33" s="57"/>
      <c r="E33" s="7" t="s">
        <v>187</v>
      </c>
      <c r="F33" s="14" t="str">
        <f>IF(E32&gt;J32,"增长","下降")</f>
        <v>增长</v>
      </c>
      <c r="G33" s="32">
        <f>C33/J32</f>
        <v>0.28288823991400486</v>
      </c>
      <c r="H33" s="7" t="s">
        <v>322</v>
      </c>
      <c r="I33" s="11" t="s">
        <v>216</v>
      </c>
    </row>
    <row r="34" spans="1:12" ht="18" customHeight="1">
      <c r="A34" s="62" t="s">
        <v>217</v>
      </c>
      <c r="B34" s="62"/>
      <c r="C34" s="62"/>
      <c r="D34" s="62"/>
      <c r="E34" s="57">
        <f>_xlfn.IFNA(VLOOKUP(封面!B1,一般公共预算财政拨款支出决算具体情况!A:E,5,FALSE),"")</f>
        <v>15354885.379999999</v>
      </c>
      <c r="F34" s="57"/>
      <c r="G34" s="7" t="s">
        <v>187</v>
      </c>
      <c r="H34" s="60" t="s">
        <v>215</v>
      </c>
      <c r="I34" s="60"/>
      <c r="J34" s="57">
        <f>_xlfn.IFNA(VLOOKUP(封面!B1,一般公共预算财政拨款支出决算具体情况!A:F,6,FALSE),"")</f>
        <v>11785060.09</v>
      </c>
      <c r="K34" s="57"/>
      <c r="L34" s="11" t="s">
        <v>186</v>
      </c>
    </row>
    <row r="35" spans="1:12" ht="18" customHeight="1">
      <c r="A35" s="14"/>
      <c r="B35" s="14" t="str">
        <f>IF(E34&gt;J34,"增加","减少")</f>
        <v>增加</v>
      </c>
      <c r="C35" s="57">
        <f>ABS(E34-J34)</f>
        <v>3569825.2899999991</v>
      </c>
      <c r="D35" s="57"/>
      <c r="E35" s="7" t="s">
        <v>187</v>
      </c>
      <c r="F35" s="14" t="str">
        <f>IF(E34&gt;J34,"增长","下降")</f>
        <v>增长</v>
      </c>
      <c r="G35" s="32">
        <f>C35/J34</f>
        <v>0.30291108087171403</v>
      </c>
      <c r="H35" s="7" t="s">
        <v>322</v>
      </c>
    </row>
    <row r="36" spans="1:12" ht="36" customHeight="1">
      <c r="B36" s="58" t="s">
        <v>424</v>
      </c>
      <c r="C36" s="58"/>
      <c r="D36" s="58"/>
      <c r="E36" s="58"/>
      <c r="F36" s="58"/>
      <c r="G36" s="58"/>
      <c r="H36" s="58"/>
      <c r="I36" s="58"/>
      <c r="J36" s="58"/>
      <c r="K36" s="58"/>
      <c r="L36" s="58"/>
    </row>
    <row r="37" spans="1:12" ht="18" customHeight="1">
      <c r="A37" s="62" t="s">
        <v>218</v>
      </c>
      <c r="B37" s="62"/>
      <c r="C37" s="62"/>
      <c r="D37" s="62"/>
      <c r="E37" s="57">
        <f>_xlfn.IFNA(VLOOKUP(封面!B1,一般公共预算财政拨款支出决算具体情况!A:M,13,FALSE),"")</f>
        <v>10559</v>
      </c>
      <c r="F37" s="57"/>
      <c r="G37" s="7" t="s">
        <v>187</v>
      </c>
      <c r="H37" s="60" t="s">
        <v>215</v>
      </c>
      <c r="I37" s="60"/>
      <c r="J37" s="57">
        <f>_xlfn.IFNA(VLOOKUP(封面!B1,一般公共预算财政拨款支出决算具体情况!A:N,14,FALSE),"")</f>
        <v>36800</v>
      </c>
      <c r="K37" s="57"/>
      <c r="L37" s="11" t="s">
        <v>186</v>
      </c>
    </row>
    <row r="38" spans="1:12" ht="18" customHeight="1">
      <c r="A38" s="14"/>
      <c r="B38" s="14" t="str">
        <f>IF(E37&gt;J37,"增加","减少")</f>
        <v>减少</v>
      </c>
      <c r="C38" s="57">
        <f>ABS(E37-J37)</f>
        <v>26241</v>
      </c>
      <c r="D38" s="57"/>
      <c r="E38" s="7" t="s">
        <v>187</v>
      </c>
      <c r="F38" s="14" t="str">
        <f>IF(E37&gt;J37,"增长","下降")</f>
        <v>下降</v>
      </c>
      <c r="G38" s="32">
        <f>C38/J37</f>
        <v>0.71307065217391308</v>
      </c>
      <c r="H38" s="7" t="s">
        <v>322</v>
      </c>
    </row>
    <row r="39" spans="1:12" ht="36" customHeight="1">
      <c r="B39" s="58" t="s">
        <v>425</v>
      </c>
      <c r="C39" s="58"/>
      <c r="D39" s="58"/>
      <c r="E39" s="58"/>
      <c r="F39" s="58"/>
      <c r="G39" s="58"/>
      <c r="H39" s="58"/>
      <c r="I39" s="58"/>
      <c r="J39" s="58"/>
      <c r="K39" s="58"/>
      <c r="L39" s="58"/>
    </row>
    <row r="40" spans="1:12" ht="18" customHeight="1">
      <c r="A40" s="61" t="s">
        <v>219</v>
      </c>
      <c r="B40" s="61"/>
      <c r="C40" s="61"/>
      <c r="D40" s="61"/>
      <c r="E40" s="57">
        <f>_xlfn.IFNA(VLOOKUP(封面!B1,一般公共预算财政拨款支出决算具体情况!A:O,15,FALSE),"")</f>
        <v>661755.49</v>
      </c>
      <c r="F40" s="57"/>
      <c r="G40" s="7" t="s">
        <v>187</v>
      </c>
      <c r="H40" s="60" t="s">
        <v>215</v>
      </c>
      <c r="I40" s="60"/>
      <c r="J40" s="57">
        <f>_xlfn.IFNA(VLOOKUP(封面!B1,一般公共预算财政拨款支出决算具体情况!A:P,16,FALSE),"")</f>
        <v>671200</v>
      </c>
      <c r="K40" s="57"/>
      <c r="L40" s="11" t="s">
        <v>186</v>
      </c>
    </row>
    <row r="41" spans="1:12" ht="18" customHeight="1">
      <c r="A41" s="14"/>
      <c r="B41" s="14" t="str">
        <f>IF(E40&gt;J40,"增加","减少")</f>
        <v>减少</v>
      </c>
      <c r="C41" s="57">
        <f>ABS(E40-J40)</f>
        <v>9444.5100000000093</v>
      </c>
      <c r="D41" s="57"/>
      <c r="E41" s="7" t="s">
        <v>187</v>
      </c>
      <c r="F41" s="14" t="str">
        <f>IF(E40&gt;J40,"增长","下降")</f>
        <v>下降</v>
      </c>
      <c r="G41" s="32">
        <f>C41/J40</f>
        <v>1.407108164481527E-2</v>
      </c>
      <c r="H41" s="7" t="s">
        <v>322</v>
      </c>
    </row>
    <row r="42" spans="1:12" ht="36" customHeight="1">
      <c r="B42" s="58" t="s">
        <v>433</v>
      </c>
      <c r="C42" s="58"/>
      <c r="D42" s="58"/>
      <c r="E42" s="58"/>
      <c r="F42" s="58"/>
      <c r="G42" s="58"/>
      <c r="H42" s="58"/>
      <c r="I42" s="58"/>
      <c r="J42" s="58"/>
      <c r="K42" s="58"/>
      <c r="L42" s="58"/>
    </row>
    <row r="43" spans="1:12" ht="18" customHeight="1">
      <c r="A43" s="63" t="s">
        <v>430</v>
      </c>
      <c r="B43" s="63"/>
      <c r="C43" s="63"/>
      <c r="D43" s="63"/>
      <c r="E43" s="57">
        <f>_xlfn.IFNA(VLOOKUP(封面!B1,一般公共预算财政拨款支出决算具体情况!A:U,21,FALSE),"")</f>
        <v>2314664.6799999997</v>
      </c>
      <c r="F43" s="57"/>
      <c r="G43" s="7" t="s">
        <v>187</v>
      </c>
      <c r="H43" s="60" t="s">
        <v>215</v>
      </c>
      <c r="I43" s="60"/>
      <c r="J43" s="57">
        <f>_xlfn.IFNA(VLOOKUP(封面!B1,一般公共预算财政拨款支出决算具体情况!A:V,22,FALSE),"")</f>
        <v>1938565.3599999999</v>
      </c>
      <c r="K43" s="57"/>
      <c r="L43" s="11" t="s">
        <v>186</v>
      </c>
    </row>
    <row r="44" spans="1:12" ht="18" customHeight="1">
      <c r="B44" s="14" t="str">
        <f>IF(E43&gt;J43,"增加","减少")</f>
        <v>增加</v>
      </c>
      <c r="C44" s="57">
        <f>ABS(E43-J43)</f>
        <v>376099.31999999983</v>
      </c>
      <c r="D44" s="57"/>
      <c r="E44" s="7" t="s">
        <v>187</v>
      </c>
      <c r="F44" s="14" t="str">
        <f>IF(E43&gt;J43,"增长","下降")</f>
        <v>增长</v>
      </c>
      <c r="G44" s="32">
        <f>C44/J43</f>
        <v>0.19400909959517684</v>
      </c>
      <c r="H44" s="7" t="s">
        <v>322</v>
      </c>
      <c r="I44" s="11" t="s">
        <v>216</v>
      </c>
    </row>
    <row r="45" spans="1:12" ht="18" customHeight="1">
      <c r="A45" s="61" t="s">
        <v>220</v>
      </c>
      <c r="B45" s="61"/>
      <c r="C45" s="61"/>
      <c r="D45" s="61"/>
      <c r="E45" s="57">
        <f>_xlfn.IFNA(VLOOKUP(封面!B1,一般公共预算财政拨款支出决算具体情况!A:W,23,FALSE),"")</f>
        <v>2314664.6799999997</v>
      </c>
      <c r="F45" s="57"/>
      <c r="G45" s="7" t="s">
        <v>187</v>
      </c>
      <c r="H45" s="60" t="s">
        <v>215</v>
      </c>
      <c r="I45" s="60"/>
      <c r="J45" s="57">
        <f>_xlfn.IFNA(VLOOKUP(封面!B1,一般公共预算财政拨款支出决算具体情况!A:X,24,FALSE),"")</f>
        <v>1938565.3599999999</v>
      </c>
      <c r="K45" s="57"/>
      <c r="L45" s="11" t="s">
        <v>186</v>
      </c>
    </row>
    <row r="46" spans="1:12" ht="18" customHeight="1">
      <c r="A46" s="14"/>
      <c r="B46" s="14" t="str">
        <f>IF(E45&gt;J45,"增加","减少")</f>
        <v>增加</v>
      </c>
      <c r="C46" s="57">
        <f>ABS(E45-J45)</f>
        <v>376099.31999999983</v>
      </c>
      <c r="D46" s="57"/>
      <c r="E46" s="7" t="s">
        <v>187</v>
      </c>
      <c r="F46" s="14" t="str">
        <f>IF(E45&gt;J45,"增长","下降")</f>
        <v>增长</v>
      </c>
      <c r="G46" s="32">
        <f>C46/J45</f>
        <v>0.19400909959517684</v>
      </c>
      <c r="H46" s="7" t="s">
        <v>322</v>
      </c>
    </row>
    <row r="47" spans="1:12" ht="36" customHeight="1">
      <c r="B47" s="58" t="s">
        <v>429</v>
      </c>
      <c r="C47" s="58"/>
      <c r="D47" s="58"/>
      <c r="E47" s="58"/>
      <c r="F47" s="58"/>
      <c r="G47" s="58"/>
      <c r="H47" s="58"/>
      <c r="I47" s="58"/>
      <c r="J47" s="58"/>
      <c r="K47" s="58"/>
      <c r="L47" s="58"/>
    </row>
    <row r="48" spans="1:12" ht="18" customHeight="1">
      <c r="A48" s="63" t="s">
        <v>431</v>
      </c>
      <c r="B48" s="63"/>
      <c r="C48" s="63"/>
      <c r="D48" s="63"/>
      <c r="E48" s="57">
        <f>_xlfn.IFNA(VLOOKUP(封面!B1,一般公共预算财政拨款支出决算具体情况!A:AA,27,FALSE),"")</f>
        <v>876248.91</v>
      </c>
      <c r="F48" s="57"/>
      <c r="G48" s="7" t="s">
        <v>187</v>
      </c>
      <c r="H48" s="60" t="s">
        <v>215</v>
      </c>
      <c r="I48" s="60"/>
      <c r="J48" s="57">
        <f>_xlfn.IFNA(VLOOKUP(封面!B1,一般公共预算财政拨款支出决算具体情况!A:AB,28,FALSE),"")</f>
        <v>815433.32</v>
      </c>
      <c r="K48" s="57"/>
      <c r="L48" s="11" t="s">
        <v>186</v>
      </c>
    </row>
    <row r="49" spans="1:13" ht="18" customHeight="1">
      <c r="B49" s="14" t="str">
        <f>IF(E48&gt;J48,"增加","减少")</f>
        <v>增加</v>
      </c>
      <c r="C49" s="57">
        <f>ABS(E48-J48)</f>
        <v>60815.590000000084</v>
      </c>
      <c r="D49" s="57"/>
      <c r="E49" s="7" t="s">
        <v>187</v>
      </c>
      <c r="F49" s="14" t="str">
        <f>IF(E48&gt;J48,"增长","下降")</f>
        <v>增长</v>
      </c>
      <c r="G49" s="32">
        <f>C49/J48</f>
        <v>7.4580702687008282E-2</v>
      </c>
      <c r="H49" s="7" t="s">
        <v>322</v>
      </c>
      <c r="I49" s="11" t="s">
        <v>216</v>
      </c>
    </row>
    <row r="50" spans="1:13" ht="18" customHeight="1">
      <c r="A50" s="61" t="s">
        <v>221</v>
      </c>
      <c r="B50" s="61"/>
      <c r="C50" s="61"/>
      <c r="D50" s="61"/>
      <c r="E50" s="57">
        <f>_xlfn.IFNA(VLOOKUP(封面!B1,一般公共预算财政拨款支出决算具体情况!A:AC,29,FALSE),"")</f>
        <v>876248.91</v>
      </c>
      <c r="F50" s="57"/>
      <c r="G50" s="7" t="s">
        <v>187</v>
      </c>
      <c r="H50" s="60" t="s">
        <v>215</v>
      </c>
      <c r="I50" s="60"/>
      <c r="J50" s="57">
        <f>_xlfn.IFNA(VLOOKUP(封面!B1,一般公共预算财政拨款支出决算具体情况!A:AD,30,FALSE),"")</f>
        <v>815433.32</v>
      </c>
      <c r="K50" s="57"/>
      <c r="L50" s="11" t="s">
        <v>186</v>
      </c>
    </row>
    <row r="51" spans="1:13" ht="18" customHeight="1">
      <c r="A51" s="14"/>
      <c r="B51" s="14" t="str">
        <f>IF(E50&gt;J50,"增加","减少")</f>
        <v>增加</v>
      </c>
      <c r="C51" s="57">
        <f>ABS(E50-J50)</f>
        <v>60815.590000000084</v>
      </c>
      <c r="D51" s="57"/>
      <c r="E51" s="7" t="s">
        <v>187</v>
      </c>
      <c r="F51" s="14" t="str">
        <f>IF(E50&gt;J50,"增长","下降")</f>
        <v>增长</v>
      </c>
      <c r="G51" s="32">
        <f>C51/J50</f>
        <v>7.4580702687008282E-2</v>
      </c>
      <c r="H51" s="7" t="s">
        <v>322</v>
      </c>
    </row>
    <row r="52" spans="1:13" ht="36" customHeight="1">
      <c r="B52" s="58" t="s">
        <v>428</v>
      </c>
      <c r="C52" s="58"/>
      <c r="D52" s="58"/>
      <c r="E52" s="58"/>
      <c r="F52" s="58"/>
      <c r="G52" s="58"/>
      <c r="H52" s="58"/>
      <c r="I52" s="58"/>
      <c r="J52" s="58"/>
      <c r="K52" s="58"/>
      <c r="L52" s="58"/>
    </row>
    <row r="53" spans="1:13" ht="18" customHeight="1">
      <c r="A53" s="63" t="s">
        <v>432</v>
      </c>
      <c r="B53" s="63"/>
      <c r="C53" s="63"/>
      <c r="D53" s="63"/>
      <c r="E53" s="57">
        <f>_xlfn.IFNA(VLOOKUP(封面!B1,一般公共预算财政拨款支出决算具体情况!A:AM,39,FALSE),"")</f>
        <v>2508136</v>
      </c>
      <c r="F53" s="57"/>
      <c r="G53" s="7" t="s">
        <v>187</v>
      </c>
      <c r="H53" s="60" t="s">
        <v>215</v>
      </c>
      <c r="I53" s="60"/>
      <c r="J53" s="57">
        <f>_xlfn.IFNA(VLOOKUP(封面!B1,一般公共预算财政拨款支出决算具体情况!A:AN,40,FALSE),"")</f>
        <v>2366815.6800000002</v>
      </c>
      <c r="K53" s="57"/>
      <c r="L53" s="11" t="s">
        <v>186</v>
      </c>
    </row>
    <row r="54" spans="1:13" ht="18" customHeight="1">
      <c r="B54" s="14" t="str">
        <f>IF(E53&gt;J53,"增加","减少")</f>
        <v>增加</v>
      </c>
      <c r="C54" s="57">
        <f>ABS(E53-J53)</f>
        <v>141320.31999999983</v>
      </c>
      <c r="D54" s="57"/>
      <c r="E54" s="7" t="s">
        <v>187</v>
      </c>
      <c r="F54" s="14" t="str">
        <f>IF(E53&gt;J53,"增长","下降")</f>
        <v>增长</v>
      </c>
      <c r="G54" s="32">
        <f>C54/J53</f>
        <v>5.9709051783871835E-2</v>
      </c>
      <c r="H54" s="7" t="s">
        <v>322</v>
      </c>
      <c r="I54" s="11" t="s">
        <v>216</v>
      </c>
    </row>
    <row r="55" spans="1:13" ht="18" customHeight="1">
      <c r="A55" s="61" t="s">
        <v>222</v>
      </c>
      <c r="B55" s="61"/>
      <c r="C55" s="61"/>
      <c r="D55" s="61"/>
      <c r="E55" s="57">
        <f>_xlfn.IFNA(VLOOKUP(封面!B1,一般公共预算财政拨款支出决算具体情况!A:AO,41,FALSE),"")</f>
        <v>2508136</v>
      </c>
      <c r="F55" s="57"/>
      <c r="G55" s="7" t="s">
        <v>187</v>
      </c>
      <c r="H55" s="60" t="s">
        <v>215</v>
      </c>
      <c r="I55" s="60"/>
      <c r="J55" s="57">
        <f>_xlfn.IFNA(VLOOKUP(封面!B1,一般公共预算财政拨款支出决算具体情况!A:AP,42,FALSE),"")</f>
        <v>2366815.6800000002</v>
      </c>
      <c r="K55" s="57"/>
      <c r="L55" s="11" t="s">
        <v>186</v>
      </c>
    </row>
    <row r="56" spans="1:13" ht="18" customHeight="1">
      <c r="A56" s="14"/>
      <c r="B56" s="14" t="str">
        <f>IF(E55&gt;J55,"增加","减少")</f>
        <v>增加</v>
      </c>
      <c r="C56" s="57">
        <f>ABS(E55-J55)</f>
        <v>141320.31999999983</v>
      </c>
      <c r="D56" s="57"/>
      <c r="E56" s="7" t="s">
        <v>187</v>
      </c>
      <c r="F56" s="14" t="str">
        <f>IF(E55&gt;J55,"增长","下降")</f>
        <v>增长</v>
      </c>
      <c r="G56" s="32">
        <f>C56/J55</f>
        <v>5.9709051783871835E-2</v>
      </c>
      <c r="H56" s="7" t="s">
        <v>322</v>
      </c>
    </row>
    <row r="57" spans="1:13" ht="36" customHeight="1">
      <c r="B57" s="58" t="s">
        <v>427</v>
      </c>
      <c r="C57" s="58"/>
      <c r="D57" s="58"/>
      <c r="E57" s="58"/>
      <c r="F57" s="58"/>
      <c r="G57" s="58"/>
      <c r="H57" s="58"/>
      <c r="I57" s="58"/>
      <c r="J57" s="58"/>
      <c r="K57" s="58"/>
      <c r="L57" s="58"/>
    </row>
    <row r="58" spans="1:13" ht="18" customHeight="1">
      <c r="A58" s="6" t="s">
        <v>223</v>
      </c>
    </row>
    <row r="59" spans="1:13" ht="18" customHeight="1">
      <c r="A59" s="7" t="str">
        <f>IF(_xlfn.IFNA(VLOOKUP(封面!B1,'2020决算导出'!A:X,24,FALSE),"")=0,"本年度无此项支出。","")</f>
        <v/>
      </c>
    </row>
    <row r="60" spans="1:13" ht="18" customHeight="1">
      <c r="A60" s="7" t="s">
        <v>224</v>
      </c>
    </row>
    <row r="61" spans="1:13" ht="18" customHeight="1">
      <c r="A61" s="62" t="s">
        <v>225</v>
      </c>
      <c r="B61" s="62"/>
      <c r="C61" s="62"/>
      <c r="D61" s="62"/>
      <c r="E61" s="62"/>
      <c r="F61" s="57">
        <f>_xlfn.IFNA(VLOOKUP(封面!B1,'2020决算导出'!A:X,24,FALSE),"")</f>
        <v>28673.4</v>
      </c>
      <c r="G61" s="57"/>
      <c r="H61" s="7" t="s">
        <v>187</v>
      </c>
      <c r="I61" s="59" t="s">
        <v>208</v>
      </c>
      <c r="J61" s="59"/>
      <c r="K61" s="59"/>
      <c r="L61" s="59"/>
      <c r="M61" s="59"/>
    </row>
    <row r="62" spans="1:13" ht="18" customHeight="1">
      <c r="A62" s="62" t="s">
        <v>226</v>
      </c>
      <c r="B62" s="62"/>
      <c r="C62" s="62"/>
      <c r="D62" s="57">
        <f>_xlfn.IFNA(VLOOKUP(封面!B1,'2020决算导出'!A:Y,25,FALSE),"")</f>
        <v>28673.4</v>
      </c>
      <c r="E62" s="57"/>
      <c r="F62" s="7" t="s">
        <v>187</v>
      </c>
      <c r="G62" s="60" t="s">
        <v>210</v>
      </c>
      <c r="H62" s="60"/>
      <c r="I62" s="12">
        <v>100</v>
      </c>
      <c r="J62" s="7" t="s">
        <v>192</v>
      </c>
      <c r="K62" s="9"/>
      <c r="L62" s="9"/>
      <c r="M62" s="9"/>
    </row>
    <row r="63" spans="1:13" ht="18" customHeight="1">
      <c r="A63" s="7" t="s">
        <v>227</v>
      </c>
    </row>
    <row r="64" spans="1:13" ht="18" customHeight="1">
      <c r="A64" s="59" t="s">
        <v>228</v>
      </c>
      <c r="B64" s="59"/>
      <c r="C64" s="59"/>
      <c r="D64" s="59"/>
      <c r="E64" s="57">
        <f>_xlfn.IFNA(VLOOKUP(封面!B1,'2020决算导出'!A:Y,25,FALSE),"")</f>
        <v>28673.4</v>
      </c>
      <c r="F64" s="57"/>
      <c r="G64" s="7" t="s">
        <v>187</v>
      </c>
      <c r="H64" s="60" t="s">
        <v>215</v>
      </c>
      <c r="I64" s="60"/>
      <c r="J64" s="57">
        <f>_xlfn.IFNA(VLOOKUP(封面!B1,'2020决算导出'!A:Z,26,FALSE),"")</f>
        <v>49324.6</v>
      </c>
      <c r="K64" s="57"/>
      <c r="L64" s="11" t="s">
        <v>186</v>
      </c>
    </row>
    <row r="65" spans="1:13" ht="18" customHeight="1">
      <c r="B65" s="14" t="str">
        <f>IF(E64&gt;J64,"增加","减少")</f>
        <v>减少</v>
      </c>
      <c r="C65" s="57">
        <f>ABS(E64-J64)</f>
        <v>20651.199999999997</v>
      </c>
      <c r="D65" s="57"/>
      <c r="E65" s="7" t="s">
        <v>187</v>
      </c>
      <c r="F65" s="14" t="str">
        <f>IF(E64&gt;J64,"增长","下降")</f>
        <v>下降</v>
      </c>
      <c r="G65" s="32">
        <f>C65/J64</f>
        <v>0.41867952299663852</v>
      </c>
      <c r="H65" s="7" t="s">
        <v>322</v>
      </c>
      <c r="I65" s="11" t="s">
        <v>216</v>
      </c>
    </row>
    <row r="66" spans="1:13" ht="23.25" customHeight="1">
      <c r="A66" s="61" t="s">
        <v>229</v>
      </c>
      <c r="B66" s="61"/>
      <c r="C66" s="61"/>
      <c r="D66" s="61"/>
      <c r="E66" s="57">
        <f>E64</f>
        <v>28673.4</v>
      </c>
      <c r="F66" s="57"/>
      <c r="G66" s="7" t="s">
        <v>187</v>
      </c>
      <c r="H66" s="60" t="s">
        <v>215</v>
      </c>
      <c r="I66" s="60"/>
      <c r="J66" s="57">
        <f>J64</f>
        <v>49324.6</v>
      </c>
      <c r="K66" s="57"/>
      <c r="L66" s="11" t="s">
        <v>186</v>
      </c>
    </row>
    <row r="67" spans="1:13" ht="21.75" customHeight="1">
      <c r="A67" s="14"/>
      <c r="B67" s="14" t="str">
        <f>B65</f>
        <v>减少</v>
      </c>
      <c r="C67" s="57">
        <f>C65</f>
        <v>20651.199999999997</v>
      </c>
      <c r="D67" s="57"/>
      <c r="E67" s="7" t="s">
        <v>187</v>
      </c>
      <c r="F67" s="14" t="str">
        <f>F65</f>
        <v>下降</v>
      </c>
      <c r="G67" s="32">
        <f>G65</f>
        <v>0.41867952299663852</v>
      </c>
      <c r="H67" s="7" t="s">
        <v>322</v>
      </c>
    </row>
    <row r="68" spans="1:13" ht="46.5" customHeight="1">
      <c r="B68" s="58" t="s">
        <v>426</v>
      </c>
      <c r="C68" s="58"/>
      <c r="D68" s="58"/>
      <c r="E68" s="58"/>
      <c r="F68" s="58"/>
      <c r="G68" s="58"/>
      <c r="H68" s="58"/>
      <c r="I68" s="58"/>
      <c r="J68" s="58"/>
      <c r="K68" s="58"/>
      <c r="L68" s="58"/>
    </row>
    <row r="69" spans="1:13" ht="18" customHeight="1">
      <c r="A69" s="6" t="s">
        <v>230</v>
      </c>
    </row>
    <row r="70" spans="1:13" ht="18" customHeight="1">
      <c r="A70" s="7" t="s">
        <v>231</v>
      </c>
    </row>
    <row r="71" spans="1:13" ht="18" customHeight="1">
      <c r="A71" s="6" t="s">
        <v>232</v>
      </c>
    </row>
    <row r="72" spans="1:13" ht="18" customHeight="1">
      <c r="A72" s="7" t="s">
        <v>233</v>
      </c>
      <c r="G72" s="57">
        <f>_xlfn.IFNA(VLOOKUP(封面!B1,'2020决算导出'!A:AA,27,FALSE),"")</f>
        <v>20027862.199999999</v>
      </c>
      <c r="H72" s="57"/>
      <c r="I72" s="11" t="s">
        <v>187</v>
      </c>
    </row>
    <row r="73" spans="1:13" ht="138.75" customHeight="1">
      <c r="A73" s="58" t="s">
        <v>234</v>
      </c>
      <c r="B73" s="58"/>
      <c r="C73" s="58"/>
      <c r="D73" s="58"/>
      <c r="E73" s="58"/>
      <c r="F73" s="58"/>
      <c r="G73" s="58"/>
      <c r="H73" s="58"/>
      <c r="I73" s="58"/>
      <c r="J73" s="58"/>
      <c r="K73" s="58"/>
      <c r="L73" s="58"/>
      <c r="M73" s="58"/>
    </row>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sheetData>
  <mergeCells count="114">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29:C29"/>
    <mergeCell ref="D29:E29"/>
    <mergeCell ref="G29:H29"/>
    <mergeCell ref="G28:H28"/>
    <mergeCell ref="D27:E27"/>
    <mergeCell ref="G27:H27"/>
    <mergeCell ref="A28:C28"/>
    <mergeCell ref="A27:C27"/>
    <mergeCell ref="D28:E28"/>
    <mergeCell ref="A30:C30"/>
    <mergeCell ref="D30:E30"/>
    <mergeCell ref="G30:H30"/>
    <mergeCell ref="B36:L36"/>
    <mergeCell ref="C33:D33"/>
    <mergeCell ref="C35:D35"/>
    <mergeCell ref="A34:D34"/>
    <mergeCell ref="E34:F34"/>
    <mergeCell ref="H34:I34"/>
    <mergeCell ref="J34:K34"/>
    <mergeCell ref="A32:D32"/>
    <mergeCell ref="E32:F32"/>
    <mergeCell ref="H32:I32"/>
    <mergeCell ref="J32:K32"/>
    <mergeCell ref="C41:D41"/>
    <mergeCell ref="B42:L42"/>
    <mergeCell ref="C38:D38"/>
    <mergeCell ref="B39:L39"/>
    <mergeCell ref="A40:D40"/>
    <mergeCell ref="E40:F40"/>
    <mergeCell ref="H40:I40"/>
    <mergeCell ref="J40:K40"/>
    <mergeCell ref="A37:D37"/>
    <mergeCell ref="E37:F37"/>
    <mergeCell ref="H37:I37"/>
    <mergeCell ref="J37:K37"/>
    <mergeCell ref="A48:D48"/>
    <mergeCell ref="E48:F48"/>
    <mergeCell ref="H48:I48"/>
    <mergeCell ref="J48:K48"/>
    <mergeCell ref="C49:D49"/>
    <mergeCell ref="B47:L47"/>
    <mergeCell ref="A43:D43"/>
    <mergeCell ref="E43:F43"/>
    <mergeCell ref="H43:I43"/>
    <mergeCell ref="J43:K43"/>
    <mergeCell ref="C44:D44"/>
    <mergeCell ref="A45:D45"/>
    <mergeCell ref="E45:F45"/>
    <mergeCell ref="H45:I45"/>
    <mergeCell ref="J45:K45"/>
    <mergeCell ref="C46:D46"/>
    <mergeCell ref="H55:I55"/>
    <mergeCell ref="J55:K55"/>
    <mergeCell ref="C56:D56"/>
    <mergeCell ref="A53:D53"/>
    <mergeCell ref="E53:F53"/>
    <mergeCell ref="H53:I53"/>
    <mergeCell ref="J53:K53"/>
    <mergeCell ref="A50:D50"/>
    <mergeCell ref="E50:F50"/>
    <mergeCell ref="H50:I50"/>
    <mergeCell ref="J50:K50"/>
    <mergeCell ref="C51:D51"/>
    <mergeCell ref="B52:L52"/>
    <mergeCell ref="C67:D67"/>
    <mergeCell ref="B68:L68"/>
    <mergeCell ref="G72:H72"/>
    <mergeCell ref="A73:M73"/>
    <mergeCell ref="A4:M4"/>
    <mergeCell ref="A64:D64"/>
    <mergeCell ref="E64:F64"/>
    <mergeCell ref="H64:I64"/>
    <mergeCell ref="J64:K64"/>
    <mergeCell ref="C65:D65"/>
    <mergeCell ref="A66:D66"/>
    <mergeCell ref="E66:F66"/>
    <mergeCell ref="H66:I66"/>
    <mergeCell ref="J66:K66"/>
    <mergeCell ref="B57:L57"/>
    <mergeCell ref="A61:E61"/>
    <mergeCell ref="F61:G61"/>
    <mergeCell ref="I61:M61"/>
    <mergeCell ref="A62:C62"/>
    <mergeCell ref="D62:E62"/>
    <mergeCell ref="G62:H62"/>
    <mergeCell ref="C54:D54"/>
    <mergeCell ref="A55:D55"/>
    <mergeCell ref="E55:F55"/>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A13" sqref="A13"/>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249</v>
      </c>
      <c r="B1" s="55"/>
      <c r="C1" s="55"/>
      <c r="D1" s="55"/>
      <c r="E1" s="55"/>
      <c r="F1" s="55"/>
      <c r="G1" s="55"/>
      <c r="H1" s="55"/>
      <c r="I1" s="55"/>
      <c r="J1" s="55"/>
      <c r="K1" s="55"/>
      <c r="L1" s="55"/>
      <c r="M1" s="55"/>
      <c r="N1" s="55"/>
    </row>
    <row r="2" spans="1:14" ht="18" customHeight="1">
      <c r="A2" s="6" t="s">
        <v>235</v>
      </c>
    </row>
    <row r="3" spans="1:14" ht="18" customHeight="1">
      <c r="A3" s="15" t="str">
        <f>IF(_xlfn.IFNA(VLOOKUP(封面!B1,'2020决算导出'!A:AB,28,FALSE),"")=0,"本年度无此项支出。","")</f>
        <v>本年度无此项支出。</v>
      </c>
    </row>
    <row r="4" spans="1:14" ht="18" customHeight="1">
      <c r="A4" s="6" t="s">
        <v>237</v>
      </c>
    </row>
    <row r="5" spans="1:14" ht="18" customHeight="1">
      <c r="A5" s="7" t="s">
        <v>238</v>
      </c>
    </row>
    <row r="6" spans="1:14" ht="18" customHeight="1">
      <c r="A6" s="6" t="s">
        <v>239</v>
      </c>
    </row>
    <row r="7" spans="1:14" ht="18" customHeight="1">
      <c r="A7" s="62" t="s">
        <v>240</v>
      </c>
      <c r="B7" s="62"/>
      <c r="C7" s="62"/>
      <c r="D7" s="62"/>
      <c r="E7" s="57">
        <f>_xlfn.IFNA(VLOOKUP(封面!B1,'2020决算导出'!A:AW,49,FALSE),"")</f>
        <v>449430.9</v>
      </c>
      <c r="F7" s="57"/>
      <c r="G7" s="7" t="s">
        <v>187</v>
      </c>
      <c r="H7" s="62" t="s">
        <v>241</v>
      </c>
      <c r="I7" s="62"/>
      <c r="J7" s="62"/>
      <c r="K7" s="62"/>
      <c r="L7" s="57">
        <f>_xlfn.IFNA(VLOOKUP(封面!B1,'2020决算导出'!A:AX,50,FALSE),"")</f>
        <v>178430.9</v>
      </c>
      <c r="M7" s="57" t="s">
        <v>187</v>
      </c>
      <c r="N7" s="7" t="s">
        <v>187</v>
      </c>
    </row>
    <row r="8" spans="1:14" ht="18" customHeight="1">
      <c r="A8" s="62" t="s">
        <v>242</v>
      </c>
      <c r="B8" s="62"/>
      <c r="C8" s="62"/>
      <c r="D8" s="57">
        <f>_xlfn.IFNA(VLOOKUP(封面!B1,'2020决算导出'!A:AY,51,FALSE),"")</f>
        <v>0</v>
      </c>
      <c r="E8" s="57" t="s">
        <v>187</v>
      </c>
      <c r="F8" s="7" t="s">
        <v>187</v>
      </c>
      <c r="G8" s="62" t="s">
        <v>243</v>
      </c>
      <c r="H8" s="62"/>
      <c r="I8" s="62"/>
      <c r="J8" s="57">
        <f>_xlfn.IFNA(VLOOKUP(封面!B1,'2020决算导出'!A:AZ,52,FALSE),"")</f>
        <v>271000</v>
      </c>
      <c r="K8" s="57" t="s">
        <v>187</v>
      </c>
      <c r="L8" s="7" t="s">
        <v>236</v>
      </c>
    </row>
    <row r="9" spans="1:14" ht="18" customHeight="1">
      <c r="A9" s="62" t="s">
        <v>244</v>
      </c>
      <c r="B9" s="62"/>
      <c r="C9" s="62"/>
      <c r="D9" s="62"/>
      <c r="E9" s="57">
        <f>_xlfn.IFNA(VLOOKUP(封面!B1,'2020决算导出'!A:BA,53,FALSE),"")</f>
        <v>449430.9</v>
      </c>
      <c r="F9" s="57" t="s">
        <v>187</v>
      </c>
      <c r="G9" s="7" t="s">
        <v>187</v>
      </c>
      <c r="H9" s="60" t="s">
        <v>245</v>
      </c>
      <c r="I9" s="60"/>
      <c r="J9" s="60"/>
      <c r="K9" s="27">
        <f>E9/$E$7</f>
        <v>1</v>
      </c>
      <c r="L9" s="16" t="s">
        <v>320</v>
      </c>
      <c r="M9" s="7" t="s">
        <v>417</v>
      </c>
    </row>
    <row r="10" spans="1:14" ht="18" customHeight="1">
      <c r="A10" s="62" t="s">
        <v>246</v>
      </c>
      <c r="B10" s="62"/>
      <c r="C10" s="62"/>
      <c r="D10" s="62"/>
      <c r="E10" s="57">
        <f>_xlfn.IFNA(VLOOKUP(封面!B1,'2020决算导出'!A:BB,54,FALSE),"")</f>
        <v>449430.9</v>
      </c>
      <c r="F10" s="57" t="s">
        <v>187</v>
      </c>
      <c r="G10" s="7" t="s">
        <v>187</v>
      </c>
      <c r="H10" s="60" t="s">
        <v>245</v>
      </c>
      <c r="I10" s="60"/>
      <c r="J10" s="60"/>
      <c r="K10" s="27">
        <f>E10/$E$7</f>
        <v>1</v>
      </c>
      <c r="L10" s="16" t="s">
        <v>322</v>
      </c>
    </row>
    <row r="11" spans="1:14" ht="18" customHeight="1">
      <c r="A11" s="6" t="s">
        <v>421</v>
      </c>
    </row>
    <row r="12" spans="1:14" ht="18" customHeight="1">
      <c r="A12" s="7" t="s">
        <v>247</v>
      </c>
    </row>
    <row r="13" spans="1:14" ht="18" customHeight="1">
      <c r="A13" s="6" t="s">
        <v>422</v>
      </c>
    </row>
    <row r="14" spans="1:14" ht="304.2" customHeight="1">
      <c r="A14" s="58" t="s">
        <v>248</v>
      </c>
      <c r="B14" s="58"/>
      <c r="C14" s="58"/>
      <c r="D14" s="58"/>
      <c r="E14" s="58"/>
      <c r="F14" s="58"/>
      <c r="G14" s="58"/>
      <c r="H14" s="58"/>
      <c r="I14" s="58"/>
      <c r="J14" s="58"/>
      <c r="K14" s="58"/>
      <c r="L14" s="58"/>
      <c r="M14" s="58"/>
      <c r="N14" s="58"/>
    </row>
  </sheetData>
  <mergeCells count="16">
    <mergeCell ref="L7:M7"/>
    <mergeCell ref="A1:N1"/>
    <mergeCell ref="A8:C8"/>
    <mergeCell ref="D8:E8"/>
    <mergeCell ref="G8:I8"/>
    <mergeCell ref="J8:K8"/>
    <mergeCell ref="A7:D7"/>
    <mergeCell ref="E7:F7"/>
    <mergeCell ref="H7:K7"/>
    <mergeCell ref="A14:N14"/>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2" sqref="A2:N2"/>
    </sheetView>
  </sheetViews>
  <sheetFormatPr defaultRowHeight="13.8"/>
  <sheetData>
    <row r="1" spans="1:14" s="7" customFormat="1" ht="35.4" customHeight="1">
      <c r="A1" s="55" t="s">
        <v>250</v>
      </c>
      <c r="B1" s="55"/>
      <c r="C1" s="55"/>
      <c r="D1" s="55"/>
      <c r="E1" s="55"/>
      <c r="F1" s="55"/>
      <c r="G1" s="55"/>
      <c r="H1" s="55"/>
      <c r="I1" s="55"/>
      <c r="J1" s="55"/>
      <c r="K1" s="55"/>
      <c r="L1" s="55"/>
      <c r="M1" s="55"/>
      <c r="N1" s="55"/>
    </row>
    <row r="2" spans="1:14" ht="91.2" customHeight="1">
      <c r="A2" s="58" t="s">
        <v>435</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256</v>
      </c>
      <c r="B1" s="20" t="s">
        <v>257</v>
      </c>
      <c r="C1" s="20" t="s">
        <v>252</v>
      </c>
      <c r="D1" s="20" t="s">
        <v>258</v>
      </c>
      <c r="E1" s="20" t="s">
        <v>259</v>
      </c>
      <c r="F1" s="20" t="s">
        <v>260</v>
      </c>
      <c r="G1" s="20" t="s">
        <v>261</v>
      </c>
      <c r="H1" s="20" t="s">
        <v>262</v>
      </c>
      <c r="I1" s="20" t="s">
        <v>263</v>
      </c>
      <c r="J1" s="20" t="s">
        <v>264</v>
      </c>
      <c r="K1" s="20" t="s">
        <v>265</v>
      </c>
      <c r="L1" s="20" t="s">
        <v>266</v>
      </c>
      <c r="M1" s="20" t="s">
        <v>267</v>
      </c>
      <c r="N1" s="20" t="s">
        <v>268</v>
      </c>
      <c r="O1" s="20" t="s">
        <v>269</v>
      </c>
      <c r="P1" s="20" t="s">
        <v>270</v>
      </c>
      <c r="Q1" s="20" t="s">
        <v>271</v>
      </c>
      <c r="R1" s="20" t="s">
        <v>272</v>
      </c>
      <c r="S1" s="20" t="s">
        <v>273</v>
      </c>
      <c r="T1" s="20" t="s">
        <v>274</v>
      </c>
      <c r="U1" s="20" t="s">
        <v>275</v>
      </c>
      <c r="V1" s="20" t="s">
        <v>276</v>
      </c>
      <c r="W1" s="20" t="s">
        <v>277</v>
      </c>
      <c r="X1" s="20" t="s">
        <v>278</v>
      </c>
      <c r="Y1" s="20" t="s">
        <v>279</v>
      </c>
      <c r="Z1" s="20" t="s">
        <v>324</v>
      </c>
      <c r="AA1" s="20" t="s">
        <v>280</v>
      </c>
      <c r="AB1" s="20" t="s">
        <v>281</v>
      </c>
      <c r="AC1" s="20" t="s">
        <v>282</v>
      </c>
      <c r="AD1" s="20" t="s">
        <v>283</v>
      </c>
      <c r="AE1" s="20" t="s">
        <v>284</v>
      </c>
      <c r="AF1" s="20" t="s">
        <v>285</v>
      </c>
      <c r="AG1" s="20" t="s">
        <v>286</v>
      </c>
      <c r="AH1" s="20" t="s">
        <v>287</v>
      </c>
      <c r="AI1" s="20" t="s">
        <v>288</v>
      </c>
      <c r="AJ1" s="20" t="s">
        <v>289</v>
      </c>
      <c r="AK1" s="20" t="s">
        <v>290</v>
      </c>
      <c r="AL1" s="20" t="s">
        <v>291</v>
      </c>
      <c r="AM1" s="20" t="s">
        <v>325</v>
      </c>
      <c r="AN1" s="20" t="s">
        <v>326</v>
      </c>
      <c r="AO1" s="20" t="s">
        <v>292</v>
      </c>
      <c r="AP1" s="20" t="s">
        <v>293</v>
      </c>
      <c r="AQ1" s="20" t="s">
        <v>294</v>
      </c>
      <c r="AR1" s="20" t="s">
        <v>295</v>
      </c>
      <c r="AS1" s="20" t="s">
        <v>296</v>
      </c>
      <c r="AT1" s="20" t="s">
        <v>297</v>
      </c>
      <c r="AU1" s="20" t="s">
        <v>298</v>
      </c>
      <c r="AV1" s="20" t="s">
        <v>327</v>
      </c>
      <c r="AW1" s="20" t="s">
        <v>299</v>
      </c>
      <c r="AX1" s="20" t="s">
        <v>300</v>
      </c>
      <c r="AY1" s="20" t="s">
        <v>301</v>
      </c>
      <c r="AZ1" s="20" t="s">
        <v>302</v>
      </c>
      <c r="BA1" s="20" t="s">
        <v>303</v>
      </c>
      <c r="BB1" s="20" t="s">
        <v>304</v>
      </c>
      <c r="BC1" s="20" t="s">
        <v>305</v>
      </c>
      <c r="BD1" s="20" t="s">
        <v>418</v>
      </c>
      <c r="BE1" s="20" t="s">
        <v>306</v>
      </c>
      <c r="BF1" s="20" t="s">
        <v>307</v>
      </c>
    </row>
    <row r="2" spans="1:58">
      <c r="A2" s="22">
        <v>255001</v>
      </c>
      <c r="B2" s="23" t="s">
        <v>308</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309</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310</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256</v>
      </c>
      <c r="B1" s="20" t="s">
        <v>257</v>
      </c>
      <c r="C1" s="20" t="s">
        <v>311</v>
      </c>
      <c r="D1" s="20" t="s">
        <v>312</v>
      </c>
      <c r="E1" s="20" t="s">
        <v>313</v>
      </c>
      <c r="F1" s="20" t="s">
        <v>314</v>
      </c>
    </row>
    <row r="2" spans="1:6">
      <c r="A2" s="22">
        <v>255001</v>
      </c>
      <c r="B2" s="23" t="s">
        <v>308</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315</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316</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317</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318</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328</v>
      </c>
      <c r="B1" s="39" t="s">
        <v>365</v>
      </c>
      <c r="C1" s="39" t="s">
        <v>366</v>
      </c>
      <c r="D1" s="39" t="s">
        <v>367</v>
      </c>
      <c r="E1" s="39" t="s">
        <v>368</v>
      </c>
      <c r="F1" s="39" t="s">
        <v>369</v>
      </c>
      <c r="G1" s="39" t="s">
        <v>370</v>
      </c>
      <c r="H1" s="39" t="s">
        <v>371</v>
      </c>
      <c r="I1" s="39" t="s">
        <v>372</v>
      </c>
      <c r="J1" s="39" t="s">
        <v>373</v>
      </c>
      <c r="K1" s="39" t="s">
        <v>374</v>
      </c>
      <c r="L1" s="39" t="s">
        <v>375</v>
      </c>
      <c r="M1" s="39" t="s">
        <v>376</v>
      </c>
      <c r="N1" s="39" t="s">
        <v>377</v>
      </c>
      <c r="O1" s="39" t="s">
        <v>378</v>
      </c>
      <c r="P1" s="39" t="s">
        <v>379</v>
      </c>
      <c r="Q1" s="39" t="s">
        <v>380</v>
      </c>
      <c r="R1" s="39" t="s">
        <v>381</v>
      </c>
      <c r="S1" s="39" t="s">
        <v>382</v>
      </c>
      <c r="T1" s="39" t="s">
        <v>383</v>
      </c>
      <c r="U1" s="39" t="s">
        <v>384</v>
      </c>
      <c r="V1" s="39" t="s">
        <v>385</v>
      </c>
      <c r="W1" s="39" t="s">
        <v>386</v>
      </c>
      <c r="X1" s="39" t="s">
        <v>387</v>
      </c>
      <c r="Y1" s="39" t="s">
        <v>388</v>
      </c>
      <c r="Z1" s="39" t="s">
        <v>389</v>
      </c>
      <c r="AA1" s="39" t="s">
        <v>390</v>
      </c>
      <c r="AB1" s="39" t="s">
        <v>391</v>
      </c>
      <c r="AC1" s="39" t="s">
        <v>392</v>
      </c>
      <c r="AD1" s="39" t="s">
        <v>393</v>
      </c>
      <c r="AE1" s="39" t="s">
        <v>394</v>
      </c>
      <c r="AF1" s="39" t="s">
        <v>395</v>
      </c>
      <c r="AG1" s="39" t="s">
        <v>396</v>
      </c>
      <c r="AH1" s="39" t="s">
        <v>397</v>
      </c>
      <c r="AI1" s="39" t="s">
        <v>398</v>
      </c>
      <c r="AJ1" s="39" t="s">
        <v>399</v>
      </c>
      <c r="AK1" s="39" t="s">
        <v>400</v>
      </c>
      <c r="AL1" s="39" t="s">
        <v>401</v>
      </c>
      <c r="AM1" s="39" t="s">
        <v>402</v>
      </c>
      <c r="AN1" s="39" t="s">
        <v>403</v>
      </c>
      <c r="AO1" s="39" t="s">
        <v>404</v>
      </c>
      <c r="AP1" s="39" t="s">
        <v>405</v>
      </c>
    </row>
    <row r="2" spans="1:42">
      <c r="A2" s="40">
        <v>255001</v>
      </c>
      <c r="B2" s="41" t="s">
        <v>308</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309</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406</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407</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2021-09-06T05:25:17Z</cp:lastPrinted>
  <dcterms:created xsi:type="dcterms:W3CDTF">2021-08-26T09:47:38Z</dcterms:created>
  <dcterms:modified xsi:type="dcterms:W3CDTF">2021-09-08T01:53:19Z</dcterms:modified>
</cp:coreProperties>
</file>