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4" i="5" l="1"/>
  <c r="A3" i="6"/>
  <c r="J50" i="5" l="1"/>
  <c r="E50" i="5"/>
  <c r="J48" i="5"/>
  <c r="E48" i="5"/>
  <c r="J45" i="5"/>
  <c r="E45" i="5"/>
  <c r="J43" i="5"/>
  <c r="E43" i="5"/>
  <c r="J40" i="5"/>
  <c r="E40" i="5"/>
  <c r="J38" i="5"/>
  <c r="E38" i="5"/>
  <c r="J35" i="5"/>
  <c r="E35" i="5"/>
  <c r="J32" i="5"/>
  <c r="E32" i="5"/>
  <c r="J29" i="5"/>
  <c r="E29" i="5"/>
  <c r="J27" i="5"/>
  <c r="E27" i="5"/>
  <c r="D25" i="5"/>
  <c r="A14" i="6"/>
  <c r="G13" i="6"/>
  <c r="M12" i="6"/>
  <c r="C12" i="6"/>
  <c r="B51" i="5" l="1"/>
  <c r="F41" i="5"/>
  <c r="C44" i="5"/>
  <c r="G44" i="5" s="1"/>
  <c r="C49" i="5"/>
  <c r="G49" i="5" s="1"/>
  <c r="F28" i="5"/>
  <c r="F46" i="5"/>
  <c r="C51" i="5"/>
  <c r="G51" i="5" s="1"/>
  <c r="F51" i="5"/>
  <c r="F49" i="5"/>
  <c r="B49" i="5"/>
  <c r="B46" i="5"/>
  <c r="C46" i="5"/>
  <c r="G46" i="5" s="1"/>
  <c r="F44" i="5"/>
  <c r="B44" i="5"/>
  <c r="C41" i="5"/>
  <c r="G41" i="5" s="1"/>
  <c r="F30" i="5"/>
  <c r="F33" i="5"/>
  <c r="F39" i="5"/>
  <c r="B41" i="5"/>
  <c r="B39" i="5"/>
  <c r="C39" i="5"/>
  <c r="G39" i="5" s="1"/>
  <c r="C36" i="5"/>
  <c r="G36" i="5" s="1"/>
  <c r="C28" i="5"/>
  <c r="G28" i="5" s="1"/>
  <c r="B36" i="5"/>
  <c r="F36" i="5"/>
  <c r="B33" i="5"/>
  <c r="C33" i="5"/>
  <c r="G33" i="5" s="1"/>
  <c r="B30" i="5"/>
  <c r="C30" i="5"/>
  <c r="G30" i="5" s="1"/>
  <c r="B28"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58" i="5" l="1"/>
  <c r="F21" i="5"/>
  <c r="D24" i="5"/>
  <c r="D23" i="5"/>
  <c r="D22" i="5"/>
  <c r="E17" i="5"/>
  <c r="K17" i="5" s="1"/>
  <c r="D15" i="5"/>
  <c r="D14" i="5"/>
  <c r="D13" i="5"/>
  <c r="J13" i="5" s="1"/>
  <c r="D11" i="5"/>
  <c r="D10" i="5"/>
  <c r="D8" i="5"/>
  <c r="J8" i="5" s="1"/>
  <c r="H10" i="5" l="1"/>
  <c r="K10" i="5" s="1"/>
  <c r="J10" i="5"/>
  <c r="G8" i="5"/>
  <c r="G10" i="5"/>
  <c r="H15" i="5"/>
  <c r="H8" i="5"/>
  <c r="K8" i="5" s="1"/>
  <c r="H11" i="5"/>
  <c r="H13" i="5"/>
  <c r="K13" i="5" s="1"/>
  <c r="I17" i="5"/>
  <c r="L17" i="5" s="1"/>
  <c r="G13" i="5"/>
  <c r="H14" i="5"/>
  <c r="H17" i="5"/>
  <c r="I22" i="5"/>
  <c r="I24" i="5"/>
  <c r="I25" i="5"/>
  <c r="I23" i="5"/>
  <c r="E6" i="5" l="1"/>
</calcChain>
</file>

<file path=xl/sharedStrings.xml><?xml version="1.0" encoding="utf-8"?>
<sst xmlns="http://schemas.openxmlformats.org/spreadsheetml/2006/main" count="4563" uniqueCount="431">
  <si>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</si>
  <si>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</si>
  <si>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</si>
  <si>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</si>
  <si>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</si>
  <si>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</si>
  <si>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</si>
  <si>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</si>
  <si>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</si>
  <si>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</si>
  <si>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</si>
  <si>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</si>
  <si>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</si>
  <si>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</si>
  <si>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</si>
  <si>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</si>
  <si>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</si>
  <si>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</si>
  <si>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</si>
  <si>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</si>
  <si>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</si>
  <si>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</si>
  <si>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</si>
  <si>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</si>
  <si>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</si>
  <si>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</si>
  <si>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</si>
  <si>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</si>
  <si>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</si>
  <si>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</si>
  <si>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</si>
  <si>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</si>
  <si>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</si>
  <si>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</si>
  <si>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</si>
  <si>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</si>
  <si>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</si>
  <si>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</si>
  <si>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</si>
  <si>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</si>
  <si>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</si>
  <si>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</si>
  <si>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</si>
  <si>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</si>
  <si>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</si>
  <si>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</si>
  <si>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</si>
  <si>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</si>
  <si>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</si>
  <si>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</si>
  <si>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</si>
  <si>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</si>
  <si>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</si>
  <si>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</si>
  <si>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</si>
  <si>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</si>
  <si>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</si>
  <si>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</si>
  <si>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</si>
  <si>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</si>
  <si>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</si>
  <si>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</si>
  <si>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</si>
  <si>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</si>
  <si>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</si>
  <si>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</si>
  <si>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</si>
  <si>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</si>
  <si>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</si>
  <si>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</si>
  <si>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</si>
  <si>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</si>
  <si>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</si>
  <si>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</si>
  <si>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</si>
  <si>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</si>
  <si>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</si>
  <si>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</si>
  <si>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</si>
  <si>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</si>
  <si>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</si>
  <si>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</si>
  <si>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</si>
  <si>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</si>
  <si>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</si>
  <si>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</si>
  <si>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</si>
  <si>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</si>
  <si>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</si>
  <si>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</si>
  <si>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</si>
  <si>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</si>
  <si>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</si>
  <si>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</si>
  <si>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</si>
  <si>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</si>
  <si>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</si>
  <si>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</si>
  <si>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</si>
  <si>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</si>
  <si>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</si>
  <si>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</si>
  <si>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</si>
  <si>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</si>
  <si>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</si>
  <si>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</si>
  <si>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</si>
  <si>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</si>
  <si>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</si>
  <si>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</si>
  <si>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</si>
  <si>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</si>
  <si>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</si>
  <si>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</si>
  <si>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</si>
  <si>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</si>
  <si>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</si>
  <si>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</si>
  <si>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</si>
  <si>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</si>
  <si>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</si>
  <si>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</si>
  <si>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</si>
  <si>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</si>
  <si>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</si>
  <si>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</si>
  <si>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</si>
  <si>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</si>
  <si>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</si>
  <si>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</si>
  <si>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</si>
  <si>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</si>
  <si>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</si>
  <si>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</si>
  <si>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</si>
  <si>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</si>
  <si>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</si>
  <si>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</si>
  <si>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</si>
  <si>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</si>
  <si>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</si>
  <si>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</si>
  <si>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</si>
  <si>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</si>
  <si>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</si>
  <si>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</si>
  <si>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</si>
  <si>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</si>
  <si>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</si>
  <si>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</si>
  <si>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</si>
  <si>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</si>
  <si>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</si>
  <si>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</si>
  <si>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</si>
  <si>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</si>
  <si>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</si>
  <si>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</si>
  <si>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</si>
  <si>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</si>
  <si>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</si>
  <si>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</si>
  <si>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</si>
  <si>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</si>
  <si>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</si>
  <si>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</si>
  <si>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</si>
  <si>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</si>
  <si>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</si>
  <si>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</si>
  <si>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</si>
  <si>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</si>
  <si>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</si>
  <si>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</si>
  <si>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</si>
  <si>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</si>
  <si>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</si>
  <si>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</si>
  <si>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</si>
  <si>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</si>
  <si>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</si>
  <si>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</si>
  <si>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</si>
  <si>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</si>
  <si>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</si>
  <si>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</si>
  <si>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</si>
  <si>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</si>
  <si>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</si>
  <si>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</si>
  <si>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</si>
  <si>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</si>
  <si>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</si>
  <si>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</si>
  <si>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</si>
  <si>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</si>
  <si>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</si>
  <si>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</si>
  <si>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</si>
  <si>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</si>
  <si>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</si>
  <si>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</si>
  <si>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</si>
  <si>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</si>
  <si>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</si>
  <si>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</si>
  <si>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</si>
  <si>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</si>
  <si>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</si>
  <si>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</si>
  <si>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</si>
  <si>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</si>
  <si>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</si>
  <si>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</si>
  <si>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</si>
  <si>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</si>
  <si>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</si>
  <si>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</si>
  <si>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</si>
  <si>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</si>
  <si>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</si>
  <si>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</si>
  <si>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</si>
  <si>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</si>
  <si>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</si>
  <si>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</si>
  <si>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</si>
  <si>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</si>
  <si>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</si>
  <si>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</si>
  <si>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</si>
  <si>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</si>
  <si>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</si>
  <si>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</si>
  <si>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</si>
  <si>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</si>
  <si>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</si>
  <si>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</si>
  <si>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</si>
  <si>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</si>
  <si>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</si>
  <si>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</si>
  <si>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</si>
  <si>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</si>
  <si>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</si>
  <si>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</si>
  <si>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</si>
  <si>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</si>
  <si>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</si>
  <si>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</si>
  <si>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</si>
  <si>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</si>
  <si>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</si>
  <si>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</si>
  <si>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</si>
  <si>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</si>
  <si>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</si>
  <si>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</si>
  <si>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</si>
  <si>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</si>
  <si>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</si>
  <si>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</si>
  <si>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</si>
  <si>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</si>
  <si>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</si>
  <si>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</si>
  <si>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</si>
  <si>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</si>
  <si>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</si>
  <si>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</si>
  <si>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</si>
  <si>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</si>
  <si>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</si>
  <si>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</si>
  <si>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</si>
  <si>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</si>
  <si>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</si>
  <si>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</si>
  <si>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</si>
  <si>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</si>
  <si>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</si>
  <si>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</si>
  <si>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</si>
  <si>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</si>
  <si>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</si>
  <si>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</si>
  <si>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</si>
  <si>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</si>
  <si>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</si>
  <si>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</si>
  <si>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</si>
  <si>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</si>
  <si>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</si>
  <si>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</si>
  <si>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</si>
  <si>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</si>
  <si>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</si>
  <si>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</si>
  <si>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</si>
  <si>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</si>
  <si>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</si>
  <si>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</si>
  <si>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</si>
  <si>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</si>
  <si>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</si>
  <si>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</si>
  <si>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</si>
  <si>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</si>
  <si>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</si>
  <si>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</si>
  <si>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</si>
  <si>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</si>
  <si>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</si>
  <si>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</si>
  <si>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</si>
  <si>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</si>
  <si>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</si>
  <si>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</si>
  <si>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</si>
  <si>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</si>
  <si>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</si>
  <si>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</si>
  <si>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</si>
  <si>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</si>
  <si>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</si>
  <si>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</si>
  <si>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</si>
  <si>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</si>
  <si>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</si>
  <si>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</si>
  <si>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</si>
  <si>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</si>
  <si>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</si>
  <si>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</si>
  <si>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</si>
  <si>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</si>
  <si>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</si>
  <si>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</si>
  <si>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</si>
  <si>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</si>
  <si>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</si>
  <si>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</si>
  <si>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</si>
  <si>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</si>
  <si>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</si>
  <si>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</si>
  <si>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</si>
  <si>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</si>
  <si>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</si>
  <si>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</si>
  <si>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</si>
  <si>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</si>
  <si>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</si>
  <si>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</si>
  <si>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</si>
  <si>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</si>
  <si>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</si>
  <si>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</si>
  <si>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</si>
  <si>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</si>
  <si>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</si>
  <si>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</si>
  <si>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</si>
  <si>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</si>
  <si>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</si>
  <si>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</si>
  <si>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</si>
  <si>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</si>
  <si>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</si>
  <si>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</si>
  <si>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</si>
  <si>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</si>
  <si>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</si>
  <si>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</si>
  <si>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</si>
  <si>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</si>
  <si>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</si>
  <si>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</si>
  <si>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</si>
  <si>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</si>
  <si>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</si>
  <si>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</si>
  <si>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</si>
  <si>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</si>
  <si>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</si>
  <si>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</si>
  <si>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</si>
  <si>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</si>
  <si>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</si>
  <si>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</si>
  <si>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</si>
  <si>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</si>
  <si>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</si>
  <si>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</si>
  <si>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</si>
  <si>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</si>
  <si>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</si>
  <si>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</si>
  <si>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</si>
  <si>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</si>
  <si>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</si>
  <si>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</si>
  <si>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</si>
  <si>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</si>
  <si>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</si>
  <si>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</si>
  <si>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</si>
  <si>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</si>
  <si>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</si>
  <si>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</si>
  <si>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</si>
  <si>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</si>
  <si>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</si>
  <si>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</si>
  <si>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</si>
  <si>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</si>
  <si>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</si>
  <si>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报表详见附件</t>
    <phoneticPr fontId="3" type="noConversion"/>
  </si>
  <si>
    <t>1.教育支出（类）2020年度决算</t>
    <phoneticPr fontId="3" type="noConversion"/>
  </si>
  <si>
    <t xml:space="preserve">1．主要职能。
北京市西城区棉花胡同幼儿园是北京市一级一类幼儿园。是北京市卫生保健示范幼儿园和北京市市级示范幼儿园,改革试点幼儿园。以教科研为龙头，以爱促发展，提高办园质量，一直以来都是棉花胡同幼儿园的办园理念和发展目标。
2．机构设置情况。
全园设有小、中、大年龄段共30个教学班。招收3岁到6岁幼儿入托。年末有幼儿880名。
</t>
    <phoneticPr fontId="3" type="noConversion"/>
  </si>
  <si>
    <t>主要原因是1）基本支出（含人员、公用）5494.08万元，增长93.57万元，主要为人员方面，与近几年相比，人员支出成逐年上升的趋势，尤其在今年新冠疫情当下，我们教师的工资按月足额发放，未受任何影响。除正常工资外，今年初补发了一次性津贴、班主任津贴及校长职级工资；其次为公用方面，本年度按照中央过紧日子的精神，进一步强化了经费使用效益的意识，我园对各项经费的使用，严格按预算计划执行，保障防疫物资的配备、对存在安全隐患的地方及时维修维护。2）专项支出386.69万元，减少345.72万元，主要因本年度中央和北京市大力压减一般性支出和非必需、非刚性支出的要求，压减项目支出。今年主要以保证教育教学活动、添置大型户外玩具、操场悬浮地板改造为主，导致专项支出减少。</t>
    <phoneticPr fontId="3" type="noConversion"/>
  </si>
  <si>
    <t>主要原因是人员支出方面，补发了班主任津贴及校长职级，加发了重点节日等绩效奖励。</t>
    <phoneticPr fontId="3" type="noConversion"/>
  </si>
  <si>
    <t>主要原因是由于疫情影响，上半年未开展培训活动。</t>
    <phoneticPr fontId="3" type="noConversion"/>
  </si>
  <si>
    <t>主要原因是几乎无变化。</t>
    <phoneticPr fontId="3" type="noConversion"/>
  </si>
  <si>
    <t>主要原因是社保缴费基数导致的变动。</t>
    <phoneticPr fontId="3" type="noConversion"/>
  </si>
  <si>
    <t>主要原因是由于实际计算基本医疗保险基数与预算时口径不同，导致当年医保支付缺口，已由财政补充不足。</t>
    <phoneticPr fontId="3" type="noConversion"/>
  </si>
  <si>
    <t>主要原因是由于实际计算公积金基数与预算不同，导致当年支付缺口，已由财政补充不足。</t>
    <phoneticPr fontId="3" type="noConversion"/>
  </si>
  <si>
    <t>北京市西城区棉花胡同幼儿园对2020年度部门项目支出实施绩效评价，评价项目1个，涉及金额132.48万元,占项目预算总金额比例（不含基建）：34.26%。评价结果，绩效跟踪项目-校园保障经费：按照政采要求，校园保障经费项目由北京华夏京诚咨询有限公司采取竞争性磋商的形式进行，最终确认北京市保安服务总公司成为供应商。此项目全年支出是按照与北京市保安服务总公司签订的保安服务合同和政府采购合同条例要求执行，最终绩效目标完成。</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</si>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</sst>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5" t="s">
        <v>0</v>
      </c>
      <c r="B1" s="26">
        <v>255078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北京市西城区棉花胡同幼儿园</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1"/>
    <col min="2" max="2" width="23.625" style="21" customWidth="1"/>
    <col min="3" max="4" width="7.25" style="37" customWidth="1"/>
    <col min="5" max="5" width="8.5" style="38" customWidth="1"/>
    <col min="6" max="6" width="19.625" style="21" customWidth="1"/>
    <col min="7" max="8" width="13.625" style="21" customWidth="1"/>
    <col min="9" max="16384" width="8.875" style="21"/>
  </cols>
  <sheetData>
    <row r="1" spans="1:8" ht="24">
      <c r="A1" s="19" t="s">
        <v>326</v>
      </c>
      <c r="B1" s="20" t="s">
        <v>255</v>
      </c>
      <c r="C1" s="34" t="s">
        <v>327</v>
      </c>
      <c r="D1" s="34" t="s">
        <v>328</v>
      </c>
      <c r="E1" s="35" t="s">
        <v>329</v>
      </c>
      <c r="F1" s="20" t="s">
        <v>330</v>
      </c>
      <c r="G1" s="20" t="s">
        <v>331</v>
      </c>
      <c r="H1" s="20" t="s">
        <v>332</v>
      </c>
    </row>
    <row r="2" spans="1:8">
      <c r="A2" s="22">
        <v>255001</v>
      </c>
      <c r="B2" s="23" t="s">
        <v>306</v>
      </c>
      <c r="C2" s="36" t="str">
        <f>LEFT(D2,3)</f>
        <v>205</v>
      </c>
      <c r="D2" s="36" t="str">
        <f>LEFT(E2,5)</f>
        <v>20502</v>
      </c>
      <c r="E2" s="36">
        <f>IF(ISNA(VLOOKUP(F2,'2020功能科目'!A:B,2,FALSE)),"",VLOOKUP(F2,'2020功能科目'!A:B,2,FALSE))</f>
        <v>2050201</v>
      </c>
      <c r="F2" s="23" t="s">
        <v>333</v>
      </c>
      <c r="G2" s="24">
        <v>91486047.549999997</v>
      </c>
      <c r="H2" s="24">
        <v>117849170.55</v>
      </c>
    </row>
    <row r="3" spans="1:8">
      <c r="A3" s="22">
        <v>255001</v>
      </c>
      <c r="B3" s="23" t="s">
        <v>306</v>
      </c>
      <c r="C3" s="36" t="str">
        <f t="shared" ref="C3:C66" si="0">LEFT(D3,3)</f>
        <v>205</v>
      </c>
      <c r="D3" s="36" t="str">
        <f t="shared" ref="D3:D66" si="1">LEFT(E3,5)</f>
        <v>20502</v>
      </c>
      <c r="E3" s="36">
        <f>IF(ISNA(VLOOKUP(F3,'2020功能科目'!A:B,2,FALSE)),"",VLOOKUP(F3,'2020功能科目'!A:B,2,FALSE))</f>
        <v>2050202</v>
      </c>
      <c r="F3" s="23" t="s">
        <v>334</v>
      </c>
      <c r="G3" s="24">
        <v>250000</v>
      </c>
      <c r="H3" s="24">
        <v>250000</v>
      </c>
    </row>
    <row r="4" spans="1:8">
      <c r="A4" s="22">
        <v>255001</v>
      </c>
      <c r="B4" s="23" t="s">
        <v>306</v>
      </c>
      <c r="C4" s="36" t="str">
        <f t="shared" si="0"/>
        <v>205</v>
      </c>
      <c r="D4" s="36" t="str">
        <f t="shared" si="1"/>
        <v>20502</v>
      </c>
      <c r="E4" s="36">
        <f>IF(ISNA(VLOOKUP(F4,'2020功能科目'!A:B,2,FALSE)),"",VLOOKUP(F4,'2020功能科目'!A:B,2,FALSE))</f>
        <v>2050204</v>
      </c>
      <c r="F4" s="23" t="s">
        <v>335</v>
      </c>
      <c r="G4" s="24">
        <v>1439000</v>
      </c>
      <c r="H4" s="24">
        <v>1439888.15</v>
      </c>
    </row>
    <row r="5" spans="1:8">
      <c r="A5" s="22">
        <v>255001</v>
      </c>
      <c r="B5" s="23" t="s">
        <v>306</v>
      </c>
      <c r="C5" s="36" t="str">
        <f t="shared" si="0"/>
        <v>205</v>
      </c>
      <c r="D5" s="36" t="str">
        <f t="shared" si="1"/>
        <v>20502</v>
      </c>
      <c r="E5" s="36">
        <f>IF(ISNA(VLOOKUP(F5,'2020功能科目'!A:B,2,FALSE)),"",VLOOKUP(F5,'2020功能科目'!A:B,2,FALSE))</f>
        <v>2050299</v>
      </c>
      <c r="F5" s="23" t="s">
        <v>336</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335</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336</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337</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338</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339</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340</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341</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342</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343</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344</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345</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346</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347</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348</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335</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336</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337</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338</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339</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340</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341</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342</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344</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345</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346</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347</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348</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335</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336</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337</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339</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340</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341</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342</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344</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345</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346</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347</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348</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335</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336</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337</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338</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339</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340</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341</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342</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344</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345</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346</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347</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348</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335</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337</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338</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339</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340</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341</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342</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344</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345</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346</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347</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348</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335</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338</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339</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340</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341</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342</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344</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345</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346</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347</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348</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335</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336</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337</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338</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339</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340</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341</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342</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343</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344</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345</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346</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347</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348</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335</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336</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337</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338</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339</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340</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341</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342</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344</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345</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346</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347</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348</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335</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336</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337</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338</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339</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340</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341</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342</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344</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345</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346</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347</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348</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335</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337</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338</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339</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340</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341</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342</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344</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345</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346</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347</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348</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335</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337</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338</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339</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340</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341</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342</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344</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345</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346</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347</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348</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335</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339</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340</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341</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342</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344</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345</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346</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347</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348</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335</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336</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337</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338</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339</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340</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341</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342</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344</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345</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346</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347</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348</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349</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336</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337</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338</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339</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340</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341</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342</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344</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345</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346</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347</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348</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335</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337</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338</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340</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341</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342</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344</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346</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347</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348</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335</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336</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337</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338</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339</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340</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341</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342</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344</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345</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346</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347</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348</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335</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336</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337</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338</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339</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340</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341</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342</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344</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345</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346</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347</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348</v>
      </c>
      <c r="G216" s="24">
        <v>4290503</v>
      </c>
      <c r="H216" s="24">
        <v>4304412</v>
      </c>
    </row>
    <row r="217" spans="1:8">
      <c r="A217" s="22">
        <v>255022</v>
      </c>
      <c r="B217" s="23" t="s">
        <v>307</v>
      </c>
      <c r="C217" s="36" t="str">
        <f t="shared" si="6"/>
        <v>205</v>
      </c>
      <c r="D217" s="36" t="str">
        <f t="shared" si="7"/>
        <v>20502</v>
      </c>
      <c r="E217" s="36">
        <f>IF(ISNA(VLOOKUP(F217,'2020功能科目'!A:B,2,FALSE)),"",VLOOKUP(F217,'2020功能科目'!A:B,2,FALSE))</f>
        <v>2050203</v>
      </c>
      <c r="F217" s="23" t="s">
        <v>349</v>
      </c>
      <c r="G217" s="24">
        <v>26873070.100000001</v>
      </c>
      <c r="H217" s="24">
        <v>22704196.510000002</v>
      </c>
    </row>
    <row r="218" spans="1:8">
      <c r="A218" s="22">
        <v>255022</v>
      </c>
      <c r="B218" s="23" t="s">
        <v>307</v>
      </c>
      <c r="C218" s="36" t="str">
        <f t="shared" si="6"/>
        <v>205</v>
      </c>
      <c r="D218" s="36" t="str">
        <f t="shared" si="7"/>
        <v>20502</v>
      </c>
      <c r="E218" s="36">
        <f>IF(ISNA(VLOOKUP(F218,'2020功能科目'!A:B,2,FALSE)),"",VLOOKUP(F218,'2020功能科目'!A:B,2,FALSE))</f>
        <v>2050204</v>
      </c>
      <c r="F218" s="23" t="s">
        <v>335</v>
      </c>
      <c r="G218" s="24">
        <v>46564</v>
      </c>
      <c r="H218" s="24">
        <v>51629</v>
      </c>
    </row>
    <row r="219" spans="1:8">
      <c r="A219" s="22">
        <v>255022</v>
      </c>
      <c r="B219" s="23" t="s">
        <v>307</v>
      </c>
      <c r="C219" s="36" t="str">
        <f t="shared" si="6"/>
        <v>205</v>
      </c>
      <c r="D219" s="36" t="str">
        <f t="shared" si="7"/>
        <v>20502</v>
      </c>
      <c r="E219" s="36">
        <f>IF(ISNA(VLOOKUP(F219,'2020功能科目'!A:B,2,FALSE)),"",VLOOKUP(F219,'2020功能科目'!A:B,2,FALSE))</f>
        <v>2050299</v>
      </c>
      <c r="F219" s="23" t="s">
        <v>336</v>
      </c>
      <c r="G219" s="24">
        <v>279.2</v>
      </c>
      <c r="H219" s="24">
        <v>0</v>
      </c>
    </row>
    <row r="220" spans="1:8">
      <c r="A220" s="22">
        <v>255022</v>
      </c>
      <c r="B220" s="23" t="s">
        <v>307</v>
      </c>
      <c r="C220" s="36" t="str">
        <f t="shared" si="6"/>
        <v>205</v>
      </c>
      <c r="D220" s="36" t="str">
        <f t="shared" si="7"/>
        <v>20508</v>
      </c>
      <c r="E220" s="36">
        <f>IF(ISNA(VLOOKUP(F220,'2020功能科目'!A:B,2,FALSE)),"",VLOOKUP(F220,'2020功能科目'!A:B,2,FALSE))</f>
        <v>2050803</v>
      </c>
      <c r="F220" s="23" t="s">
        <v>337</v>
      </c>
      <c r="G220" s="24">
        <v>36800</v>
      </c>
      <c r="H220" s="24">
        <v>73600</v>
      </c>
    </row>
    <row r="221" spans="1:8">
      <c r="A221" s="22">
        <v>255022</v>
      </c>
      <c r="B221" s="23" t="s">
        <v>307</v>
      </c>
      <c r="C221" s="36" t="str">
        <f t="shared" si="6"/>
        <v>205</v>
      </c>
      <c r="D221" s="36" t="str">
        <f t="shared" si="7"/>
        <v>20509</v>
      </c>
      <c r="E221" s="36">
        <f>IF(ISNA(VLOOKUP(F221,'2020功能科目'!A:B,2,FALSE)),"",VLOOKUP(F221,'2020功能科目'!A:B,2,FALSE))</f>
        <v>2050903</v>
      </c>
      <c r="F221" s="23" t="s">
        <v>338</v>
      </c>
      <c r="G221" s="24">
        <v>138743.4</v>
      </c>
      <c r="H221" s="24">
        <v>140000</v>
      </c>
    </row>
    <row r="222" spans="1:8">
      <c r="A222" s="22">
        <v>255022</v>
      </c>
      <c r="B222" s="23" t="s">
        <v>307</v>
      </c>
      <c r="C222" s="36" t="str">
        <f t="shared" si="6"/>
        <v>205</v>
      </c>
      <c r="D222" s="36" t="str">
        <f t="shared" si="7"/>
        <v>20509</v>
      </c>
      <c r="E222" s="36">
        <f>IF(ISNA(VLOOKUP(F222,'2020功能科目'!A:B,2,FALSE)),"",VLOOKUP(F222,'2020功能科目'!A:B,2,FALSE))</f>
        <v>2050904</v>
      </c>
      <c r="F222" s="23" t="s">
        <v>339</v>
      </c>
      <c r="G222" s="24">
        <v>1246675.0900000001</v>
      </c>
      <c r="H222" s="24">
        <v>1261160</v>
      </c>
    </row>
    <row r="223" spans="1:8">
      <c r="A223" s="22">
        <v>255022</v>
      </c>
      <c r="B223" s="23" t="s">
        <v>307</v>
      </c>
      <c r="C223" s="36" t="str">
        <f t="shared" si="6"/>
        <v>208</v>
      </c>
      <c r="D223" s="36" t="str">
        <f t="shared" si="7"/>
        <v>20805</v>
      </c>
      <c r="E223" s="36">
        <f>IF(ISNA(VLOOKUP(F223,'2020功能科目'!A:B,2,FALSE)),"",VLOOKUP(F223,'2020功能科目'!A:B,2,FALSE))</f>
        <v>2080502</v>
      </c>
      <c r="F223" s="23" t="s">
        <v>340</v>
      </c>
      <c r="G223" s="24">
        <v>2701675.56</v>
      </c>
      <c r="H223" s="24">
        <v>2070473.15</v>
      </c>
    </row>
    <row r="224" spans="1:8">
      <c r="A224" s="22">
        <v>255022</v>
      </c>
      <c r="B224" s="23" t="s">
        <v>307</v>
      </c>
      <c r="C224" s="36" t="str">
        <f t="shared" si="6"/>
        <v>208</v>
      </c>
      <c r="D224" s="36" t="str">
        <f t="shared" si="7"/>
        <v>20805</v>
      </c>
      <c r="E224" s="36">
        <f>IF(ISNA(VLOOKUP(F224,'2020功能科目'!A:B,2,FALSE)),"",VLOOKUP(F224,'2020功能科目'!A:B,2,FALSE))</f>
        <v>2080505</v>
      </c>
      <c r="F224" s="23" t="s">
        <v>341</v>
      </c>
      <c r="G224" s="24">
        <v>1964071.04</v>
      </c>
      <c r="H224" s="24">
        <v>2098399.36</v>
      </c>
    </row>
    <row r="225" spans="1:8">
      <c r="A225" s="22">
        <v>255022</v>
      </c>
      <c r="B225" s="23" t="s">
        <v>307</v>
      </c>
      <c r="C225" s="36" t="str">
        <f t="shared" si="6"/>
        <v>208</v>
      </c>
      <c r="D225" s="36" t="str">
        <f t="shared" si="7"/>
        <v>20805</v>
      </c>
      <c r="E225" s="36">
        <f>IF(ISNA(VLOOKUP(F225,'2020功能科目'!A:B,2,FALSE)),"",VLOOKUP(F225,'2020功能科目'!A:B,2,FALSE))</f>
        <v>2080506</v>
      </c>
      <c r="F225" s="23" t="s">
        <v>342</v>
      </c>
      <c r="G225" s="24">
        <v>982035.52</v>
      </c>
      <c r="H225" s="24">
        <v>1049199.68</v>
      </c>
    </row>
    <row r="226" spans="1:8">
      <c r="A226" s="22">
        <v>255022</v>
      </c>
      <c r="B226" s="23" t="s">
        <v>307</v>
      </c>
      <c r="C226" s="36" t="str">
        <f t="shared" si="6"/>
        <v>210</v>
      </c>
      <c r="D226" s="36" t="str">
        <f t="shared" si="7"/>
        <v>21011</v>
      </c>
      <c r="E226" s="36">
        <f>IF(ISNA(VLOOKUP(F226,'2020功能科目'!A:B,2,FALSE)),"",VLOOKUP(F226,'2020功能科目'!A:B,2,FALSE))</f>
        <v>2101102</v>
      </c>
      <c r="F226" s="23" t="s">
        <v>344</v>
      </c>
      <c r="G226" s="24">
        <v>2132507.06</v>
      </c>
      <c r="H226" s="24">
        <v>1704949.48</v>
      </c>
    </row>
    <row r="227" spans="1:8">
      <c r="A227" s="22">
        <v>255022</v>
      </c>
      <c r="B227" s="23" t="s">
        <v>307</v>
      </c>
      <c r="C227" s="36" t="str">
        <f t="shared" si="6"/>
        <v>210</v>
      </c>
      <c r="D227" s="36" t="str">
        <f t="shared" si="7"/>
        <v>21011</v>
      </c>
      <c r="E227" s="36">
        <f>IF(ISNA(VLOOKUP(F227,'2020功能科目'!A:B,2,FALSE)),"",VLOOKUP(F227,'2020功能科目'!A:B,2,FALSE))</f>
        <v>2101199</v>
      </c>
      <c r="F227" s="23" t="s">
        <v>345</v>
      </c>
      <c r="G227" s="24">
        <v>180000</v>
      </c>
      <c r="H227" s="24">
        <v>360000</v>
      </c>
    </row>
    <row r="228" spans="1:8">
      <c r="A228" s="22">
        <v>255022</v>
      </c>
      <c r="B228" s="23" t="s">
        <v>307</v>
      </c>
      <c r="C228" s="36" t="str">
        <f t="shared" si="6"/>
        <v>221</v>
      </c>
      <c r="D228" s="36" t="str">
        <f t="shared" si="7"/>
        <v>22102</v>
      </c>
      <c r="E228" s="36">
        <f>IF(ISNA(VLOOKUP(F228,'2020功能科目'!A:B,2,FALSE)),"",VLOOKUP(F228,'2020功能科目'!A:B,2,FALSE))</f>
        <v>2210201</v>
      </c>
      <c r="F228" s="23" t="s">
        <v>346</v>
      </c>
      <c r="G228" s="24">
        <v>2537027</v>
      </c>
      <c r="H228" s="24">
        <v>2125799.52</v>
      </c>
    </row>
    <row r="229" spans="1:8">
      <c r="A229" s="22">
        <v>255022</v>
      </c>
      <c r="B229" s="23" t="s">
        <v>307</v>
      </c>
      <c r="C229" s="36" t="str">
        <f t="shared" si="6"/>
        <v>221</v>
      </c>
      <c r="D229" s="36" t="str">
        <f t="shared" si="7"/>
        <v>22102</v>
      </c>
      <c r="E229" s="36">
        <f>IF(ISNA(VLOOKUP(F229,'2020功能科目'!A:B,2,FALSE)),"",VLOOKUP(F229,'2020功能科目'!A:B,2,FALSE))</f>
        <v>2210202</v>
      </c>
      <c r="F229" s="23" t="s">
        <v>347</v>
      </c>
      <c r="G229" s="24">
        <v>215560</v>
      </c>
      <c r="H229" s="24">
        <v>217920</v>
      </c>
    </row>
    <row r="230" spans="1:8">
      <c r="A230" s="22">
        <v>255022</v>
      </c>
      <c r="B230" s="23" t="s">
        <v>307</v>
      </c>
      <c r="C230" s="36" t="str">
        <f t="shared" si="6"/>
        <v>221</v>
      </c>
      <c r="D230" s="36" t="str">
        <f t="shared" si="7"/>
        <v>22102</v>
      </c>
      <c r="E230" s="36">
        <f>IF(ISNA(VLOOKUP(F230,'2020功能科目'!A:B,2,FALSE)),"",VLOOKUP(F230,'2020功能科目'!A:B,2,FALSE))</f>
        <v>2210203</v>
      </c>
      <c r="F230" s="23" t="s">
        <v>348</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335</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336</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337</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338</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339</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340</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341</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342</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344</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345</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346</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347</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348</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349</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336</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337</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338</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339</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340</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341</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342</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344</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345</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346</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347</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348</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349</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336</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337</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338</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339</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340</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341</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342</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344</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345</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346</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347</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348</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349</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335</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336</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337</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339</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340</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341</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342</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344</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345</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346</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347</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348</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349</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336</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337</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338</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339</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340</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341</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342</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344</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345</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346</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347</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348</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350</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351</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337</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352</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340</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341</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342</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343</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344</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345</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346</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347</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348</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336</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350</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337</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339</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352</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340</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341</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342</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344</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345</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346</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347</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348</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334</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335</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336</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337</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339</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340</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341</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342</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343</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344</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345</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346</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347</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348</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334</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336</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337</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339</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340</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341</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342</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344</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345</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346</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347</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348</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334</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336</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337</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339</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340</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341</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342</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344</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346</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347</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348</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334</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336</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337</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339</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340</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341</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342</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344</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346</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347</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348</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334</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336</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337</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339</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340</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341</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342</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344</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346</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347</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348</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334</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336</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337</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338</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339</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340</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341</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342</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344</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346</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347</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348</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334</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336</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337</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338</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339</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340</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341</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342</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344</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346</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347</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348</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334</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336</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337</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339</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340</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341</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342</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344</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346</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347</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348</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334</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336</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337</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338</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339</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340</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341</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342</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344</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346</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347</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348</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334</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336</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337</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338</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339</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340</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341</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342</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344</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345</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346</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347</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348</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334</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336</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337</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339</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340</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341</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342</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344</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346</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347</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348</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334</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336</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337</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338</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339</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340</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341</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342</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344</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345</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346</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347</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348</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334</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336</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337</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339</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340</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341</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342</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344</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346</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347</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348</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334</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336</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337</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338</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339</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340</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341</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342</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344</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345</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346</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347</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348</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334</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336</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337</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338</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339</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340</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341</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342</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344</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345</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346</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347</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348</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334</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336</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337</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338</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339</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340</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341</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342</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344</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346</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347</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348</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334</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336</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337</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338</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339</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340</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341</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342</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344</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345</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346</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347</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348</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334</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336</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337</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338</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339</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340</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341</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342</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344</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346</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347</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348</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334</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336</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337</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339</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340</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341</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342</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344</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346</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347</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348</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334</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336</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337</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338</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339</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340</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341</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342</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344</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346</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347</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348</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334</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336</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337</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338</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339</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340</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341</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342</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344</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345</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346</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347</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348</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334</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336</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337</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338</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339</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340</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341</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342</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344</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346</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347</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348</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334</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336</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337</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338</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339</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340</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341</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342</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344</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345</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346</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347</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348</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334</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336</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337</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338</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339</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340</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341</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342</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344</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346</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347</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348</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334</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336</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337</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338</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339</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353</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340</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341</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342</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343</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344</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346</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347</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348</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334</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336</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337</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339</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340</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341</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342</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344</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345</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346</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347</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348</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334</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336</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337</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338</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339</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340</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341</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342</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344</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345</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346</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347</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348</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334</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336</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337</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338</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339</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340</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341</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342</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344</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345</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346</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347</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348</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334</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336</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337</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339</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340</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341</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342</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344</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345</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346</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347</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348</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334</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336</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337</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338</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339</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340</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341</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342</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344</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345</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346</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347</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348</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334</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336</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337</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338</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339</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340</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341</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342</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344</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345</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346</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347</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348</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334</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336</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337</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339</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340</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341</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342</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344</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346</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347</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348</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334</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336</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337</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338</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339</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340</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341</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342</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344</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345</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346</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347</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348</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334</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336</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337</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338</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339</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340</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341</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342</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344</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345</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346</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347</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348</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333</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337</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353</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340</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341</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342</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344</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345</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346</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347</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348</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333</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337</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353</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340</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341</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342</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344</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345</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346</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347</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348</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333</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337</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353</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340</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341</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342</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344</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345</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346</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347</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348</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333</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337</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353</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340</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341</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342</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344</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346</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347</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348</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333</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337</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353</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340</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341</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342</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344</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346</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347</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348</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333</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337</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353</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340</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341</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342</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344</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345</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346</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347</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348</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333</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337</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353</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340</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341</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342</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344</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346</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347</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348</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333</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337</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353</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340</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341</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342</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344</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346</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347</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348</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340</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347</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333</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335</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336</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354</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337</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338</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339</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340</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341</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342</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344</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346</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347</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348</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333</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336</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354</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355</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337</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338</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339</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340</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341</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342</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344</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346</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347</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348</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336</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356</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337</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339</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340</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341</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342</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343</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344</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346</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347</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348</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336</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337</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353</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340</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341</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342</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344</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345</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346</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347</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348</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336</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337</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353</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357</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340</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341</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342</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344</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345</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346</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347</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348</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336</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337</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353</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340</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341</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342</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344</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346</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347</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348</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336</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337</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353</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340</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341</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342</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344</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346</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347</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348</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336</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337</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353</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340</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341</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342</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344</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346</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347</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348</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336</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337</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353</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340</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341</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342</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344</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346</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347</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348</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336</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337</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353</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340</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341</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342</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344</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346</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347</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348</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336</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358</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337</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353</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340</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341</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342</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344</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345</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346</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347</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348</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336</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337</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353</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340</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341</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342</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344</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346</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347</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348</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336</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337</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353</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340</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341</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342</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343</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344</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346</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347</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348</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336</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358</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337</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353</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340</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341</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342</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344</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346</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347</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348</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336</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337</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353</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340</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341</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342</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344</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346</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347</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348</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336</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337</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340</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341</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342</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344</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346</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347</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348</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336</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337</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341</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342</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344</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346</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347</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348</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336</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337</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353</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340</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341</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342</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344</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346</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347</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348</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336</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353</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340</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341</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342</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344</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346</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347</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348</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333</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337</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353</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340</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341</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342</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344</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346</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347</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348</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334</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336</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337</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338</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339</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340</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341</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342</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344</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346</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347</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348</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336</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337</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340</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341</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342</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344</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346</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347</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348</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335</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336</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337</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338</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339</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340</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341</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342</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344</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345</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346</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347</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348</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335</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336</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337</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338</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339</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340</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341</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342</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344</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345</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346</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347</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348</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335</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336</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337</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339</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340</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341</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342</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344</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345</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346</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347</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348</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335</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337</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338</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339</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340</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341</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342</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344</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345</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346</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347</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348</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335</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336</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337</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338</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339</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340</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341</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342</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344</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345</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346</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347</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348</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336</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350</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351</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337</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352</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340</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341</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342</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344</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345</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359</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346</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347</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348</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335</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337</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340</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341</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342</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344</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345</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346</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347</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348</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335</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336</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337</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338</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339</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340</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341</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342</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344</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345</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346</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347</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348</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335</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336</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337</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339</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340</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341</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342</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344</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345</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346</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347</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348</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335</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336</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337</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338</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339</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340</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341</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342</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344</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345</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346</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347</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348</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334</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336</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337</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338</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339</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340</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341</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342</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344</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345</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346</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347</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348</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334</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336</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337</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338</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339</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340</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341</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342</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344</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345</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346</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347</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348</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334</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336</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337</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338</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339</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340</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341</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342</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344</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346</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347</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348</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334</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336</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337</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338</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339</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340</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341</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342</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344</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345</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346</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347</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348</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334</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336</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337</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338</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339</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340</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341</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342</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343</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344</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345</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346</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347</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348</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334</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336</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337</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338</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339</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340</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341</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342</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344</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346</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347</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348</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334</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336</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337</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339</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340</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341</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342</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344</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346</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347</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348</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334</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336</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337</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338</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339</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340</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341</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342</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344</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346</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347</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348</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334</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336</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337</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339</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340</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341</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342</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344</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345</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346</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347</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348</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334</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336</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337</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338</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339</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340</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341</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342</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344</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345</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346</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347</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348</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334</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337</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339</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340</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341</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342</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344</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345</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346</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347</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348</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334</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336</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337</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338</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339</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340</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341</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342</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343</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344</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346</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347</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348</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334</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336</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337</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338</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339</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340</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341</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342</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344</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345</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346</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347</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348</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334</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336</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337</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338</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339</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340</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341</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342</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344</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346</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347</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348</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334</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336</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337</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338</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339</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340</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341</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342</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344</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345</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346</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347</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348</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334</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336</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337</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338</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339</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340</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341</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342</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344</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346</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347</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348</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334</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337</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338</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339</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340</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341</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342</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344</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345</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346</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347</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348</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334</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336</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337</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338</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339</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340</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341</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342</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344</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346</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347</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348</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334</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337</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338</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339</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340</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341</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342</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344</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346</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347</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348</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334</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336</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337</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339</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340</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341</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342</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344</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346</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347</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348</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334</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336</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337</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338</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339</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340</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341</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342</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344</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346</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347</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348</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334</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336</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337</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338</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339</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340</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341</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342</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344</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346</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347</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348</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333</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337</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353</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340</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341</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342</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344</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346</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347</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348</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333</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337</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353</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340</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341</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342</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344</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345</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346</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347</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348</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333</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337</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353</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340</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341</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342</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344</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345</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346</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347</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348</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333</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337</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340</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341</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342</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344</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346</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347</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348</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333</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337</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353</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340</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341</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342</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344</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346</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347</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348</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333</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337</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353</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340</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341</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342</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344</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346</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347</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348</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333</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337</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353</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340</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341</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342</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344</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346</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347</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348</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333</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337</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340</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341</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342</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344</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346</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347</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348</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333</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337</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353</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340</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341</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342</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344</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346</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347</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348</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333</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337</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353</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340</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341</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342</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344</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345</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346</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347</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348</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333</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337</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353</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340</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341</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342</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344</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346</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347</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348</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333</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337</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353</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340</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341</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342</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344</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346</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347</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348</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333</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337</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353</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340</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341</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342</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344</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346</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347</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348</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360</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337</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353</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340</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341</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342</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344</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345</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346</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347</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348</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361</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337</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353</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340</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341</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342</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344</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346</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347</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348</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336</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358</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337</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353</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340</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341</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342</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344</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345</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346</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347</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348</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336</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337</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353</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340</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341</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342</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344</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345</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346</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347</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348</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336</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337</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353</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357</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340</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341</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342</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344</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346</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347</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348</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336</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337</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353</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340</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341</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342</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344</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346</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347</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348</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336</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337</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340</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341</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342</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343</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344</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346</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347</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348</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333</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334</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349</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335</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336</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337</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338</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353</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340</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341</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342</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343</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344</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345</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362</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346</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347</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348</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336</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350</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351</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337</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352</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340</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341</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342</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344</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345</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346</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347</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348</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335</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336</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337</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338</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339</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340</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341</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342</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344</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345</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346</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347</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348</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335</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336</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337</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338</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339</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340</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341</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342</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344</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346</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347</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348</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336</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337</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353</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340</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341</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342</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344</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346</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347</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348</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333</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337</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353</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341</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342</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344</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346</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347</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348</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333</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337</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353</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341</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342</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344</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346</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347</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348</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334</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336</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337</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338</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339</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341</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342</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344</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346</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347</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348</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333</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337</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353</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340</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341</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342</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344</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346</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347</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348</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333</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337</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353</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341</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342</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344</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346</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347</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348</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333</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337</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353</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341</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342</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344</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346</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347</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348</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333</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337</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353</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341</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342</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344</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346</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347</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348</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333</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337</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353</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341</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342</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344</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346</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347</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348</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336</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337</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341</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342</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344</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346</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347</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348</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336</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341</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342</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344</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346</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336</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337</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353</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341</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342</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344</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346</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347</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348</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334</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337</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339</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341</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342</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344</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346</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347</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348</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333</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334</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349</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335</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336</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350</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351</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360</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361</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354</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356</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355</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358</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337</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338</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339</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352</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353</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357</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340</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341</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342</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343</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344</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345</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362</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359</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346</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347</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348</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0" bestFit="1" customWidth="1"/>
    <col min="2" max="16384" width="8.625" style="50"/>
  </cols>
  <sheetData>
    <row r="1" spans="1:2">
      <c r="A1" s="49" t="s">
        <v>406</v>
      </c>
      <c r="B1" s="49" t="s">
        <v>407</v>
      </c>
    </row>
    <row r="2" spans="1:2">
      <c r="A2" s="51" t="s">
        <v>408</v>
      </c>
      <c r="B2" s="49">
        <v>2050101</v>
      </c>
    </row>
    <row r="3" spans="1:2">
      <c r="A3" s="51" t="s">
        <v>409</v>
      </c>
      <c r="B3" s="49">
        <v>2050102</v>
      </c>
    </row>
    <row r="4" spans="1:2">
      <c r="A4" s="51" t="s">
        <v>333</v>
      </c>
      <c r="B4" s="49">
        <v>2050201</v>
      </c>
    </row>
    <row r="5" spans="1:2">
      <c r="A5" s="51" t="s">
        <v>334</v>
      </c>
      <c r="B5" s="49">
        <v>2050202</v>
      </c>
    </row>
    <row r="6" spans="1:2">
      <c r="A6" s="51" t="s">
        <v>349</v>
      </c>
      <c r="B6" s="49">
        <v>2050203</v>
      </c>
    </row>
    <row r="7" spans="1:2">
      <c r="A7" s="51" t="s">
        <v>335</v>
      </c>
      <c r="B7" s="49">
        <v>2050204</v>
      </c>
    </row>
    <row r="8" spans="1:2">
      <c r="A8" s="51" t="s">
        <v>336</v>
      </c>
      <c r="B8" s="49">
        <v>2050299</v>
      </c>
    </row>
    <row r="9" spans="1:2">
      <c r="A9" s="51" t="s">
        <v>350</v>
      </c>
      <c r="B9" s="49">
        <v>2050302</v>
      </c>
    </row>
    <row r="10" spans="1:2">
      <c r="A10" s="51" t="s">
        <v>410</v>
      </c>
      <c r="B10" s="49">
        <v>2050304</v>
      </c>
    </row>
    <row r="11" spans="1:2">
      <c r="A11" s="51" t="s">
        <v>351</v>
      </c>
      <c r="B11" s="49">
        <v>2050399</v>
      </c>
    </row>
    <row r="12" spans="1:2">
      <c r="A12" s="51" t="s">
        <v>360</v>
      </c>
      <c r="B12" s="49">
        <v>2050403</v>
      </c>
    </row>
    <row r="13" spans="1:2">
      <c r="A13" s="51" t="s">
        <v>361</v>
      </c>
      <c r="B13" s="49">
        <v>2050404</v>
      </c>
    </row>
    <row r="14" spans="1:2">
      <c r="A14" s="51" t="s">
        <v>354</v>
      </c>
      <c r="B14" s="49">
        <v>2050701</v>
      </c>
    </row>
    <row r="15" spans="1:2">
      <c r="A15" s="51" t="s">
        <v>356</v>
      </c>
      <c r="B15" s="49">
        <v>2050702</v>
      </c>
    </row>
    <row r="16" spans="1:2">
      <c r="A16" s="51" t="s">
        <v>355</v>
      </c>
      <c r="B16" s="49">
        <v>2050799</v>
      </c>
    </row>
    <row r="17" spans="1:2">
      <c r="A17" s="51" t="s">
        <v>358</v>
      </c>
      <c r="B17" s="49">
        <v>2050801</v>
      </c>
    </row>
    <row r="18" spans="1:2">
      <c r="A18" s="51" t="s">
        <v>337</v>
      </c>
      <c r="B18" s="49">
        <v>2050803</v>
      </c>
    </row>
    <row r="19" spans="1:2">
      <c r="A19" s="51" t="s">
        <v>338</v>
      </c>
      <c r="B19" s="49">
        <v>2050903</v>
      </c>
    </row>
    <row r="20" spans="1:2">
      <c r="A20" s="51" t="s">
        <v>339</v>
      </c>
      <c r="B20" s="49">
        <v>2050904</v>
      </c>
    </row>
    <row r="21" spans="1:2">
      <c r="A21" s="51" t="s">
        <v>352</v>
      </c>
      <c r="B21" s="49">
        <v>2050905</v>
      </c>
    </row>
    <row r="22" spans="1:2">
      <c r="A22" s="51" t="s">
        <v>353</v>
      </c>
      <c r="B22" s="49">
        <v>2050999</v>
      </c>
    </row>
    <row r="23" spans="1:2">
      <c r="A23" s="51" t="s">
        <v>357</v>
      </c>
      <c r="B23" s="49">
        <v>2060702</v>
      </c>
    </row>
    <row r="24" spans="1:2">
      <c r="A24" s="51" t="s">
        <v>411</v>
      </c>
      <c r="B24" s="49">
        <v>2080501</v>
      </c>
    </row>
    <row r="25" spans="1:2">
      <c r="A25" s="51" t="s">
        <v>340</v>
      </c>
      <c r="B25" s="49">
        <v>2080502</v>
      </c>
    </row>
    <row r="26" spans="1:2">
      <c r="A26" s="51" t="s">
        <v>341</v>
      </c>
      <c r="B26" s="49">
        <v>2080505</v>
      </c>
    </row>
    <row r="27" spans="1:2">
      <c r="A27" s="51" t="s">
        <v>342</v>
      </c>
      <c r="B27" s="49">
        <v>2080506</v>
      </c>
    </row>
    <row r="28" spans="1:2">
      <c r="A28" s="51" t="s">
        <v>343</v>
      </c>
      <c r="B28" s="49">
        <v>2080801</v>
      </c>
    </row>
    <row r="29" spans="1:2">
      <c r="A29" s="51" t="s">
        <v>412</v>
      </c>
      <c r="B29" s="49">
        <v>2101101</v>
      </c>
    </row>
    <row r="30" spans="1:2">
      <c r="A30" s="51" t="s">
        <v>344</v>
      </c>
      <c r="B30" s="49">
        <v>2101102</v>
      </c>
    </row>
    <row r="31" spans="1:2">
      <c r="A31" s="51" t="s">
        <v>345</v>
      </c>
      <c r="B31" s="49">
        <v>2101199</v>
      </c>
    </row>
    <row r="32" spans="1:2">
      <c r="A32" s="51" t="s">
        <v>362</v>
      </c>
      <c r="B32" s="49">
        <v>2120399</v>
      </c>
    </row>
    <row r="33" spans="1:2">
      <c r="A33" s="51" t="s">
        <v>346</v>
      </c>
      <c r="B33" s="49">
        <v>2210201</v>
      </c>
    </row>
    <row r="34" spans="1:2">
      <c r="A34" s="51" t="s">
        <v>347</v>
      </c>
      <c r="B34" s="49">
        <v>2210202</v>
      </c>
    </row>
    <row r="35" spans="1:2">
      <c r="A35" s="51" t="s">
        <v>348</v>
      </c>
      <c r="B35" s="49">
        <v>2210203</v>
      </c>
    </row>
    <row r="36" spans="1:2">
      <c r="A36" s="51" t="s">
        <v>413</v>
      </c>
      <c r="B36" s="49">
        <v>2296003</v>
      </c>
    </row>
    <row r="37" spans="1:2">
      <c r="A37" s="51" t="s">
        <v>414</v>
      </c>
      <c r="B37" s="49">
        <v>2340201</v>
      </c>
    </row>
    <row r="38" spans="1:2">
      <c r="A38" s="51" t="s">
        <v>359</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55" t="s">
        <v>179</v>
      </c>
      <c r="B10" s="55"/>
      <c r="C10" s="55"/>
      <c r="D10" s="55"/>
      <c r="E10" s="55"/>
      <c r="F10" s="55"/>
      <c r="G10" s="55"/>
      <c r="H10" s="55"/>
      <c r="I10" s="55"/>
      <c r="J10" s="55"/>
      <c r="K10" s="55"/>
      <c r="L10" s="55"/>
      <c r="M10" s="55"/>
      <c r="N10" s="55"/>
    </row>
    <row r="11" spans="1:14" ht="78" customHeight="1">
      <c r="A11" s="56" t="s">
        <v>417</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37" zoomScaleNormal="100" workbookViewId="0">
      <selection activeCell="A48" sqref="A48:D4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166.5" customHeight="1">
      <c r="A4" s="62" t="s">
        <v>419</v>
      </c>
      <c r="B4" s="62"/>
      <c r="C4" s="62"/>
      <c r="D4" s="62"/>
      <c r="E4" s="62"/>
      <c r="F4" s="62"/>
      <c r="G4" s="62"/>
      <c r="H4" s="62"/>
      <c r="I4" s="62"/>
      <c r="J4" s="62"/>
      <c r="K4" s="62"/>
      <c r="L4" s="62"/>
      <c r="M4" s="62"/>
      <c r="N4" s="17"/>
    </row>
    <row r="5" spans="1:14" ht="18" customHeight="1">
      <c r="A5" s="7" t="s">
        <v>183</v>
      </c>
    </row>
    <row r="6" spans="1:14" ht="18" customHeight="1">
      <c r="A6" s="57" t="s">
        <v>249</v>
      </c>
      <c r="B6" s="57"/>
      <c r="C6" s="10">
        <v>158</v>
      </c>
      <c r="D6" s="10" t="s">
        <v>251</v>
      </c>
      <c r="E6" s="8">
        <f>_xlfn.IFNA(VLOOKUP(封面!B1,'2020决算导出'!A:C,3,FALSE),"")</f>
        <v>151</v>
      </c>
      <c r="F6" s="10" t="s">
        <v>252</v>
      </c>
      <c r="G6" s="10"/>
      <c r="H6" s="10"/>
      <c r="I6" s="10"/>
      <c r="J6" s="10"/>
      <c r="K6" s="10"/>
      <c r="L6" s="10"/>
      <c r="M6" s="10"/>
      <c r="N6" s="10"/>
    </row>
    <row r="7" spans="1:14" ht="18" customHeight="1">
      <c r="A7" s="6" t="s">
        <v>184</v>
      </c>
    </row>
    <row r="8" spans="1:14" ht="18" customHeight="1">
      <c r="A8" s="57" t="s">
        <v>185</v>
      </c>
      <c r="B8" s="57"/>
      <c r="C8" s="57"/>
      <c r="D8" s="13">
        <f>_xlfn.IFNA(VLOOKUP(封面!B1,'2020决算导出'!A:D,4,FALSE),"")</f>
        <v>58807722.960000001</v>
      </c>
      <c r="E8" s="7" t="s">
        <v>187</v>
      </c>
      <c r="F8" s="18" t="s">
        <v>253</v>
      </c>
      <c r="G8" s="28" t="str">
        <f>IF(ISNA(VLOOKUP(封面!B1,'2019决算导出'!A:C,3,FALSE)),"",IF(D8-VLOOKUP(封面!B1,'2019决算导出'!A:C,3,FALSE)&gt;0,"增加","减少"))</f>
        <v>减少</v>
      </c>
      <c r="H8" s="31">
        <f>IF(ISNA(VLOOKUP(封面!B1,'2019决算导出'!A:C,3,FALSE)),"",IF(D8-VLOOKUP(封面!B1,'2019决算导出'!A:C,3,FALSE)&gt;0,D8-VLOOKUP(封面!B1,'2019决算导出'!A:C,3,FALSE),VLOOKUP(封面!B1,'2019决算导出'!A:C,3,FALSE)-D8))</f>
        <v>2581510.799999997</v>
      </c>
      <c r="I8" s="15" t="s">
        <v>187</v>
      </c>
      <c r="J8" s="28" t="str">
        <f>IF(ISNA(VLOOKUP(封面!B1,'2019决算导出'!A:C,3,FALSE)),"",IF(D8-VLOOKUP(封面!B1,'2019决算导出'!A:C,3,FALSE)&gt;0,"增长","下降"))</f>
        <v>下降</v>
      </c>
      <c r="K8" s="29">
        <f>IF(ISNA(VLOOKUP(封面!B1,'2019决算导出'!A:C,3,FALSE)),"",H8/VLOOKUP(封面!B1,'2019决算导出'!A:C,3,FALSE))</f>
        <v>4.2051523400542232E-2</v>
      </c>
      <c r="L8" s="7" t="s">
        <v>317</v>
      </c>
    </row>
    <row r="9" spans="1:14" ht="18" customHeight="1">
      <c r="A9" s="7" t="s">
        <v>188</v>
      </c>
      <c r="G9" s="30"/>
      <c r="H9" s="30"/>
      <c r="I9" s="30"/>
      <c r="J9" s="30"/>
      <c r="K9" s="30"/>
    </row>
    <row r="10" spans="1:14" ht="18" customHeight="1">
      <c r="A10" s="57" t="s">
        <v>189</v>
      </c>
      <c r="B10" s="57"/>
      <c r="C10" s="57"/>
      <c r="D10" s="13">
        <f>_xlfn.IFNA(VLOOKUP(封面!B1,'2020决算导出'!A:E,5,FALSE),"")</f>
        <v>58749337.960000001</v>
      </c>
      <c r="E10" s="7" t="s">
        <v>187</v>
      </c>
      <c r="F10" s="18" t="s">
        <v>253</v>
      </c>
      <c r="G10" s="28" t="str">
        <f>IF(ISNA(VLOOKUP(封面!B1,'2019决算导出'!A:D,4,FALSE)),"",IF(D10-VLOOKUP(封面!B1,'2019决算导出'!A:D,4,FALSE)&gt;0,"增加","减少"))</f>
        <v>减少</v>
      </c>
      <c r="H10" s="31">
        <f>IF(ISNA(VLOOKUP(封面!B1,'2019决算导出'!A:D,4,FALSE)),"",IF(D10-VLOOKUP(封面!B1,'2019决算导出'!A:D,4,FALSE)&gt;0,D10-VLOOKUP(封面!B1,'2019决算导出'!A:D,4,FALSE),VLOOKUP(封面!B1,'2019决算导出'!A:D,4,FALSE)-D10))</f>
        <v>2639895.799999997</v>
      </c>
      <c r="I10" s="15" t="s">
        <v>187</v>
      </c>
      <c r="J10" s="28" t="str">
        <f>IF(ISNA(VLOOKUP(封面!B1,'2019决算导出'!A:D,4,FALSE)),"",IF(D10-VLOOKUP(封面!B1,'2019决算导出'!A:D,4,FALSE)&gt;0,"增长","下降"))</f>
        <v>下降</v>
      </c>
      <c r="K10" s="29">
        <f>IF(ISNA(VLOOKUP(封面!B1,'2019决算导出'!A:D,4,FALSE)),"",H10/VLOOKUP(封面!B1,'2019决算导出'!A:D,4,FALSE))</f>
        <v>4.3002585930956849E-2</v>
      </c>
      <c r="L10" s="7" t="s">
        <v>318</v>
      </c>
    </row>
    <row r="11" spans="1:14" ht="18" customHeight="1">
      <c r="A11" s="57" t="s">
        <v>190</v>
      </c>
      <c r="B11" s="57"/>
      <c r="C11" s="57"/>
      <c r="D11" s="13">
        <f>_xlfn.IFNA(VLOOKUP(封面!B1,'2020决算导出'!A:F,6,FALSE),"")</f>
        <v>58749337.960000001</v>
      </c>
      <c r="E11" s="7" t="s">
        <v>187</v>
      </c>
      <c r="F11" s="57" t="s">
        <v>191</v>
      </c>
      <c r="G11" s="57"/>
      <c r="H11" s="27">
        <f>D11/$D$10</f>
        <v>1</v>
      </c>
      <c r="I11" s="7" t="s">
        <v>319</v>
      </c>
    </row>
    <row r="12" spans="1:14" ht="18" customHeight="1">
      <c r="A12" s="7" t="s">
        <v>192</v>
      </c>
    </row>
    <row r="13" spans="1:14" ht="18" customHeight="1">
      <c r="A13" s="57" t="s">
        <v>193</v>
      </c>
      <c r="B13" s="57"/>
      <c r="C13" s="57"/>
      <c r="D13" s="13">
        <f>_xlfn.IFNA(VLOOKUP(封面!B1,'2020决算导出'!A:K,11,FALSE),"")</f>
        <v>58807722.960000001</v>
      </c>
      <c r="E13" s="7" t="s">
        <v>187</v>
      </c>
      <c r="F13" s="18" t="s">
        <v>253</v>
      </c>
      <c r="G13" s="28" t="str">
        <f>IF(ISNA(VLOOKUP(封面!B1,'2019决算导出'!A:E,5,FALSE)),"",IF(D13-VLOOKUP(封面!B1,'2019决算导出'!A:E,5,FALSE)&gt;0,"增加","减少"))</f>
        <v>减少</v>
      </c>
      <c r="H13" s="31">
        <f>IF(ISNA(VLOOKUP(封面!B1,'2019决算导出'!A:E,5,FALSE)),"",IF(D13-VLOOKUP(封面!B1,'2019决算导出'!A:E,5,FALSE)&gt;0,D13-VLOOKUP(封面!B1,'2019决算导出'!A:E,5,FALSE),VLOOKUP(封面!B1,'2019决算导出'!A:E,5,FALSE)-D13))</f>
        <v>2521504.299999997</v>
      </c>
      <c r="I13" s="7" t="s">
        <v>187</v>
      </c>
      <c r="J13" s="28" t="str">
        <f>IF(ISNA(VLOOKUP(封面!B1,'2019决算导出'!A:E,5,FALSE)),"",IF(D13-VLOOKUP(封面!B1,'2019决算导出'!A:E,5,FALSE)&gt;0,"增长","下降"))</f>
        <v>下降</v>
      </c>
      <c r="K13" s="29">
        <f>IF(ISNA(VLOOKUP(封面!B1,'2019决算导出'!A:E,5,FALSE)),"",H13/VLOOKUP(封面!B1,'2019决算导出'!A:E,5,FALSE))</f>
        <v>4.1114235620649447E-2</v>
      </c>
      <c r="L13" s="7" t="s">
        <v>321</v>
      </c>
    </row>
    <row r="14" spans="1:14" ht="18" customHeight="1">
      <c r="A14" s="57" t="s">
        <v>194</v>
      </c>
      <c r="B14" s="57"/>
      <c r="C14" s="57"/>
      <c r="D14" s="13">
        <f>_xlfn.IFNA(VLOOKUP(封面!B1,'2020决算导出'!A:L,12,FALSE),"")</f>
        <v>54940811.340000004</v>
      </c>
      <c r="E14" s="7" t="s">
        <v>187</v>
      </c>
      <c r="F14" s="57" t="s">
        <v>195</v>
      </c>
      <c r="G14" s="57"/>
      <c r="H14" s="27">
        <f>D14/$D$13</f>
        <v>0.93424483341022735</v>
      </c>
      <c r="I14" s="7" t="s">
        <v>319</v>
      </c>
    </row>
    <row r="15" spans="1:14" ht="18" customHeight="1">
      <c r="A15" s="57" t="s">
        <v>196</v>
      </c>
      <c r="B15" s="57"/>
      <c r="C15" s="57"/>
      <c r="D15" s="13">
        <f>_xlfn.IFNA(VLOOKUP(封面!B1,'2020决算导出'!A:M,13,FALSE),"")</f>
        <v>3866911.62</v>
      </c>
      <c r="E15" s="7" t="s">
        <v>187</v>
      </c>
      <c r="F15" s="57" t="s">
        <v>195</v>
      </c>
      <c r="G15" s="57"/>
      <c r="H15" s="27">
        <f t="shared" ref="H15" si="0">D15/$D$13</f>
        <v>6.5755166589772679E-2</v>
      </c>
      <c r="I15" s="7" t="s">
        <v>319</v>
      </c>
    </row>
    <row r="16" spans="1:14" ht="18" customHeight="1">
      <c r="A16" s="6" t="s">
        <v>197</v>
      </c>
    </row>
    <row r="17" spans="1:13" ht="18" customHeight="1">
      <c r="A17" s="57" t="s">
        <v>198</v>
      </c>
      <c r="B17" s="57"/>
      <c r="C17" s="57"/>
      <c r="D17" s="57"/>
      <c r="E17" s="59">
        <f>_xlfn.IFNA(VLOOKUP(封面!B1,'2020决算导出'!A:O,15,FALSE),"")</f>
        <v>58807722.960000001</v>
      </c>
      <c r="F17" s="59"/>
      <c r="G17" s="14" t="s">
        <v>253</v>
      </c>
      <c r="H17" s="28" t="str">
        <f>IF(ISNA(VLOOKUP(封面!B1,'2019决算导出'!A:F,6,FALSE)),"",IF(E17-VLOOKUP(封面!B1,'2019决算导出'!A:F,6,FALSE)&gt;0,"增加","减少"))</f>
        <v>减少</v>
      </c>
      <c r="I17" s="31">
        <f>IF(ISNA(VLOOKUP(封面!B1,'2019决算导出'!A:F,6,FALSE)),"",IF(E17-VLOOKUP(封面!B1,'2019决算导出'!A:F,6,FALSE)&gt;0,E17-VLOOKUP(封面!B1,'2019决算导出'!A:F,6,FALSE),VLOOKUP(封面!B1,'2019决算导出'!A:F,6,FALSE)-E17))</f>
        <v>2581510.799999997</v>
      </c>
      <c r="J17" s="7" t="s">
        <v>187</v>
      </c>
      <c r="K17" s="28" t="str">
        <f>IF(ISNA(VLOOKUP(封面!B1,'2019决算导出'!A:F,6,FALSE)),"",IF(E17-VLOOKUP(封面!B1,'2019决算导出'!A:F,6,FALSE)&gt;0,"增长","下降"))</f>
        <v>下降</v>
      </c>
      <c r="L17" s="29">
        <f>IF(ISNA(VLOOKUP(封面!B1,'2019决算导出'!A:F,6,FALSE)),"",I17/VLOOKUP(封面!B1,'2019决算导出'!A:F,6,FALSE))</f>
        <v>4.2051523400542232E-2</v>
      </c>
      <c r="M17" s="7" t="s">
        <v>317</v>
      </c>
    </row>
    <row r="18" spans="1:13" ht="148.5" customHeight="1">
      <c r="B18" s="58" t="s">
        <v>420</v>
      </c>
      <c r="C18" s="58"/>
      <c r="D18" s="58"/>
      <c r="E18" s="58"/>
      <c r="F18" s="58"/>
      <c r="G18" s="58"/>
      <c r="H18" s="58"/>
      <c r="I18" s="58"/>
      <c r="J18" s="58"/>
      <c r="K18" s="58"/>
      <c r="L18" s="58"/>
      <c r="M18" s="58"/>
    </row>
    <row r="19" spans="1:13" ht="18" customHeight="1">
      <c r="A19" s="6" t="s">
        <v>199</v>
      </c>
    </row>
    <row r="20" spans="1:13" ht="18" customHeight="1">
      <c r="A20" s="7" t="s">
        <v>200</v>
      </c>
    </row>
    <row r="21" spans="1:13" ht="18" customHeight="1">
      <c r="A21" s="57" t="s">
        <v>201</v>
      </c>
      <c r="B21" s="57"/>
      <c r="C21" s="57"/>
      <c r="D21" s="57"/>
      <c r="E21" s="57"/>
      <c r="F21" s="59">
        <f>_xlfn.IFNA(VLOOKUP(封面!B1,'2020决算导出'!A:P,16,FALSE),"")</f>
        <v>58807722.960000001</v>
      </c>
      <c r="G21" s="59"/>
      <c r="H21" s="7" t="s">
        <v>187</v>
      </c>
      <c r="I21" s="10" t="s">
        <v>202</v>
      </c>
      <c r="J21" s="10"/>
      <c r="K21" s="10"/>
      <c r="L21" s="10"/>
      <c r="M21" s="10"/>
    </row>
    <row r="22" spans="1:13" ht="18" customHeight="1">
      <c r="A22" s="57" t="s">
        <v>205</v>
      </c>
      <c r="B22" s="57"/>
      <c r="C22" s="57"/>
      <c r="D22" s="59">
        <f>_xlfn.IFNA(VLOOKUP(封面!B1,'2020决算导出'!A:Q,17,FALSE),"")</f>
        <v>42563197.68</v>
      </c>
      <c r="E22" s="59"/>
      <c r="F22" s="7" t="s">
        <v>187</v>
      </c>
      <c r="G22" s="60" t="s">
        <v>204</v>
      </c>
      <c r="H22" s="60"/>
      <c r="I22" s="27">
        <f>D22/$F$21</f>
        <v>0.72376884425453358</v>
      </c>
      <c r="J22" s="7" t="s">
        <v>319</v>
      </c>
      <c r="K22" s="9"/>
      <c r="L22" s="9"/>
      <c r="M22" s="9"/>
    </row>
    <row r="23" spans="1:13" ht="18" customHeight="1">
      <c r="A23" s="57" t="s">
        <v>203</v>
      </c>
      <c r="B23" s="57"/>
      <c r="C23" s="57"/>
      <c r="D23" s="59">
        <f>_xlfn.IFNA(VLOOKUP(封面!B1,'2020决算导出'!A:S,19,FALSE),"")</f>
        <v>6165621.6200000001</v>
      </c>
      <c r="E23" s="59"/>
      <c r="F23" s="7" t="s">
        <v>187</v>
      </c>
      <c r="G23" s="60" t="s">
        <v>204</v>
      </c>
      <c r="H23" s="60"/>
      <c r="I23" s="27">
        <f t="shared" ref="I23:I25" si="1">D23/$F$21</f>
        <v>0.10484374006784364</v>
      </c>
      <c r="J23" s="7" t="s">
        <v>319</v>
      </c>
    </row>
    <row r="24" spans="1:13" ht="18" customHeight="1">
      <c r="A24" s="57" t="s">
        <v>206</v>
      </c>
      <c r="B24" s="57"/>
      <c r="C24" s="57"/>
      <c r="D24" s="59">
        <f>_xlfn.IFNA(VLOOKUP(封面!B1,'2020决算导出'!A:T,20,FALSE),"")</f>
        <v>3013071.66</v>
      </c>
      <c r="E24" s="59"/>
      <c r="F24" s="7" t="s">
        <v>187</v>
      </c>
      <c r="G24" s="60" t="s">
        <v>204</v>
      </c>
      <c r="H24" s="60"/>
      <c r="I24" s="27">
        <f t="shared" si="1"/>
        <v>5.1235985825355615E-2</v>
      </c>
      <c r="J24" s="7" t="s">
        <v>319</v>
      </c>
    </row>
    <row r="25" spans="1:13" ht="18" customHeight="1">
      <c r="A25" s="57" t="s">
        <v>207</v>
      </c>
      <c r="B25" s="57"/>
      <c r="C25" s="57"/>
      <c r="D25" s="59">
        <f>_xlfn.IFNA(VLOOKUP(封面!B1,'2020决算导出'!A:W,23,FALSE),"")</f>
        <v>7065832</v>
      </c>
      <c r="E25" s="59"/>
      <c r="F25" s="7" t="s">
        <v>187</v>
      </c>
      <c r="G25" s="60" t="s">
        <v>204</v>
      </c>
      <c r="H25" s="60"/>
      <c r="I25" s="27">
        <f t="shared" si="1"/>
        <v>0.12015142985226715</v>
      </c>
      <c r="J25" s="7" t="s">
        <v>320</v>
      </c>
    </row>
    <row r="26" spans="1:13" ht="18" customHeight="1">
      <c r="A26" s="7" t="s">
        <v>208</v>
      </c>
    </row>
    <row r="27" spans="1:13" ht="18" customHeight="1">
      <c r="A27" s="61" t="s">
        <v>418</v>
      </c>
      <c r="B27" s="61"/>
      <c r="C27" s="61"/>
      <c r="D27" s="61"/>
      <c r="E27" s="59">
        <f>_xlfn.IFNA(VLOOKUP(封面!B1,一般公共预算财政拨款支出决算具体情况!A:C,3,FALSE),"")</f>
        <v>42563197.68</v>
      </c>
      <c r="F27" s="59"/>
      <c r="G27" s="7" t="s">
        <v>187</v>
      </c>
      <c r="H27" s="60" t="s">
        <v>209</v>
      </c>
      <c r="I27" s="60"/>
      <c r="J27" s="59">
        <f>_xlfn.IFNA(VLOOKUP(封面!B1,一般公共预算财政拨款支出决算具体情况!A:D,4,FALSE),"")</f>
        <v>38285653.520000003</v>
      </c>
      <c r="K27" s="59"/>
      <c r="L27" s="11" t="s">
        <v>186</v>
      </c>
    </row>
    <row r="28" spans="1:13" ht="18" customHeight="1">
      <c r="B28" s="14" t="str">
        <f>IF(E27&gt;J27,"增加","减少")</f>
        <v>增加</v>
      </c>
      <c r="C28" s="59">
        <f>ABS(E27-J27)</f>
        <v>4277544.1599999964</v>
      </c>
      <c r="D28" s="59"/>
      <c r="E28" s="7" t="s">
        <v>187</v>
      </c>
      <c r="F28" s="14" t="str">
        <f>IF(E27&gt;J27,"增长","下降")</f>
        <v>增长</v>
      </c>
      <c r="G28" s="32">
        <f>C28/J27</f>
        <v>0.11172707703070693</v>
      </c>
      <c r="H28" s="7" t="s">
        <v>320</v>
      </c>
      <c r="I28" s="11" t="s">
        <v>210</v>
      </c>
    </row>
    <row r="29" spans="1:13" ht="18" customHeight="1">
      <c r="A29" s="57" t="s">
        <v>211</v>
      </c>
      <c r="B29" s="57"/>
      <c r="C29" s="57"/>
      <c r="D29" s="57"/>
      <c r="E29" s="59">
        <f>_xlfn.IFNA(VLOOKUP(封面!B1,一般公共预算财政拨款支出决算具体情况!A:E,5,FALSE),"")</f>
        <v>41038613.020000003</v>
      </c>
      <c r="F29" s="59"/>
      <c r="G29" s="7" t="s">
        <v>187</v>
      </c>
      <c r="H29" s="60" t="s">
        <v>209</v>
      </c>
      <c r="I29" s="60"/>
      <c r="J29" s="59">
        <f>_xlfn.IFNA(VLOOKUP(封面!B1,一般公共预算财政拨款支出决算具体情况!A:F,6,FALSE),"")</f>
        <v>36662253.520000003</v>
      </c>
      <c r="K29" s="59"/>
      <c r="L29" s="11" t="s">
        <v>186</v>
      </c>
    </row>
    <row r="30" spans="1:13" ht="18" customHeight="1">
      <c r="A30" s="14"/>
      <c r="B30" s="14" t="str">
        <f>IF(E29&gt;J29,"增加","减少")</f>
        <v>增加</v>
      </c>
      <c r="C30" s="59">
        <f>ABS(E29-J29)</f>
        <v>4376359.5</v>
      </c>
      <c r="D30" s="59"/>
      <c r="E30" s="7" t="s">
        <v>187</v>
      </c>
      <c r="F30" s="14" t="str">
        <f>IF(E29&gt;J29,"增长","下降")</f>
        <v>增长</v>
      </c>
      <c r="G30" s="32">
        <f>C30/J29</f>
        <v>0.11936962624549544</v>
      </c>
      <c r="H30" s="7" t="s">
        <v>320</v>
      </c>
    </row>
    <row r="31" spans="1:13" ht="36" customHeight="1">
      <c r="B31" s="62" t="s">
        <v>421</v>
      </c>
      <c r="C31" s="62"/>
      <c r="D31" s="62"/>
      <c r="E31" s="62"/>
      <c r="F31" s="62"/>
      <c r="G31" s="62"/>
      <c r="H31" s="62"/>
      <c r="I31" s="62"/>
      <c r="J31" s="62"/>
      <c r="K31" s="62"/>
      <c r="L31" s="62"/>
    </row>
    <row r="32" spans="1:13" ht="18" customHeight="1">
      <c r="A32" s="57" t="s">
        <v>212</v>
      </c>
      <c r="B32" s="57"/>
      <c r="C32" s="57"/>
      <c r="D32" s="57"/>
      <c r="E32" s="59">
        <f>_xlfn.IFNA(VLOOKUP(封面!B1,一般公共预算财政拨款支出决算具体情况!A:M,13,FALSE),"")</f>
        <v>25552</v>
      </c>
      <c r="F32" s="59"/>
      <c r="G32" s="7" t="s">
        <v>187</v>
      </c>
      <c r="H32" s="60" t="s">
        <v>209</v>
      </c>
      <c r="I32" s="60"/>
      <c r="J32" s="59">
        <f>_xlfn.IFNA(VLOOKUP(封面!B1,一般公共预算财政拨款支出决算具体情况!A:N,14,FALSE),"")</f>
        <v>118400</v>
      </c>
      <c r="K32" s="59"/>
      <c r="L32" s="11" t="s">
        <v>186</v>
      </c>
    </row>
    <row r="33" spans="1:12" ht="18" customHeight="1">
      <c r="A33" s="14"/>
      <c r="B33" s="14" t="str">
        <f>IF(E32&gt;J32,"增加","减少")</f>
        <v>减少</v>
      </c>
      <c r="C33" s="59">
        <f>ABS(E32-J32)</f>
        <v>92848</v>
      </c>
      <c r="D33" s="59"/>
      <c r="E33" s="7" t="s">
        <v>187</v>
      </c>
      <c r="F33" s="14" t="str">
        <f>IF(E32&gt;J32,"增长","下降")</f>
        <v>下降</v>
      </c>
      <c r="G33" s="32">
        <f>C33/J32</f>
        <v>0.78418918918918923</v>
      </c>
      <c r="H33" s="7" t="s">
        <v>320</v>
      </c>
    </row>
    <row r="34" spans="1:12" ht="36" customHeight="1">
      <c r="B34" s="62" t="s">
        <v>422</v>
      </c>
      <c r="C34" s="62"/>
      <c r="D34" s="62"/>
      <c r="E34" s="62"/>
      <c r="F34" s="62"/>
      <c r="G34" s="62"/>
      <c r="H34" s="62"/>
      <c r="I34" s="62"/>
      <c r="J34" s="62"/>
      <c r="K34" s="62"/>
      <c r="L34" s="62"/>
    </row>
    <row r="35" spans="1:12" ht="18" customHeight="1">
      <c r="A35" s="64" t="s">
        <v>213</v>
      </c>
      <c r="B35" s="64"/>
      <c r="C35" s="64"/>
      <c r="D35" s="64"/>
      <c r="E35" s="59">
        <f>_xlfn.IFNA(VLOOKUP(封面!B1,一般公共预算财政拨款支出决算具体情况!A:O,15,FALSE),"")</f>
        <v>1499032.66</v>
      </c>
      <c r="F35" s="59"/>
      <c r="G35" s="7" t="s">
        <v>187</v>
      </c>
      <c r="H35" s="60" t="s">
        <v>209</v>
      </c>
      <c r="I35" s="60"/>
      <c r="J35" s="59">
        <f>_xlfn.IFNA(VLOOKUP(封面!B1,一般公共预算财政拨款支出决算具体情况!A:P,16,FALSE),"")</f>
        <v>1505000</v>
      </c>
      <c r="K35" s="59"/>
      <c r="L35" s="11" t="s">
        <v>186</v>
      </c>
    </row>
    <row r="36" spans="1:12" ht="18" customHeight="1">
      <c r="A36" s="14"/>
      <c r="B36" s="14" t="str">
        <f>IF(E35&gt;J35,"增加","减少")</f>
        <v>减少</v>
      </c>
      <c r="C36" s="59">
        <f>ABS(E35-J35)</f>
        <v>5967.3400000000838</v>
      </c>
      <c r="D36" s="59"/>
      <c r="E36" s="7" t="s">
        <v>187</v>
      </c>
      <c r="F36" s="14" t="str">
        <f>IF(E35&gt;J35,"增长","下降")</f>
        <v>下降</v>
      </c>
      <c r="G36" s="32">
        <f>C36/J35</f>
        <v>3.9650099667774647E-3</v>
      </c>
      <c r="H36" s="7" t="s">
        <v>320</v>
      </c>
    </row>
    <row r="37" spans="1:12" ht="36" customHeight="1">
      <c r="B37" s="62" t="s">
        <v>423</v>
      </c>
      <c r="C37" s="62"/>
      <c r="D37" s="62"/>
      <c r="E37" s="62"/>
      <c r="F37" s="62"/>
      <c r="G37" s="62"/>
      <c r="H37" s="62"/>
      <c r="I37" s="62"/>
      <c r="J37" s="62"/>
      <c r="K37" s="62"/>
      <c r="L37" s="62"/>
    </row>
    <row r="38" spans="1:12" ht="18" customHeight="1">
      <c r="A38" s="63" t="s">
        <v>428</v>
      </c>
      <c r="B38" s="63"/>
      <c r="C38" s="63"/>
      <c r="D38" s="63"/>
      <c r="E38" s="59">
        <f>_xlfn.IFNA(VLOOKUP(封面!B1,一般公共预算财政拨款支出决算具体情况!A:U,21,FALSE),"")</f>
        <v>6165621.6200000001</v>
      </c>
      <c r="F38" s="59"/>
      <c r="G38" s="7" t="s">
        <v>187</v>
      </c>
      <c r="H38" s="60" t="s">
        <v>209</v>
      </c>
      <c r="I38" s="60"/>
      <c r="J38" s="59">
        <f>_xlfn.IFNA(VLOOKUP(封面!B1,一般公共预算财政拨款支出决算具体情况!A:V,22,FALSE),"")</f>
        <v>6229416.3999999994</v>
      </c>
      <c r="K38" s="59"/>
      <c r="L38" s="11" t="s">
        <v>186</v>
      </c>
    </row>
    <row r="39" spans="1:12" ht="18" customHeight="1">
      <c r="B39" s="14" t="str">
        <f>IF(E38&gt;J38,"增加","减少")</f>
        <v>减少</v>
      </c>
      <c r="C39" s="59">
        <f>ABS(E38-J38)</f>
        <v>63794.779999999329</v>
      </c>
      <c r="D39" s="59"/>
      <c r="E39" s="7" t="s">
        <v>187</v>
      </c>
      <c r="F39" s="14" t="str">
        <f>IF(E38&gt;J38,"增长","下降")</f>
        <v>下降</v>
      </c>
      <c r="G39" s="32">
        <f>C39/J38</f>
        <v>1.0240891907627067E-2</v>
      </c>
      <c r="H39" s="7" t="s">
        <v>320</v>
      </c>
      <c r="I39" s="11" t="s">
        <v>210</v>
      </c>
    </row>
    <row r="40" spans="1:12" ht="18" customHeight="1">
      <c r="A40" s="64" t="s">
        <v>214</v>
      </c>
      <c r="B40" s="64"/>
      <c r="C40" s="64"/>
      <c r="D40" s="64"/>
      <c r="E40" s="59">
        <f>_xlfn.IFNA(VLOOKUP(封面!B1,一般公共预算财政拨款支出决算具体情况!A:W,23,FALSE),"")</f>
        <v>6165621.6200000001</v>
      </c>
      <c r="F40" s="59"/>
      <c r="G40" s="7" t="s">
        <v>187</v>
      </c>
      <c r="H40" s="60" t="s">
        <v>209</v>
      </c>
      <c r="I40" s="60"/>
      <c r="J40" s="59">
        <f>_xlfn.IFNA(VLOOKUP(封面!B1,一般公共预算财政拨款支出决算具体情况!A:X,24,FALSE),"")</f>
        <v>6229416.3999999994</v>
      </c>
      <c r="K40" s="59"/>
      <c r="L40" s="11" t="s">
        <v>186</v>
      </c>
    </row>
    <row r="41" spans="1:12" ht="18" customHeight="1">
      <c r="A41" s="14"/>
      <c r="B41" s="14" t="str">
        <f>IF(E40&gt;J40,"增加","减少")</f>
        <v>减少</v>
      </c>
      <c r="C41" s="59">
        <f>ABS(E40-J40)</f>
        <v>63794.779999999329</v>
      </c>
      <c r="D41" s="59"/>
      <c r="E41" s="7" t="s">
        <v>187</v>
      </c>
      <c r="F41" s="14" t="str">
        <f>IF(E40&gt;J40,"增长","下降")</f>
        <v>下降</v>
      </c>
      <c r="G41" s="32">
        <f>C41/J40</f>
        <v>1.0240891907627067E-2</v>
      </c>
      <c r="H41" s="7" t="s">
        <v>320</v>
      </c>
    </row>
    <row r="42" spans="1:12" ht="36" customHeight="1">
      <c r="B42" s="62" t="s">
        <v>424</v>
      </c>
      <c r="C42" s="62"/>
      <c r="D42" s="62"/>
      <c r="E42" s="62"/>
      <c r="F42" s="62"/>
      <c r="G42" s="62"/>
      <c r="H42" s="62"/>
      <c r="I42" s="62"/>
      <c r="J42" s="62"/>
      <c r="K42" s="62"/>
      <c r="L42" s="62"/>
    </row>
    <row r="43" spans="1:12" ht="18" customHeight="1">
      <c r="A43" s="63" t="s">
        <v>429</v>
      </c>
      <c r="B43" s="63"/>
      <c r="C43" s="63"/>
      <c r="D43" s="63"/>
      <c r="E43" s="59">
        <f>_xlfn.IFNA(VLOOKUP(封面!B1,一般公共预算财政拨款支出决算具体情况!A:AA,27,FALSE),"")</f>
        <v>3013071.66</v>
      </c>
      <c r="F43" s="59"/>
      <c r="G43" s="7" t="s">
        <v>187</v>
      </c>
      <c r="H43" s="60" t="s">
        <v>209</v>
      </c>
      <c r="I43" s="60"/>
      <c r="J43" s="59">
        <f>_xlfn.IFNA(VLOOKUP(封面!B1,一般公共预算财政拨款支出决算具体情况!A:AB,28,FALSE),"")</f>
        <v>2648635.2999999998</v>
      </c>
      <c r="K43" s="59"/>
      <c r="L43" s="11" t="s">
        <v>186</v>
      </c>
    </row>
    <row r="44" spans="1:12" ht="18" customHeight="1">
      <c r="B44" s="14" t="str">
        <f>IF(E43&gt;J43,"增加","减少")</f>
        <v>增加</v>
      </c>
      <c r="C44" s="59">
        <f>ABS(E43-J43)</f>
        <v>364436.36000000034</v>
      </c>
      <c r="D44" s="59"/>
      <c r="E44" s="7" t="s">
        <v>187</v>
      </c>
      <c r="F44" s="14" t="str">
        <f>IF(E43&gt;J43,"增长","下降")</f>
        <v>增长</v>
      </c>
      <c r="G44" s="32">
        <f>C44/J43</f>
        <v>0.13759401303758217</v>
      </c>
      <c r="H44" s="7" t="s">
        <v>320</v>
      </c>
      <c r="I44" s="11" t="s">
        <v>210</v>
      </c>
    </row>
    <row r="45" spans="1:12" ht="18" customHeight="1">
      <c r="A45" s="64" t="s">
        <v>215</v>
      </c>
      <c r="B45" s="64"/>
      <c r="C45" s="64"/>
      <c r="D45" s="64"/>
      <c r="E45" s="59">
        <f>_xlfn.IFNA(VLOOKUP(封面!B1,一般公共预算财政拨款支出决算具体情况!A:AC,29,FALSE),"")</f>
        <v>3013071.66</v>
      </c>
      <c r="F45" s="59"/>
      <c r="G45" s="7" t="s">
        <v>187</v>
      </c>
      <c r="H45" s="60" t="s">
        <v>209</v>
      </c>
      <c r="I45" s="60"/>
      <c r="J45" s="59">
        <f>_xlfn.IFNA(VLOOKUP(封面!B1,一般公共预算财政拨款支出决算具体情况!A:AD,30,FALSE),"")</f>
        <v>2648635.2999999998</v>
      </c>
      <c r="K45" s="59"/>
      <c r="L45" s="11" t="s">
        <v>186</v>
      </c>
    </row>
    <row r="46" spans="1:12" ht="18" customHeight="1">
      <c r="A46" s="14"/>
      <c r="B46" s="14" t="str">
        <f>IF(E45&gt;J45,"增加","减少")</f>
        <v>增加</v>
      </c>
      <c r="C46" s="59">
        <f>ABS(E45-J45)</f>
        <v>364436.36000000034</v>
      </c>
      <c r="D46" s="59"/>
      <c r="E46" s="7" t="s">
        <v>187</v>
      </c>
      <c r="F46" s="14" t="str">
        <f>IF(E45&gt;J45,"增长","下降")</f>
        <v>增长</v>
      </c>
      <c r="G46" s="32">
        <f>C46/J45</f>
        <v>0.13759401303758217</v>
      </c>
      <c r="H46" s="7" t="s">
        <v>320</v>
      </c>
    </row>
    <row r="47" spans="1:12" ht="36" customHeight="1">
      <c r="B47" s="62" t="s">
        <v>425</v>
      </c>
      <c r="C47" s="62"/>
      <c r="D47" s="62"/>
      <c r="E47" s="62"/>
      <c r="F47" s="62"/>
      <c r="G47" s="62"/>
      <c r="H47" s="62"/>
      <c r="I47" s="62"/>
      <c r="J47" s="62"/>
      <c r="K47" s="62"/>
      <c r="L47" s="62"/>
    </row>
    <row r="48" spans="1:12" ht="18" customHeight="1">
      <c r="A48" s="63" t="s">
        <v>430</v>
      </c>
      <c r="B48" s="63"/>
      <c r="C48" s="63"/>
      <c r="D48" s="63"/>
      <c r="E48" s="59">
        <f>_xlfn.IFNA(VLOOKUP(封面!B1,一般公共预算财政拨款支出决算具体情况!A:AM,39,FALSE),"")</f>
        <v>7065832</v>
      </c>
      <c r="F48" s="59"/>
      <c r="G48" s="7" t="s">
        <v>187</v>
      </c>
      <c r="H48" s="60" t="s">
        <v>209</v>
      </c>
      <c r="I48" s="60"/>
      <c r="J48" s="59">
        <f>_xlfn.IFNA(VLOOKUP(封面!B1,一般公共预算财政拨款支出决算具体情况!A:AN,40,FALSE),"")</f>
        <v>6751222.2000000002</v>
      </c>
      <c r="K48" s="59"/>
      <c r="L48" s="11" t="s">
        <v>186</v>
      </c>
    </row>
    <row r="49" spans="1:13" ht="18" customHeight="1">
      <c r="B49" s="14" t="str">
        <f>IF(E48&gt;J48,"增加","减少")</f>
        <v>增加</v>
      </c>
      <c r="C49" s="59">
        <f>ABS(E48-J48)</f>
        <v>314609.79999999981</v>
      </c>
      <c r="D49" s="59"/>
      <c r="E49" s="7" t="s">
        <v>187</v>
      </c>
      <c r="F49" s="14" t="str">
        <f>IF(E48&gt;J48,"增长","下降")</f>
        <v>增长</v>
      </c>
      <c r="G49" s="32">
        <f>C49/J48</f>
        <v>4.6600421476277257E-2</v>
      </c>
      <c r="H49" s="7" t="s">
        <v>320</v>
      </c>
      <c r="I49" s="11" t="s">
        <v>210</v>
      </c>
    </row>
    <row r="50" spans="1:13" ht="18" customHeight="1">
      <c r="A50" s="64" t="s">
        <v>216</v>
      </c>
      <c r="B50" s="64"/>
      <c r="C50" s="64"/>
      <c r="D50" s="64"/>
      <c r="E50" s="59">
        <f>_xlfn.IFNA(VLOOKUP(封面!B1,一般公共预算财政拨款支出决算具体情况!A:AO,41,FALSE),"")</f>
        <v>7065832</v>
      </c>
      <c r="F50" s="59"/>
      <c r="G50" s="7" t="s">
        <v>187</v>
      </c>
      <c r="H50" s="60" t="s">
        <v>209</v>
      </c>
      <c r="I50" s="60"/>
      <c r="J50" s="59">
        <f>_xlfn.IFNA(VLOOKUP(封面!B1,一般公共预算财政拨款支出决算具体情况!A:AP,42,FALSE),"")</f>
        <v>6751222.2000000002</v>
      </c>
      <c r="K50" s="59"/>
      <c r="L50" s="11" t="s">
        <v>186</v>
      </c>
    </row>
    <row r="51" spans="1:13" ht="18" customHeight="1">
      <c r="A51" s="14"/>
      <c r="B51" s="14" t="str">
        <f>IF(E50&gt;J50,"增加","减少")</f>
        <v>增加</v>
      </c>
      <c r="C51" s="59">
        <f>ABS(E50-J50)</f>
        <v>314609.79999999981</v>
      </c>
      <c r="D51" s="59"/>
      <c r="E51" s="7" t="s">
        <v>187</v>
      </c>
      <c r="F51" s="14" t="str">
        <f>IF(E50&gt;J50,"增长","下降")</f>
        <v>增长</v>
      </c>
      <c r="G51" s="32">
        <f>C51/J50</f>
        <v>4.6600421476277257E-2</v>
      </c>
      <c r="H51" s="7" t="s">
        <v>320</v>
      </c>
    </row>
    <row r="52" spans="1:13" ht="36" customHeight="1">
      <c r="B52" s="62" t="s">
        <v>426</v>
      </c>
      <c r="C52" s="62"/>
      <c r="D52" s="62"/>
      <c r="E52" s="62"/>
      <c r="F52" s="62"/>
      <c r="G52" s="62"/>
      <c r="H52" s="62"/>
      <c r="I52" s="62"/>
      <c r="J52" s="62"/>
      <c r="K52" s="62"/>
      <c r="L52" s="62"/>
    </row>
    <row r="53" spans="1:13" ht="18" customHeight="1">
      <c r="A53" s="6" t="s">
        <v>217</v>
      </c>
    </row>
    <row r="54" spans="1:13" ht="18" customHeight="1">
      <c r="A54" s="7" t="str">
        <f>IF(_xlfn.IFNA(VLOOKUP(封面!B1,'2020决算导出'!A:X,24,FALSE),"")=0,"本年度无此项支出。","")</f>
        <v>本年度无此项支出。</v>
      </c>
    </row>
    <row r="55" spans="1:13" ht="18" customHeight="1">
      <c r="A55" s="6" t="s">
        <v>218</v>
      </c>
    </row>
    <row r="56" spans="1:13" ht="18" customHeight="1">
      <c r="A56" s="7" t="s">
        <v>219</v>
      </c>
    </row>
    <row r="57" spans="1:13" ht="18" customHeight="1">
      <c r="A57" s="6" t="s">
        <v>220</v>
      </c>
    </row>
    <row r="58" spans="1:13" ht="18" customHeight="1">
      <c r="A58" s="7" t="s">
        <v>221</v>
      </c>
      <c r="G58" s="59">
        <f>_xlfn.IFNA(VLOOKUP(封面!B1,'2020决算导出'!A:AA,27,FALSE),"")</f>
        <v>54940811.340000004</v>
      </c>
      <c r="H58" s="59"/>
      <c r="I58" s="11" t="s">
        <v>187</v>
      </c>
    </row>
    <row r="59" spans="1:13" ht="130.15" customHeight="1">
      <c r="A59" s="62" t="s">
        <v>222</v>
      </c>
      <c r="B59" s="62"/>
      <c r="C59" s="62"/>
      <c r="D59" s="62"/>
      <c r="E59" s="62"/>
      <c r="F59" s="62"/>
      <c r="G59" s="62"/>
      <c r="H59" s="62"/>
      <c r="I59" s="62"/>
      <c r="J59" s="62"/>
      <c r="K59" s="62"/>
      <c r="L59" s="62"/>
      <c r="M59" s="62"/>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G58:H58"/>
    <mergeCell ref="A59:M59"/>
    <mergeCell ref="A4:M4"/>
    <mergeCell ref="B52:L52"/>
    <mergeCell ref="C49:D49"/>
    <mergeCell ref="A50:D50"/>
    <mergeCell ref="E50:F50"/>
    <mergeCell ref="H50:I50"/>
    <mergeCell ref="J50:K50"/>
    <mergeCell ref="C51:D51"/>
    <mergeCell ref="A48:D48"/>
    <mergeCell ref="E48:F48"/>
    <mergeCell ref="H48:I48"/>
    <mergeCell ref="J48:K48"/>
    <mergeCell ref="A45:D45"/>
    <mergeCell ref="E45:F45"/>
    <mergeCell ref="H45:I45"/>
    <mergeCell ref="J45:K45"/>
    <mergeCell ref="C46:D46"/>
    <mergeCell ref="B47:L47"/>
    <mergeCell ref="A43:D43"/>
    <mergeCell ref="E43:F43"/>
    <mergeCell ref="H43:I43"/>
    <mergeCell ref="J43:K43"/>
    <mergeCell ref="C44:D44"/>
    <mergeCell ref="B42:L42"/>
    <mergeCell ref="A38:D38"/>
    <mergeCell ref="E38:F38"/>
    <mergeCell ref="H38:I38"/>
    <mergeCell ref="J38:K38"/>
    <mergeCell ref="C39:D39"/>
    <mergeCell ref="A40:D40"/>
    <mergeCell ref="E40:F40"/>
    <mergeCell ref="H40:I40"/>
    <mergeCell ref="J40:K40"/>
    <mergeCell ref="C41:D41"/>
    <mergeCell ref="C36:D36"/>
    <mergeCell ref="B37:L37"/>
    <mergeCell ref="C33:D33"/>
    <mergeCell ref="B34:L34"/>
    <mergeCell ref="A35:D35"/>
    <mergeCell ref="E35:F35"/>
    <mergeCell ref="H35:I35"/>
    <mergeCell ref="J35:K35"/>
    <mergeCell ref="B31:L31"/>
    <mergeCell ref="C28:D28"/>
    <mergeCell ref="C30:D30"/>
    <mergeCell ref="A29:D29"/>
    <mergeCell ref="E29:F29"/>
    <mergeCell ref="H29:I29"/>
    <mergeCell ref="J29:K29"/>
    <mergeCell ref="A32:D32"/>
    <mergeCell ref="E32:F32"/>
    <mergeCell ref="H32:I32"/>
    <mergeCell ref="J32:K32"/>
    <mergeCell ref="A27:D27"/>
    <mergeCell ref="E27:F27"/>
    <mergeCell ref="H27:I27"/>
    <mergeCell ref="J27:K27"/>
    <mergeCell ref="A25:C25"/>
    <mergeCell ref="D25:E25"/>
    <mergeCell ref="G25:H25"/>
    <mergeCell ref="G23:H23"/>
    <mergeCell ref="D22:E22"/>
    <mergeCell ref="G22:H22"/>
    <mergeCell ref="A23:C23"/>
    <mergeCell ref="A22:C22"/>
    <mergeCell ref="D23:E23"/>
    <mergeCell ref="A21:E21"/>
    <mergeCell ref="F21:G21"/>
    <mergeCell ref="A15:C15"/>
    <mergeCell ref="F15:G15"/>
    <mergeCell ref="A17:D17"/>
    <mergeCell ref="E17:F17"/>
    <mergeCell ref="A24:C24"/>
    <mergeCell ref="D24:E24"/>
    <mergeCell ref="G24:H24"/>
    <mergeCell ref="A14:C14"/>
    <mergeCell ref="F14:G14"/>
    <mergeCell ref="B18:M18"/>
    <mergeCell ref="A10:C10"/>
    <mergeCell ref="A11:C11"/>
    <mergeCell ref="F11:G11"/>
    <mergeCell ref="A8:C8"/>
    <mergeCell ref="A6:B6"/>
    <mergeCell ref="A13:C13"/>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B14" sqref="B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5" t="s">
        <v>247</v>
      </c>
      <c r="B1" s="55"/>
      <c r="C1" s="55"/>
      <c r="D1" s="55"/>
      <c r="E1" s="55"/>
      <c r="F1" s="55"/>
      <c r="G1" s="55"/>
      <c r="H1" s="55"/>
      <c r="I1" s="55"/>
      <c r="J1" s="55"/>
      <c r="K1" s="55"/>
      <c r="L1" s="55"/>
      <c r="M1" s="55"/>
      <c r="N1" s="55"/>
    </row>
    <row r="2" spans="1:14" ht="18" customHeight="1">
      <c r="A2" s="6" t="s">
        <v>223</v>
      </c>
    </row>
    <row r="3" spans="1:14" ht="18" customHeight="1">
      <c r="A3" s="15" t="str">
        <f>IF(_xlfn.IFNA(VLOOKUP(封面!B1,'2020决算导出'!A:AB,28,FALSE),"")=0,"本年度无此项支出。","")</f>
        <v>本年度无此项支出。</v>
      </c>
    </row>
    <row r="4" spans="1:14" ht="18" customHeight="1">
      <c r="A4" s="6" t="s">
        <v>225</v>
      </c>
    </row>
    <row r="5" spans="1:14" ht="18" customHeight="1">
      <c r="A5" s="7" t="s">
        <v>226</v>
      </c>
    </row>
    <row r="6" spans="1:14" ht="18" customHeight="1">
      <c r="A6" s="6" t="s">
        <v>227</v>
      </c>
    </row>
    <row r="7" spans="1:14" ht="18" customHeight="1">
      <c r="A7" s="57" t="s">
        <v>228</v>
      </c>
      <c r="B7" s="57"/>
      <c r="C7" s="57"/>
      <c r="D7" s="57"/>
      <c r="E7" s="59">
        <f>_xlfn.IFNA(VLOOKUP(封面!B1,'2020决算导出'!A:AW,49,FALSE),"")</f>
        <v>2378832.7999999998</v>
      </c>
      <c r="F7" s="59"/>
      <c r="G7" s="7" t="s">
        <v>187</v>
      </c>
      <c r="H7" s="57" t="s">
        <v>229</v>
      </c>
      <c r="I7" s="57"/>
      <c r="J7" s="57"/>
      <c r="K7" s="57"/>
      <c r="L7" s="59">
        <f>_xlfn.IFNA(VLOOKUP(封面!B1,'2020决算导出'!A:AX,50,FALSE),"")</f>
        <v>903612.8</v>
      </c>
      <c r="M7" s="59" t="s">
        <v>187</v>
      </c>
      <c r="N7" s="7" t="s">
        <v>187</v>
      </c>
    </row>
    <row r="8" spans="1:14" ht="18" customHeight="1">
      <c r="A8" s="57" t="s">
        <v>230</v>
      </c>
      <c r="B8" s="57"/>
      <c r="C8" s="57"/>
      <c r="D8" s="59">
        <f>_xlfn.IFNA(VLOOKUP(封面!B1,'2020决算导出'!A:AY,51,FALSE),"")</f>
        <v>0</v>
      </c>
      <c r="E8" s="59" t="s">
        <v>187</v>
      </c>
      <c r="F8" s="7" t="s">
        <v>187</v>
      </c>
      <c r="G8" s="57" t="s">
        <v>231</v>
      </c>
      <c r="H8" s="57"/>
      <c r="I8" s="57"/>
      <c r="J8" s="59">
        <f>_xlfn.IFNA(VLOOKUP(封面!B1,'2020决算导出'!A:AZ,52,FALSE),"")</f>
        <v>1475220</v>
      </c>
      <c r="K8" s="59" t="s">
        <v>187</v>
      </c>
      <c r="L8" s="7" t="s">
        <v>224</v>
      </c>
    </row>
    <row r="9" spans="1:14" ht="18" customHeight="1">
      <c r="A9" s="57" t="s">
        <v>232</v>
      </c>
      <c r="B9" s="57"/>
      <c r="C9" s="57"/>
      <c r="D9" s="57"/>
      <c r="E9" s="59">
        <f>_xlfn.IFNA(VLOOKUP(封面!B1,'2020决算导出'!A:BA,53,FALSE),"")</f>
        <v>1586772.8</v>
      </c>
      <c r="F9" s="59" t="s">
        <v>187</v>
      </c>
      <c r="G9" s="7" t="s">
        <v>187</v>
      </c>
      <c r="H9" s="60" t="s">
        <v>233</v>
      </c>
      <c r="I9" s="60"/>
      <c r="J9" s="60"/>
      <c r="K9" s="27">
        <f>E9/$E$7</f>
        <v>0.66703838958332851</v>
      </c>
      <c r="L9" s="16" t="s">
        <v>318</v>
      </c>
      <c r="M9" s="7" t="s">
        <v>415</v>
      </c>
    </row>
    <row r="10" spans="1:14" ht="18" customHeight="1">
      <c r="A10" s="57" t="s">
        <v>234</v>
      </c>
      <c r="B10" s="57"/>
      <c r="C10" s="57"/>
      <c r="D10" s="57"/>
      <c r="E10" s="59">
        <f>_xlfn.IFNA(VLOOKUP(封面!B1,'2020决算导出'!A:BB,54,FALSE),"")</f>
        <v>1531752.8</v>
      </c>
      <c r="F10" s="59" t="s">
        <v>187</v>
      </c>
      <c r="G10" s="7" t="s">
        <v>187</v>
      </c>
      <c r="H10" s="60" t="s">
        <v>233</v>
      </c>
      <c r="I10" s="60"/>
      <c r="J10" s="60"/>
      <c r="K10" s="27">
        <f>E10/$E$7</f>
        <v>0.64390939960135074</v>
      </c>
      <c r="L10" s="16" t="s">
        <v>320</v>
      </c>
    </row>
    <row r="11" spans="1:14" ht="18" customHeight="1">
      <c r="A11" s="6" t="s">
        <v>235</v>
      </c>
    </row>
    <row r="12" spans="1:14" ht="18" customHeight="1">
      <c r="A12" s="57" t="s">
        <v>236</v>
      </c>
      <c r="B12" s="57"/>
      <c r="C12" s="8">
        <f>_xlfn.IFNA(VLOOKUP(封面!B1,'2020决算导出'!A:BC,55,FALSE),"")</f>
        <v>0</v>
      </c>
      <c r="D12" s="7" t="s">
        <v>237</v>
      </c>
      <c r="M12" s="65">
        <f>_xlfn.IFNA(VLOOKUP(封面!B1,'2020决算导出'!A:BD,56,FALSE),"")</f>
        <v>0</v>
      </c>
      <c r="N12" s="65" t="s">
        <v>187</v>
      </c>
    </row>
    <row r="13" spans="1:14" ht="18" customHeight="1">
      <c r="A13" s="12" t="s">
        <v>238</v>
      </c>
      <c r="B13" s="57" t="s">
        <v>239</v>
      </c>
      <c r="C13" s="57"/>
      <c r="D13" s="57"/>
      <c r="E13" s="57"/>
      <c r="F13" s="57"/>
      <c r="G13" s="8">
        <f>_xlfn.IFNA(VLOOKUP(封面!B1,'2020决算导出'!A:BE,57,FALSE),"")</f>
        <v>0</v>
      </c>
      <c r="H13" s="7" t="s">
        <v>240</v>
      </c>
      <c r="J13" s="7" t="s">
        <v>241</v>
      </c>
    </row>
    <row r="14" spans="1:14" ht="18" customHeight="1">
      <c r="A14" s="12">
        <f>_xlfn.IFNA(VLOOKUP(封面!B1,'2020决算导出'!A:BF,58,FALSE),"")</f>
        <v>0</v>
      </c>
      <c r="B14" s="7" t="s">
        <v>242</v>
      </c>
    </row>
    <row r="15" spans="1:14" ht="18" customHeight="1">
      <c r="A15" s="6" t="s">
        <v>243</v>
      </c>
    </row>
    <row r="16" spans="1:14" ht="18" customHeight="1">
      <c r="A16" s="7" t="s">
        <v>244</v>
      </c>
    </row>
    <row r="17" spans="1:14" ht="18" customHeight="1">
      <c r="A17" s="6" t="s">
        <v>245</v>
      </c>
    </row>
    <row r="18" spans="1:14" ht="304.14999999999998" customHeight="1">
      <c r="A18" s="62" t="s">
        <v>246</v>
      </c>
      <c r="B18" s="62"/>
      <c r="C18" s="62"/>
      <c r="D18" s="62"/>
      <c r="E18" s="62"/>
      <c r="F18" s="62"/>
      <c r="G18" s="62"/>
      <c r="H18" s="62"/>
      <c r="I18" s="62"/>
      <c r="J18" s="62"/>
      <c r="K18" s="62"/>
      <c r="L18" s="62"/>
      <c r="M18" s="62"/>
      <c r="N18" s="62"/>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1:N1"/>
    <mergeCell ref="A7:D7"/>
    <mergeCell ref="E7:F7"/>
    <mergeCell ref="H7:K7"/>
    <mergeCell ref="L7:M7"/>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zoomScaleNormal="100" workbookViewId="0">
      <selection activeCell="Q2" sqref="Q2"/>
    </sheetView>
  </sheetViews>
  <sheetFormatPr defaultRowHeight="14.25"/>
  <sheetData>
    <row r="1" spans="1:14" s="7" customFormat="1" ht="35.450000000000003" customHeight="1">
      <c r="A1" s="55" t="s">
        <v>248</v>
      </c>
      <c r="B1" s="55"/>
      <c r="C1" s="55"/>
      <c r="D1" s="55"/>
      <c r="E1" s="55"/>
      <c r="F1" s="55"/>
      <c r="G1" s="55"/>
      <c r="H1" s="55"/>
      <c r="I1" s="55"/>
      <c r="J1" s="55"/>
      <c r="K1" s="55"/>
      <c r="L1" s="55"/>
      <c r="M1" s="55"/>
      <c r="N1" s="55"/>
    </row>
    <row r="2" spans="1:14" ht="281.45" customHeight="1">
      <c r="A2" s="62" t="s">
        <v>427</v>
      </c>
      <c r="B2" s="62"/>
      <c r="C2" s="62"/>
      <c r="D2" s="62"/>
      <c r="E2" s="62"/>
      <c r="F2" s="62"/>
      <c r="G2" s="62"/>
      <c r="H2" s="62"/>
      <c r="I2" s="62"/>
      <c r="J2" s="62"/>
      <c r="K2" s="62"/>
      <c r="L2" s="62"/>
      <c r="M2" s="62"/>
      <c r="N2" s="62"/>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3"/>
    <col min="2" max="2" width="18.875" style="33" customWidth="1"/>
    <col min="3" max="16384" width="8.875" style="33"/>
  </cols>
  <sheetData>
    <row r="1" spans="1:58" ht="48">
      <c r="A1" s="19" t="s">
        <v>254</v>
      </c>
      <c r="B1" s="20" t="s">
        <v>255</v>
      </c>
      <c r="C1" s="20" t="s">
        <v>250</v>
      </c>
      <c r="D1" s="20" t="s">
        <v>256</v>
      </c>
      <c r="E1" s="20" t="s">
        <v>257</v>
      </c>
      <c r="F1" s="20" t="s">
        <v>258</v>
      </c>
      <c r="G1" s="20" t="s">
        <v>259</v>
      </c>
      <c r="H1" s="20" t="s">
        <v>260</v>
      </c>
      <c r="I1" s="20" t="s">
        <v>261</v>
      </c>
      <c r="J1" s="20" t="s">
        <v>262</v>
      </c>
      <c r="K1" s="20" t="s">
        <v>263</v>
      </c>
      <c r="L1" s="20" t="s">
        <v>264</v>
      </c>
      <c r="M1" s="20" t="s">
        <v>265</v>
      </c>
      <c r="N1" s="20" t="s">
        <v>266</v>
      </c>
      <c r="O1" s="20" t="s">
        <v>267</v>
      </c>
      <c r="P1" s="20" t="s">
        <v>268</v>
      </c>
      <c r="Q1" s="20" t="s">
        <v>269</v>
      </c>
      <c r="R1" s="20" t="s">
        <v>270</v>
      </c>
      <c r="S1" s="20" t="s">
        <v>271</v>
      </c>
      <c r="T1" s="20" t="s">
        <v>272</v>
      </c>
      <c r="U1" s="20" t="s">
        <v>273</v>
      </c>
      <c r="V1" s="20" t="s">
        <v>274</v>
      </c>
      <c r="W1" s="20" t="s">
        <v>275</v>
      </c>
      <c r="X1" s="20" t="s">
        <v>276</v>
      </c>
      <c r="Y1" s="20" t="s">
        <v>277</v>
      </c>
      <c r="Z1" s="20" t="s">
        <v>322</v>
      </c>
      <c r="AA1" s="20" t="s">
        <v>278</v>
      </c>
      <c r="AB1" s="20" t="s">
        <v>279</v>
      </c>
      <c r="AC1" s="20" t="s">
        <v>280</v>
      </c>
      <c r="AD1" s="20" t="s">
        <v>281</v>
      </c>
      <c r="AE1" s="20" t="s">
        <v>282</v>
      </c>
      <c r="AF1" s="20" t="s">
        <v>283</v>
      </c>
      <c r="AG1" s="20" t="s">
        <v>284</v>
      </c>
      <c r="AH1" s="20" t="s">
        <v>285</v>
      </c>
      <c r="AI1" s="20" t="s">
        <v>286</v>
      </c>
      <c r="AJ1" s="20" t="s">
        <v>287</v>
      </c>
      <c r="AK1" s="20" t="s">
        <v>288</v>
      </c>
      <c r="AL1" s="20" t="s">
        <v>289</v>
      </c>
      <c r="AM1" s="20" t="s">
        <v>323</v>
      </c>
      <c r="AN1" s="20" t="s">
        <v>324</v>
      </c>
      <c r="AO1" s="20" t="s">
        <v>290</v>
      </c>
      <c r="AP1" s="20" t="s">
        <v>291</v>
      </c>
      <c r="AQ1" s="20" t="s">
        <v>292</v>
      </c>
      <c r="AR1" s="20" t="s">
        <v>293</v>
      </c>
      <c r="AS1" s="20" t="s">
        <v>294</v>
      </c>
      <c r="AT1" s="20" t="s">
        <v>295</v>
      </c>
      <c r="AU1" s="20" t="s">
        <v>296</v>
      </c>
      <c r="AV1" s="20" t="s">
        <v>325</v>
      </c>
      <c r="AW1" s="20" t="s">
        <v>297</v>
      </c>
      <c r="AX1" s="20" t="s">
        <v>298</v>
      </c>
      <c r="AY1" s="20" t="s">
        <v>299</v>
      </c>
      <c r="AZ1" s="20" t="s">
        <v>300</v>
      </c>
      <c r="BA1" s="20" t="s">
        <v>301</v>
      </c>
      <c r="BB1" s="20" t="s">
        <v>302</v>
      </c>
      <c r="BC1" s="20" t="s">
        <v>303</v>
      </c>
      <c r="BD1" s="20" t="s">
        <v>416</v>
      </c>
      <c r="BE1" s="20" t="s">
        <v>304</v>
      </c>
      <c r="BF1" s="20" t="s">
        <v>305</v>
      </c>
    </row>
    <row r="2" spans="1:58">
      <c r="A2" s="22">
        <v>255001</v>
      </c>
      <c r="B2" s="23" t="s">
        <v>306</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307</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308</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254</v>
      </c>
      <c r="B1" s="20" t="s">
        <v>255</v>
      </c>
      <c r="C1" s="20" t="s">
        <v>309</v>
      </c>
      <c r="D1" s="20" t="s">
        <v>310</v>
      </c>
      <c r="E1" s="20" t="s">
        <v>311</v>
      </c>
      <c r="F1" s="20" t="s">
        <v>312</v>
      </c>
    </row>
    <row r="2" spans="1:6">
      <c r="A2" s="22">
        <v>255001</v>
      </c>
      <c r="B2" s="23" t="s">
        <v>306</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313</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314</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315</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316</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9" width="8.625" style="44"/>
    <col min="20" max="22" width="8.75" style="44" customWidth="1"/>
    <col min="23" max="16384" width="8.625" style="44"/>
  </cols>
  <sheetData>
    <row r="1" spans="1:42" s="39" customFormat="1" ht="60">
      <c r="A1" s="39" t="s">
        <v>326</v>
      </c>
      <c r="B1" s="39" t="s">
        <v>363</v>
      </c>
      <c r="C1" s="39" t="s">
        <v>364</v>
      </c>
      <c r="D1" s="39" t="s">
        <v>365</v>
      </c>
      <c r="E1" s="39" t="s">
        <v>366</v>
      </c>
      <c r="F1" s="39" t="s">
        <v>367</v>
      </c>
      <c r="G1" s="39" t="s">
        <v>368</v>
      </c>
      <c r="H1" s="39" t="s">
        <v>369</v>
      </c>
      <c r="I1" s="39" t="s">
        <v>370</v>
      </c>
      <c r="J1" s="39" t="s">
        <v>371</v>
      </c>
      <c r="K1" s="39" t="s">
        <v>372</v>
      </c>
      <c r="L1" s="39" t="s">
        <v>373</v>
      </c>
      <c r="M1" s="39" t="s">
        <v>374</v>
      </c>
      <c r="N1" s="39" t="s">
        <v>375</v>
      </c>
      <c r="O1" s="39" t="s">
        <v>376</v>
      </c>
      <c r="P1" s="39" t="s">
        <v>377</v>
      </c>
      <c r="Q1" s="39" t="s">
        <v>378</v>
      </c>
      <c r="R1" s="39" t="s">
        <v>379</v>
      </c>
      <c r="S1" s="39" t="s">
        <v>380</v>
      </c>
      <c r="T1" s="39" t="s">
        <v>381</v>
      </c>
      <c r="U1" s="39" t="s">
        <v>382</v>
      </c>
      <c r="V1" s="39" t="s">
        <v>383</v>
      </c>
      <c r="W1" s="39" t="s">
        <v>384</v>
      </c>
      <c r="X1" s="39" t="s">
        <v>385</v>
      </c>
      <c r="Y1" s="39" t="s">
        <v>386</v>
      </c>
      <c r="Z1" s="39" t="s">
        <v>387</v>
      </c>
      <c r="AA1" s="39" t="s">
        <v>388</v>
      </c>
      <c r="AB1" s="39" t="s">
        <v>389</v>
      </c>
      <c r="AC1" s="39" t="s">
        <v>390</v>
      </c>
      <c r="AD1" s="39" t="s">
        <v>391</v>
      </c>
      <c r="AE1" s="39" t="s">
        <v>392</v>
      </c>
      <c r="AF1" s="39" t="s">
        <v>393</v>
      </c>
      <c r="AG1" s="39" t="s">
        <v>394</v>
      </c>
      <c r="AH1" s="39" t="s">
        <v>395</v>
      </c>
      <c r="AI1" s="39" t="s">
        <v>396</v>
      </c>
      <c r="AJ1" s="39" t="s">
        <v>397</v>
      </c>
      <c r="AK1" s="39" t="s">
        <v>398</v>
      </c>
      <c r="AL1" s="39" t="s">
        <v>399</v>
      </c>
      <c r="AM1" s="39" t="s">
        <v>400</v>
      </c>
      <c r="AN1" s="39" t="s">
        <v>401</v>
      </c>
      <c r="AO1" s="39" t="s">
        <v>402</v>
      </c>
      <c r="AP1" s="39" t="s">
        <v>403</v>
      </c>
    </row>
    <row r="2" spans="1:42">
      <c r="A2" s="40">
        <v>255001</v>
      </c>
      <c r="B2" s="41" t="s">
        <v>306</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307</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404</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405</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2021-09-02T03:18:55Z</dcterms:modified>
</cp:coreProperties>
</file>