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87 北京启喑实验学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970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2" i="5" l="1"/>
  <c r="F74" i="5"/>
  <c r="A3" i="6"/>
  <c r="J68" i="5" l="1"/>
  <c r="E68" i="5"/>
  <c r="J66" i="5"/>
  <c r="E66" i="5"/>
  <c r="E65" i="5"/>
  <c r="E64" i="5"/>
  <c r="E63" i="5"/>
  <c r="E62" i="5"/>
  <c r="J59" i="5"/>
  <c r="E59" i="5"/>
  <c r="J57" i="5"/>
  <c r="E57" i="5"/>
  <c r="J54" i="5"/>
  <c r="E54" i="5"/>
  <c r="J52" i="5"/>
  <c r="E52" i="5"/>
  <c r="E50" i="5"/>
  <c r="E49" i="5"/>
  <c r="J46" i="5"/>
  <c r="E46" i="5"/>
  <c r="J43" i="5"/>
  <c r="E43" i="5"/>
  <c r="J40" i="5"/>
  <c r="E40" i="5"/>
  <c r="J37" i="5"/>
  <c r="E37" i="5"/>
  <c r="J35" i="5"/>
  <c r="E35" i="5"/>
  <c r="D33" i="5"/>
  <c r="A32" i="6"/>
  <c r="G31" i="6"/>
  <c r="M30" i="6"/>
  <c r="C30" i="6"/>
  <c r="B69" i="5" l="1"/>
  <c r="F55" i="5"/>
  <c r="C58" i="5"/>
  <c r="G58" i="5" s="1"/>
  <c r="C67" i="5"/>
  <c r="G67" i="5" s="1"/>
  <c r="F36" i="5"/>
  <c r="F41" i="5"/>
  <c r="F60" i="5"/>
  <c r="C69" i="5"/>
  <c r="G69" i="5" s="1"/>
  <c r="F69" i="5"/>
  <c r="F67" i="5"/>
  <c r="B67" i="5"/>
  <c r="B60" i="5"/>
  <c r="C60" i="5"/>
  <c r="G60" i="5" s="1"/>
  <c r="F58" i="5"/>
  <c r="B58" i="5"/>
  <c r="C55" i="5"/>
  <c r="G55" i="5" s="1"/>
  <c r="F38" i="5"/>
  <c r="F44" i="5"/>
  <c r="F53" i="5"/>
  <c r="B55" i="5"/>
  <c r="B53" i="5"/>
  <c r="C53" i="5"/>
  <c r="G53" i="5" s="1"/>
  <c r="C47" i="5"/>
  <c r="G47" i="5" s="1"/>
  <c r="C36" i="5"/>
  <c r="G36" i="5" s="1"/>
  <c r="B47" i="5"/>
  <c r="F47" i="5"/>
  <c r="B44" i="5"/>
  <c r="C44" i="5"/>
  <c r="G44" i="5" s="1"/>
  <c r="B41" i="5"/>
  <c r="C41" i="5"/>
  <c r="G41" i="5" s="1"/>
  <c r="B38" i="5"/>
  <c r="C38" i="5"/>
  <c r="G38" i="5" s="1"/>
  <c r="B36"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5" i="5"/>
  <c r="E77" i="5"/>
  <c r="J77" i="5"/>
  <c r="J79" i="5" s="1"/>
  <c r="D75"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F78" i="5"/>
  <c r="F80" i="5" s="1"/>
  <c r="E5" i="6"/>
  <c r="D5" i="6"/>
  <c r="G8" i="5"/>
  <c r="H12" i="5"/>
  <c r="G10" i="5"/>
  <c r="H19" i="5"/>
  <c r="H8" i="5"/>
  <c r="K8" i="5" s="1"/>
  <c r="H11" i="5"/>
  <c r="H20" i="5"/>
  <c r="H14" i="5"/>
  <c r="H17" i="5"/>
  <c r="K17" i="5" s="1"/>
  <c r="H15" i="5"/>
  <c r="I22" i="5"/>
  <c r="L22" i="5" s="1"/>
  <c r="C78" i="5"/>
  <c r="E79" i="5"/>
  <c r="B78" i="5"/>
  <c r="B80" i="5" s="1"/>
  <c r="G17" i="5"/>
  <c r="H13" i="5"/>
  <c r="H18" i="5"/>
  <c r="H22" i="5"/>
  <c r="I27" i="5"/>
  <c r="I30" i="5"/>
  <c r="I33" i="5"/>
  <c r="I29" i="5"/>
  <c r="I32" i="5"/>
  <c r="I28" i="5"/>
  <c r="C80" i="5" l="1"/>
  <c r="G78" i="5"/>
  <c r="G80" i="5" s="1"/>
  <c r="E6" i="5"/>
</calcChain>
</file>

<file path=xl/sharedStrings.xml><?xml version="1.0" encoding="utf-8"?>
<sst xmlns="http://schemas.openxmlformats.org/spreadsheetml/2006/main" count="4692" uniqueCount="481">
  <si>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</si>
  <si>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</si>
  <si>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</si>
  <si>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</si>
  <si>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</si>
  <si>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</si>
  <si>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</si>
  <si>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</si>
  <si>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</si>
  <si>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</si>
  <si>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</si>
  <si>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</si>
  <si>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</si>
  <si>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</si>
  <si>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</si>
  <si>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</si>
  <si>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</si>
  <si>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</si>
  <si>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</si>
  <si>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</si>
  <si>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</si>
  <si>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</si>
  <si>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</si>
  <si>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</si>
  <si>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</si>
  <si>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</si>
  <si>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</si>
  <si>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</si>
  <si>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</si>
  <si>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</si>
  <si>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</si>
  <si>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</si>
  <si>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</si>
  <si>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</si>
  <si>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</si>
  <si>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</si>
  <si>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</si>
  <si>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</si>
  <si>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</si>
  <si>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</si>
  <si>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</si>
  <si>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</si>
  <si>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</si>
  <si>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</si>
  <si>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</si>
  <si>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</si>
  <si>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</si>
  <si>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</si>
  <si>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</si>
  <si>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</si>
  <si>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</si>
  <si>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</si>
  <si>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</si>
  <si>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</si>
  <si>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</si>
  <si>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</si>
  <si>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</si>
  <si>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</si>
  <si>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</si>
  <si>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</si>
  <si>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</si>
  <si>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</si>
  <si>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</si>
  <si>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</si>
  <si>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</si>
  <si>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</si>
  <si>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</si>
  <si>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</si>
  <si>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</si>
  <si>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</si>
  <si>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</si>
  <si>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</si>
  <si>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</si>
  <si>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</si>
  <si>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</si>
  <si>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</si>
  <si>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</si>
  <si>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</si>
  <si>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</si>
  <si>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</si>
  <si>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</si>
  <si>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</si>
  <si>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</si>
  <si>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</si>
  <si>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</si>
  <si>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</si>
  <si>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</si>
  <si>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</si>
  <si>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</si>
  <si>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</si>
  <si>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</si>
  <si>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</si>
  <si>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</si>
  <si>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</si>
  <si>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</si>
  <si>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</si>
  <si>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</si>
  <si>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</si>
  <si>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</si>
  <si>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</si>
  <si>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</si>
  <si>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</si>
  <si>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</si>
  <si>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</si>
  <si>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</si>
  <si>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</si>
  <si>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</si>
  <si>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</si>
  <si>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</si>
  <si>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</si>
  <si>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</si>
  <si>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</si>
  <si>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</si>
  <si>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</si>
  <si>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</si>
  <si>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</si>
  <si>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</si>
  <si>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</si>
  <si>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</si>
  <si>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</si>
  <si>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</si>
  <si>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</si>
  <si>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</si>
  <si>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</si>
  <si>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</si>
  <si>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</si>
  <si>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</si>
  <si>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</si>
  <si>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</si>
  <si>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</si>
  <si>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</si>
  <si>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</si>
  <si>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</si>
  <si>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</si>
  <si>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</si>
  <si>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</si>
  <si>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</si>
  <si>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</si>
  <si>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</si>
  <si>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</si>
  <si>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</si>
  <si>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</si>
  <si>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</si>
  <si>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</si>
  <si>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</si>
  <si>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</si>
  <si>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</si>
  <si>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</si>
  <si>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</si>
  <si>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</si>
  <si>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</si>
  <si>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</si>
  <si>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</si>
  <si>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</si>
  <si>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</si>
  <si>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</si>
  <si>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</si>
  <si>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</si>
  <si>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</si>
  <si>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</si>
  <si>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</si>
  <si>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</si>
  <si>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</si>
  <si>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</si>
  <si>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</si>
  <si>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</si>
  <si>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</si>
  <si>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</si>
  <si>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</si>
  <si>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</si>
  <si>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</si>
  <si>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</si>
  <si>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</si>
  <si>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</si>
  <si>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</si>
  <si>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</si>
  <si>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</si>
  <si>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</si>
  <si>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</si>
  <si>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</si>
  <si>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</si>
  <si>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</si>
  <si>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</si>
  <si>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</si>
  <si>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</si>
  <si>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</si>
  <si>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</si>
  <si>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</si>
  <si>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</si>
  <si>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</si>
  <si>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</si>
  <si>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</si>
  <si>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</si>
  <si>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</si>
  <si>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</si>
  <si>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</si>
  <si>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</si>
  <si>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</si>
  <si>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</si>
  <si>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</si>
  <si>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</si>
  <si>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</si>
  <si>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</si>
  <si>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</si>
  <si>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</si>
  <si>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</si>
  <si>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</si>
  <si>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</si>
  <si>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</si>
  <si>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</si>
  <si>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</si>
  <si>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</si>
  <si>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</si>
  <si>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</si>
  <si>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</si>
  <si>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</si>
  <si>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</si>
  <si>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</si>
  <si>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</si>
  <si>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</si>
  <si>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</si>
  <si>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特殊教育（款）2020年度决算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</si>
  <si>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</si>
  <si>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</si>
  <si>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</si>
  <si>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</si>
  <si>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</si>
  <si>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</si>
  <si>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</si>
  <si>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</si>
  <si>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</si>
  <si>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</si>
  <si>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</si>
  <si>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</si>
  <si>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</si>
  <si>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</si>
  <si>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</si>
  <si>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</si>
  <si>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</si>
  <si>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</si>
  <si>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</si>
  <si>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</si>
  <si>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</si>
  <si>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</si>
  <si>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</si>
  <si>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</si>
  <si>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</si>
  <si>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</si>
  <si>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</si>
  <si>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</si>
  <si>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</si>
  <si>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</si>
  <si>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</si>
  <si>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</si>
  <si>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</si>
  <si>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</si>
  <si>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</si>
  <si>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</si>
  <si>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</si>
  <si>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</si>
  <si>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</si>
  <si>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</si>
  <si>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</si>
  <si>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</si>
  <si>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</si>
  <si>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</si>
  <si>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</si>
  <si>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</si>
  <si>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</si>
  <si>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</si>
  <si>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</si>
  <si>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</si>
  <si>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</si>
  <si>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</si>
  <si>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</si>
  <si>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</si>
  <si>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</si>
  <si>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</si>
  <si>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</si>
  <si>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</si>
  <si>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</si>
  <si>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</si>
  <si>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</si>
  <si>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</si>
  <si>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</si>
  <si>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</si>
  <si>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</si>
  <si>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</si>
  <si>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</si>
  <si>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</si>
  <si>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</si>
  <si>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</si>
  <si>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</si>
  <si>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</si>
  <si>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</si>
  <si>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</si>
  <si>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</si>
  <si>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</si>
  <si>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</si>
  <si>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</si>
  <si>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</si>
  <si>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</si>
  <si>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</si>
  <si>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</si>
  <si>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</si>
  <si>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</si>
  <si>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</si>
  <si>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</si>
  <si>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</si>
  <si>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</si>
  <si>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</si>
  <si>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</si>
  <si>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</si>
  <si>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</si>
  <si>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</si>
  <si>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</si>
  <si>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</si>
  <si>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</si>
  <si>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</si>
  <si>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</si>
  <si>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</si>
  <si>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</si>
  <si>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</si>
  <si>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</si>
  <si>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</si>
  <si>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</si>
  <si>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</si>
  <si>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</si>
  <si>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</si>
  <si>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</si>
  <si>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</si>
  <si>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</si>
  <si>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</si>
  <si>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</si>
  <si>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</si>
  <si>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</si>
  <si>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</si>
  <si>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</si>
  <si>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</si>
  <si>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</si>
  <si>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</si>
  <si>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</si>
  <si>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</si>
  <si>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</si>
  <si>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</si>
  <si>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</si>
  <si>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</si>
  <si>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</si>
  <si>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</si>
  <si>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</si>
  <si>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</si>
  <si>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</si>
  <si>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</si>
  <si>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</si>
  <si>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</si>
  <si>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</si>
  <si>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</si>
  <si>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</si>
  <si>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</si>
  <si>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</si>
  <si>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</si>
  <si>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</si>
  <si>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</si>
  <si>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</si>
  <si>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</si>
  <si>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</si>
  <si>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</si>
  <si>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</si>
  <si>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</si>
  <si>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</si>
  <si>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</si>
  <si>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</si>
  <si>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</si>
  <si>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</si>
  <si>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</si>
  <si>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</si>
  <si>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</si>
  <si>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</si>
  <si>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</si>
  <si>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</si>
  <si>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</si>
  <si>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</si>
  <si>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</si>
  <si>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</si>
  <si>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</si>
  <si>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</si>
  <si>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</si>
  <si>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</si>
  <si>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</si>
  <si>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</si>
  <si>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</si>
  <si>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</si>
  <si>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</si>
  <si>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</si>
  <si>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</si>
  <si>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</si>
  <si>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</si>
  <si>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</si>
  <si>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</si>
  <si>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</si>
  <si>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</si>
  <si>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</si>
  <si>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</si>
  <si>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</si>
  <si>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</si>
  <si>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</si>
  <si>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</si>
  <si>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</si>
  <si>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</si>
  <si>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</si>
  <si>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</si>
  <si>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</si>
  <si>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</si>
  <si>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</si>
  <si>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</si>
  <si>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</si>
  <si>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</si>
  <si>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</si>
  <si>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</si>
  <si>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</si>
  <si>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</si>
  <si>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</si>
  <si>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</si>
  <si>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</si>
  <si>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</si>
  <si>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</si>
  <si>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</si>
  <si>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</si>
  <si>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</si>
  <si>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</si>
  <si>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</si>
  <si>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</si>
  <si>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</si>
  <si>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</si>
  <si>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</si>
  <si>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</si>
  <si>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</si>
  <si>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</si>
  <si>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</si>
  <si>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</si>
  <si>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</si>
  <si>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</si>
  <si>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</si>
  <si>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</si>
  <si>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</si>
  <si>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</si>
  <si>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</si>
  <si>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</si>
  <si>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</si>
  <si>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</si>
  <si>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</si>
  <si>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</si>
  <si>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</si>
  <si>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</si>
  <si>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</si>
  <si>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</si>
  <si>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</si>
  <si>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</si>
  <si>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</si>
  <si>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</si>
  <si>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</si>
  <si>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</si>
  <si>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</si>
  <si>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</si>
  <si>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</si>
  <si>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</si>
  <si>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</si>
  <si>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</si>
  <si>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北京启喑实验学校位于北京西内大街东校场5号，占地面积8700平方米，建筑面积24000平方米，包含学前康复、九年义务教育、普高、职高教育，是一所专门为聋生提供学习服务、办学理念先进、功能设备齐全的特殊学校。 </t>
    <phoneticPr fontId="3" type="noConversion"/>
  </si>
  <si>
    <t>主要原因是本年度本校按教委要求开办附属幼儿园，上级部门下拨附属幼儿园扩班经费，导致收支增长。</t>
    <phoneticPr fontId="3" type="noConversion"/>
  </si>
  <si>
    <t>主要原因是本年度本校按教委要求开办附属幼儿园，上级部门下拨附属幼儿园扩班经费，导致增长。</t>
    <phoneticPr fontId="3" type="noConversion"/>
  </si>
  <si>
    <t>主要原因是疫情原因，减少学校培训。</t>
    <phoneticPr fontId="3" type="noConversion"/>
  </si>
  <si>
    <t>主要原因是追加了学生活动经费，课题经费，学生助学项目资金。</t>
    <phoneticPr fontId="3" type="noConversion"/>
  </si>
  <si>
    <t>主要原因是工程类项目结算金额比预算金额略低。</t>
    <phoneticPr fontId="3" type="noConversion"/>
  </si>
  <si>
    <t>主要原因是本年度有新调入教职工，导致保险费用上涨。</t>
    <phoneticPr fontId="3" type="noConversion"/>
  </si>
  <si>
    <t>主要原因是本年度有新调入教职工，导致公积金费用上涨。</t>
    <phoneticPr fontId="3" type="noConversion"/>
  </si>
  <si>
    <t>主要原因是疫情原因，减少学校学生活动导致此项资金支出较少。</t>
    <phoneticPr fontId="3" type="noConversion"/>
  </si>
  <si>
    <t>主要原因是有去世退休教师。</t>
    <phoneticPr fontId="3" type="noConversion"/>
  </si>
  <si>
    <t xml:space="preserve"> </t>
    <phoneticPr fontId="3" type="noConversion"/>
  </si>
  <si>
    <t>主要原因是疫情原因，公车使用较少。</t>
    <phoneticPr fontId="3" type="noConversion"/>
  </si>
  <si>
    <t>北京启喑实验学校对2020年度部门项目支出实施绩效评价，评价项目2个，占项目总数的53%，涉及金额253.2万元。绩效目标完成情况通过我校完善的财务管理制度和合理的人员安排，使本项目达到了一个比较好的预期效果。整体支出和项目支出绩效目标都圆满的完成。 学校项目支出绩效目标完成情况良好，与预期完成情况没有偏离现象发生
校园保障经费：用于我校安全保障工作，提高校园人防能力，执勤学校车库、北门、南门、监控室、消防中控室、校园周边巡视及学生上、下学门前守护工作，严格遵守保安人员安全管理制度，监控室安全管理制度，认真履行安保职责，做好安全保卫，防火、防盗、防破坏工作，防止侵害学校财产安全的行为发生，维护学校的正常生产、工作秩序，全年不发生重大安全事故。
修缮经费—北京启喑实验学校消防改造及前期费：为积极预防重大火灾事故，消除消防设施设备老化安全隐患，保证消防设施良好运行，保障校园消防安全，力争使学校达到平安校园建设标准。
评价结果（概括评价总体情况）。</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</si>
</sst>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3" sqref="B3"/>
    </sheetView>
  </sheetViews>
  <sheetFormatPr defaultRowHeight="13.8"/>
  <cols>
    <col min="1" max="1" width="16.44140625" customWidth="1"/>
    <col min="2" max="2" width="12.77734375" bestFit="1" customWidth="1"/>
  </cols>
  <sheetData>
    <row r="1" spans="1:14" ht="37.950000000000003" customHeight="1">
      <c r="A1" s="27" t="s">
        <v>0</v>
      </c>
      <c r="B1" s="28">
        <v>255087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北京启喑实验学校</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44140625" style="41" customWidth="1"/>
    <col min="6" max="6" width="19.6640625" style="23" customWidth="1"/>
    <col min="7" max="8" width="13.6640625" style="23" customWidth="1"/>
    <col min="9" max="16384" width="8.88671875" style="23"/>
  </cols>
  <sheetData>
    <row r="1" spans="1:8" ht="24">
      <c r="A1" s="21" t="s">
        <v>366</v>
      </c>
      <c r="B1" s="22" t="s">
        <v>295</v>
      </c>
      <c r="C1" s="37" t="s">
        <v>367</v>
      </c>
      <c r="D1" s="37" t="s">
        <v>368</v>
      </c>
      <c r="E1" s="38" t="s">
        <v>369</v>
      </c>
      <c r="F1" s="22" t="s">
        <v>370</v>
      </c>
      <c r="G1" s="22" t="s">
        <v>371</v>
      </c>
      <c r="H1" s="22" t="s">
        <v>372</v>
      </c>
    </row>
    <row r="2" spans="1:8">
      <c r="A2" s="24">
        <v>255001</v>
      </c>
      <c r="B2" s="25" t="s">
        <v>346</v>
      </c>
      <c r="C2" s="39" t="str">
        <f>LEFT(D2,3)</f>
        <v>205</v>
      </c>
      <c r="D2" s="39" t="str">
        <f>LEFT(E2,5)</f>
        <v>20502</v>
      </c>
      <c r="E2" s="39">
        <f>IF(ISNA(VLOOKUP(F2,'2020功能科目'!A:B,2,FALSE)),"",VLOOKUP(F2,'2020功能科目'!A:B,2,FALSE))</f>
        <v>2050201</v>
      </c>
      <c r="F2" s="25" t="s">
        <v>373</v>
      </c>
      <c r="G2" s="26">
        <v>91486047.549999997</v>
      </c>
      <c r="H2" s="26">
        <v>117849170.55</v>
      </c>
    </row>
    <row r="3" spans="1:8">
      <c r="A3" s="24">
        <v>255001</v>
      </c>
      <c r="B3" s="25" t="s">
        <v>346</v>
      </c>
      <c r="C3" s="39" t="str">
        <f t="shared" ref="C3:C66" si="0">LEFT(D3,3)</f>
        <v>205</v>
      </c>
      <c r="D3" s="39" t="str">
        <f t="shared" ref="D3:D66" si="1">LEFT(E3,5)</f>
        <v>20502</v>
      </c>
      <c r="E3" s="39">
        <f>IF(ISNA(VLOOKUP(F3,'2020功能科目'!A:B,2,FALSE)),"",VLOOKUP(F3,'2020功能科目'!A:B,2,FALSE))</f>
        <v>2050202</v>
      </c>
      <c r="F3" s="25" t="s">
        <v>374</v>
      </c>
      <c r="G3" s="26">
        <v>250000</v>
      </c>
      <c r="H3" s="26">
        <v>250000</v>
      </c>
    </row>
    <row r="4" spans="1:8">
      <c r="A4" s="24">
        <v>255001</v>
      </c>
      <c r="B4" s="25" t="s">
        <v>346</v>
      </c>
      <c r="C4" s="39" t="str">
        <f t="shared" si="0"/>
        <v>205</v>
      </c>
      <c r="D4" s="39" t="str">
        <f t="shared" si="1"/>
        <v>20502</v>
      </c>
      <c r="E4" s="39">
        <f>IF(ISNA(VLOOKUP(F4,'2020功能科目'!A:B,2,FALSE)),"",VLOOKUP(F4,'2020功能科目'!A:B,2,FALSE))</f>
        <v>2050204</v>
      </c>
      <c r="F4" s="25" t="s">
        <v>375</v>
      </c>
      <c r="G4" s="26">
        <v>1439000</v>
      </c>
      <c r="H4" s="26">
        <v>1439888.15</v>
      </c>
    </row>
    <row r="5" spans="1:8">
      <c r="A5" s="24">
        <v>255001</v>
      </c>
      <c r="B5" s="25" t="s">
        <v>346</v>
      </c>
      <c r="C5" s="39" t="str">
        <f t="shared" si="0"/>
        <v>205</v>
      </c>
      <c r="D5" s="39" t="str">
        <f t="shared" si="1"/>
        <v>20502</v>
      </c>
      <c r="E5" s="39">
        <f>IF(ISNA(VLOOKUP(F5,'2020功能科目'!A:B,2,FALSE)),"",VLOOKUP(F5,'2020功能科目'!A:B,2,FALSE))</f>
        <v>2050299</v>
      </c>
      <c r="F5" s="25" t="s">
        <v>376</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375</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376</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377</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378</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379</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380</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381</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382</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383</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384</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385</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386</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387</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388</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375</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376</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377</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378</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379</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380</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381</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382</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384</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385</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386</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387</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388</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375</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376</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377</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379</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380</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381</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382</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384</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385</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386</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387</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388</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375</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376</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377</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378</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379</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380</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381</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382</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384</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385</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386</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387</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388</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375</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377</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378</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379</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380</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381</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382</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384</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385</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386</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387</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388</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375</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378</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379</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380</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381</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382</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384</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385</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386</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387</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388</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375</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376</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377</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378</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379</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380</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381</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382</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383</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384</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385</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386</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387</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388</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375</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376</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377</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378</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379</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380</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381</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382</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384</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385</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386</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387</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388</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375</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376</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377</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378</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379</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380</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381</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382</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384</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385</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386</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387</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388</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375</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377</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378</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379</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380</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381</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382</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384</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385</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386</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387</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388</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375</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377</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378</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379</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380</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381</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382</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384</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385</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386</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387</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388</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375</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379</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380</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381</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382</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384</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385</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386</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387</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388</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375</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376</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377</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378</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379</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380</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381</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382</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384</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385</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386</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387</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388</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389</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376</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377</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378</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379</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380</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381</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382</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384</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385</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386</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387</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388</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375</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377</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378</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380</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381</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382</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384</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386</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387</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388</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375</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376</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377</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378</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379</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380</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381</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382</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384</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385</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386</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387</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388</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375</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376</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377</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378</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379</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380</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381</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382</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384</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385</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386</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387</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388</v>
      </c>
      <c r="G216" s="26">
        <v>4290503</v>
      </c>
      <c r="H216" s="26">
        <v>4304412</v>
      </c>
    </row>
    <row r="217" spans="1:8">
      <c r="A217" s="24">
        <v>255022</v>
      </c>
      <c r="B217" s="25" t="s">
        <v>347</v>
      </c>
      <c r="C217" s="39" t="str">
        <f t="shared" si="6"/>
        <v>205</v>
      </c>
      <c r="D217" s="39" t="str">
        <f t="shared" si="7"/>
        <v>20502</v>
      </c>
      <c r="E217" s="39">
        <f>IF(ISNA(VLOOKUP(F217,'2020功能科目'!A:B,2,FALSE)),"",VLOOKUP(F217,'2020功能科目'!A:B,2,FALSE))</f>
        <v>2050203</v>
      </c>
      <c r="F217" s="25" t="s">
        <v>389</v>
      </c>
      <c r="G217" s="26">
        <v>26873070.100000001</v>
      </c>
      <c r="H217" s="26">
        <v>22704196.510000002</v>
      </c>
    </row>
    <row r="218" spans="1:8">
      <c r="A218" s="24">
        <v>255022</v>
      </c>
      <c r="B218" s="25" t="s">
        <v>347</v>
      </c>
      <c r="C218" s="39" t="str">
        <f t="shared" si="6"/>
        <v>205</v>
      </c>
      <c r="D218" s="39" t="str">
        <f t="shared" si="7"/>
        <v>20502</v>
      </c>
      <c r="E218" s="39">
        <f>IF(ISNA(VLOOKUP(F218,'2020功能科目'!A:B,2,FALSE)),"",VLOOKUP(F218,'2020功能科目'!A:B,2,FALSE))</f>
        <v>2050204</v>
      </c>
      <c r="F218" s="25" t="s">
        <v>375</v>
      </c>
      <c r="G218" s="26">
        <v>46564</v>
      </c>
      <c r="H218" s="26">
        <v>51629</v>
      </c>
    </row>
    <row r="219" spans="1:8">
      <c r="A219" s="24">
        <v>255022</v>
      </c>
      <c r="B219" s="25" t="s">
        <v>347</v>
      </c>
      <c r="C219" s="39" t="str">
        <f t="shared" si="6"/>
        <v>205</v>
      </c>
      <c r="D219" s="39" t="str">
        <f t="shared" si="7"/>
        <v>20502</v>
      </c>
      <c r="E219" s="39">
        <f>IF(ISNA(VLOOKUP(F219,'2020功能科目'!A:B,2,FALSE)),"",VLOOKUP(F219,'2020功能科目'!A:B,2,FALSE))</f>
        <v>2050299</v>
      </c>
      <c r="F219" s="25" t="s">
        <v>376</v>
      </c>
      <c r="G219" s="26">
        <v>279.2</v>
      </c>
      <c r="H219" s="26">
        <v>0</v>
      </c>
    </row>
    <row r="220" spans="1:8">
      <c r="A220" s="24">
        <v>255022</v>
      </c>
      <c r="B220" s="25" t="s">
        <v>347</v>
      </c>
      <c r="C220" s="39" t="str">
        <f t="shared" si="6"/>
        <v>205</v>
      </c>
      <c r="D220" s="39" t="str">
        <f t="shared" si="7"/>
        <v>20508</v>
      </c>
      <c r="E220" s="39">
        <f>IF(ISNA(VLOOKUP(F220,'2020功能科目'!A:B,2,FALSE)),"",VLOOKUP(F220,'2020功能科目'!A:B,2,FALSE))</f>
        <v>2050803</v>
      </c>
      <c r="F220" s="25" t="s">
        <v>377</v>
      </c>
      <c r="G220" s="26">
        <v>36800</v>
      </c>
      <c r="H220" s="26">
        <v>73600</v>
      </c>
    </row>
    <row r="221" spans="1:8">
      <c r="A221" s="24">
        <v>255022</v>
      </c>
      <c r="B221" s="25" t="s">
        <v>347</v>
      </c>
      <c r="C221" s="39" t="str">
        <f t="shared" si="6"/>
        <v>205</v>
      </c>
      <c r="D221" s="39" t="str">
        <f t="shared" si="7"/>
        <v>20509</v>
      </c>
      <c r="E221" s="39">
        <f>IF(ISNA(VLOOKUP(F221,'2020功能科目'!A:B,2,FALSE)),"",VLOOKUP(F221,'2020功能科目'!A:B,2,FALSE))</f>
        <v>2050903</v>
      </c>
      <c r="F221" s="25" t="s">
        <v>378</v>
      </c>
      <c r="G221" s="26">
        <v>138743.4</v>
      </c>
      <c r="H221" s="26">
        <v>140000</v>
      </c>
    </row>
    <row r="222" spans="1:8">
      <c r="A222" s="24">
        <v>255022</v>
      </c>
      <c r="B222" s="25" t="s">
        <v>347</v>
      </c>
      <c r="C222" s="39" t="str">
        <f t="shared" si="6"/>
        <v>205</v>
      </c>
      <c r="D222" s="39" t="str">
        <f t="shared" si="7"/>
        <v>20509</v>
      </c>
      <c r="E222" s="39">
        <f>IF(ISNA(VLOOKUP(F222,'2020功能科目'!A:B,2,FALSE)),"",VLOOKUP(F222,'2020功能科目'!A:B,2,FALSE))</f>
        <v>2050904</v>
      </c>
      <c r="F222" s="25" t="s">
        <v>379</v>
      </c>
      <c r="G222" s="26">
        <v>1246675.0900000001</v>
      </c>
      <c r="H222" s="26">
        <v>1261160</v>
      </c>
    </row>
    <row r="223" spans="1:8">
      <c r="A223" s="24">
        <v>255022</v>
      </c>
      <c r="B223" s="25" t="s">
        <v>347</v>
      </c>
      <c r="C223" s="39" t="str">
        <f t="shared" si="6"/>
        <v>208</v>
      </c>
      <c r="D223" s="39" t="str">
        <f t="shared" si="7"/>
        <v>20805</v>
      </c>
      <c r="E223" s="39">
        <f>IF(ISNA(VLOOKUP(F223,'2020功能科目'!A:B,2,FALSE)),"",VLOOKUP(F223,'2020功能科目'!A:B,2,FALSE))</f>
        <v>2080502</v>
      </c>
      <c r="F223" s="25" t="s">
        <v>380</v>
      </c>
      <c r="G223" s="26">
        <v>2701675.56</v>
      </c>
      <c r="H223" s="26">
        <v>2070473.15</v>
      </c>
    </row>
    <row r="224" spans="1:8">
      <c r="A224" s="24">
        <v>255022</v>
      </c>
      <c r="B224" s="25" t="s">
        <v>347</v>
      </c>
      <c r="C224" s="39" t="str">
        <f t="shared" si="6"/>
        <v>208</v>
      </c>
      <c r="D224" s="39" t="str">
        <f t="shared" si="7"/>
        <v>20805</v>
      </c>
      <c r="E224" s="39">
        <f>IF(ISNA(VLOOKUP(F224,'2020功能科目'!A:B,2,FALSE)),"",VLOOKUP(F224,'2020功能科目'!A:B,2,FALSE))</f>
        <v>2080505</v>
      </c>
      <c r="F224" s="25" t="s">
        <v>381</v>
      </c>
      <c r="G224" s="26">
        <v>1964071.04</v>
      </c>
      <c r="H224" s="26">
        <v>2098399.36</v>
      </c>
    </row>
    <row r="225" spans="1:8">
      <c r="A225" s="24">
        <v>255022</v>
      </c>
      <c r="B225" s="25" t="s">
        <v>347</v>
      </c>
      <c r="C225" s="39" t="str">
        <f t="shared" si="6"/>
        <v>208</v>
      </c>
      <c r="D225" s="39" t="str">
        <f t="shared" si="7"/>
        <v>20805</v>
      </c>
      <c r="E225" s="39">
        <f>IF(ISNA(VLOOKUP(F225,'2020功能科目'!A:B,2,FALSE)),"",VLOOKUP(F225,'2020功能科目'!A:B,2,FALSE))</f>
        <v>2080506</v>
      </c>
      <c r="F225" s="25" t="s">
        <v>382</v>
      </c>
      <c r="G225" s="26">
        <v>982035.52</v>
      </c>
      <c r="H225" s="26">
        <v>1049199.68</v>
      </c>
    </row>
    <row r="226" spans="1:8">
      <c r="A226" s="24">
        <v>255022</v>
      </c>
      <c r="B226" s="25" t="s">
        <v>347</v>
      </c>
      <c r="C226" s="39" t="str">
        <f t="shared" si="6"/>
        <v>210</v>
      </c>
      <c r="D226" s="39" t="str">
        <f t="shared" si="7"/>
        <v>21011</v>
      </c>
      <c r="E226" s="39">
        <f>IF(ISNA(VLOOKUP(F226,'2020功能科目'!A:B,2,FALSE)),"",VLOOKUP(F226,'2020功能科目'!A:B,2,FALSE))</f>
        <v>2101102</v>
      </c>
      <c r="F226" s="25" t="s">
        <v>384</v>
      </c>
      <c r="G226" s="26">
        <v>2132507.06</v>
      </c>
      <c r="H226" s="26">
        <v>1704949.48</v>
      </c>
    </row>
    <row r="227" spans="1:8">
      <c r="A227" s="24">
        <v>255022</v>
      </c>
      <c r="B227" s="25" t="s">
        <v>347</v>
      </c>
      <c r="C227" s="39" t="str">
        <f t="shared" si="6"/>
        <v>210</v>
      </c>
      <c r="D227" s="39" t="str">
        <f t="shared" si="7"/>
        <v>21011</v>
      </c>
      <c r="E227" s="39">
        <f>IF(ISNA(VLOOKUP(F227,'2020功能科目'!A:B,2,FALSE)),"",VLOOKUP(F227,'2020功能科目'!A:B,2,FALSE))</f>
        <v>2101199</v>
      </c>
      <c r="F227" s="25" t="s">
        <v>385</v>
      </c>
      <c r="G227" s="26">
        <v>180000</v>
      </c>
      <c r="H227" s="26">
        <v>360000</v>
      </c>
    </row>
    <row r="228" spans="1:8">
      <c r="A228" s="24">
        <v>255022</v>
      </c>
      <c r="B228" s="25" t="s">
        <v>347</v>
      </c>
      <c r="C228" s="39" t="str">
        <f t="shared" si="6"/>
        <v>221</v>
      </c>
      <c r="D228" s="39" t="str">
        <f t="shared" si="7"/>
        <v>22102</v>
      </c>
      <c r="E228" s="39">
        <f>IF(ISNA(VLOOKUP(F228,'2020功能科目'!A:B,2,FALSE)),"",VLOOKUP(F228,'2020功能科目'!A:B,2,FALSE))</f>
        <v>2210201</v>
      </c>
      <c r="F228" s="25" t="s">
        <v>386</v>
      </c>
      <c r="G228" s="26">
        <v>2537027</v>
      </c>
      <c r="H228" s="26">
        <v>2125799.52</v>
      </c>
    </row>
    <row r="229" spans="1:8">
      <c r="A229" s="24">
        <v>255022</v>
      </c>
      <c r="B229" s="25" t="s">
        <v>347</v>
      </c>
      <c r="C229" s="39" t="str">
        <f t="shared" si="6"/>
        <v>221</v>
      </c>
      <c r="D229" s="39" t="str">
        <f t="shared" si="7"/>
        <v>22102</v>
      </c>
      <c r="E229" s="39">
        <f>IF(ISNA(VLOOKUP(F229,'2020功能科目'!A:B,2,FALSE)),"",VLOOKUP(F229,'2020功能科目'!A:B,2,FALSE))</f>
        <v>2210202</v>
      </c>
      <c r="F229" s="25" t="s">
        <v>387</v>
      </c>
      <c r="G229" s="26">
        <v>215560</v>
      </c>
      <c r="H229" s="26">
        <v>217920</v>
      </c>
    </row>
    <row r="230" spans="1:8">
      <c r="A230" s="24">
        <v>255022</v>
      </c>
      <c r="B230" s="25" t="s">
        <v>347</v>
      </c>
      <c r="C230" s="39" t="str">
        <f t="shared" si="6"/>
        <v>221</v>
      </c>
      <c r="D230" s="39" t="str">
        <f t="shared" si="7"/>
        <v>22102</v>
      </c>
      <c r="E230" s="39">
        <f>IF(ISNA(VLOOKUP(F230,'2020功能科目'!A:B,2,FALSE)),"",VLOOKUP(F230,'2020功能科目'!A:B,2,FALSE))</f>
        <v>2210203</v>
      </c>
      <c r="F230" s="25" t="s">
        <v>388</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375</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376</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377</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378</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379</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380</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381</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382</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384</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385</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386</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387</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388</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389</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376</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377</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378</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379</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380</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381</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382</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384</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385</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386</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387</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388</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389</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376</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377</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378</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379</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380</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381</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382</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384</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385</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386</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387</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388</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389</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375</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376</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377</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379</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380</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381</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382</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384</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385</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386</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387</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388</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389</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376</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377</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378</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379</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380</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381</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382</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384</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385</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386</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387</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388</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390</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391</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377</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392</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380</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381</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382</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383</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384</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385</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386</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387</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388</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376</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390</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377</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379</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392</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380</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381</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382</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384</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385</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386</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387</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388</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374</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375</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376</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377</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379</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380</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381</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382</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383</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384</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385</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386</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387</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388</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374</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376</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377</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379</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380</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381</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382</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384</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385</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386</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387</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388</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374</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376</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377</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379</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380</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381</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382</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384</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386</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387</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388</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374</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376</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377</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379</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380</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381</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382</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384</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386</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387</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388</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374</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376</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377</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379</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380</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381</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382</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384</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386</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387</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388</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374</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376</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377</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378</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379</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380</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381</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382</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384</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386</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387</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388</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374</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376</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377</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378</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379</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380</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381</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382</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384</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386</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387</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388</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374</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376</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377</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379</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380</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381</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382</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384</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386</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387</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388</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374</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376</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377</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378</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379</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380</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381</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382</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384</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386</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387</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388</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374</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376</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377</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378</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379</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380</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381</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382</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384</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385</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386</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387</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388</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374</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376</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377</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379</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380</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381</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382</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384</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386</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387</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388</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374</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376</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377</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378</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379</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380</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381</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382</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384</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385</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386</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387</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388</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374</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376</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377</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379</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380</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381</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382</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384</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386</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387</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388</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374</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376</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377</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378</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379</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380</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381</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382</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384</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385</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386</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387</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388</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374</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376</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377</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378</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379</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380</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381</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382</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384</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385</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386</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387</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388</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374</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376</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377</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378</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379</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380</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381</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382</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384</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386</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387</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388</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374</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376</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377</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378</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379</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380</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381</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382</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384</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385</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386</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387</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388</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374</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376</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377</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378</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379</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380</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381</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382</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384</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386</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387</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388</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374</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376</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377</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379</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380</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381</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382</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384</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386</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387</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388</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374</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376</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377</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378</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379</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380</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381</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382</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384</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386</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387</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388</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374</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376</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377</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378</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379</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380</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381</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382</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384</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385</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386</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387</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388</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374</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376</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377</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378</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379</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380</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381</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382</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384</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386</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387</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388</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374</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376</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377</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378</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379</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380</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381</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382</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384</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385</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386</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387</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388</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374</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376</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377</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378</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379</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380</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381</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382</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384</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386</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387</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388</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374</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376</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377</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378</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379</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393</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380</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381</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382</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383</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384</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386</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387</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388</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374</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376</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377</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379</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380</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381</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382</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384</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385</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386</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387</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388</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374</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376</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377</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378</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379</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380</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381</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382</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384</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385</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386</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387</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388</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374</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376</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377</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378</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379</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380</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381</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382</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384</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385</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386</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387</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388</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374</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376</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377</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379</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380</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381</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382</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384</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385</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386</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387</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388</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374</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376</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377</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378</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379</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380</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381</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382</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384</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385</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386</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387</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388</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374</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376</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377</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378</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379</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380</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381</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382</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384</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385</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386</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387</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388</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374</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376</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377</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379</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380</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381</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382</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384</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386</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387</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388</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374</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376</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377</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378</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379</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380</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381</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382</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384</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385</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386</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387</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388</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374</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376</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377</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378</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379</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380</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381</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382</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384</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385</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386</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387</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388</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373</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377</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393</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380</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381</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382</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384</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385</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386</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387</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388</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373</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377</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393</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380</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381</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382</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384</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385</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386</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387</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388</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373</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377</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393</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380</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381</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382</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384</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385</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386</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387</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388</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373</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377</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393</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380</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381</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382</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384</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386</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387</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388</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373</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377</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393</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380</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381</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382</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384</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386</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387</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388</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373</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377</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393</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380</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381</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382</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384</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385</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386</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387</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388</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373</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377</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393</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380</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381</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382</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384</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386</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387</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388</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373</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377</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393</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380</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381</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382</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384</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386</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387</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388</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380</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387</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373</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375</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376</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394</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377</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378</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379</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380</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381</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382</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384</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386</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387</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388</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373</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376</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394</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395</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377</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378</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379</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380</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381</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382</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384</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386</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387</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388</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376</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396</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377</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379</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380</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381</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382</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383</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384</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386</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387</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388</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376</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377</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393</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380</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381</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382</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384</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385</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386</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387</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388</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376</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377</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393</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397</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380</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381</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382</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384</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385</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386</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387</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388</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376</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377</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393</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380</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381</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382</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384</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386</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387</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388</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376</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377</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393</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380</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381</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382</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384</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386</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387</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388</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376</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377</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393</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380</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381</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382</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384</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386</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387</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388</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376</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377</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393</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380</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381</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382</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384</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386</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387</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388</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376</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377</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393</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380</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381</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382</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384</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386</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387</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388</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376</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398</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377</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393</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380</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381</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382</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384</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385</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386</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387</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388</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376</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377</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393</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380</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381</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382</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384</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386</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387</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388</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376</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377</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393</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380</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381</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382</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383</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384</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386</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387</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388</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376</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398</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377</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393</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380</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381</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382</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384</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386</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387</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388</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376</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377</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393</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380</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381</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382</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384</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386</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387</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388</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376</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377</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380</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381</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382</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384</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386</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387</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388</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376</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377</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381</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382</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384</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386</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387</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388</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376</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377</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393</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380</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381</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382</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384</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386</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387</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388</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376</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393</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380</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381</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382</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384</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386</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387</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388</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373</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377</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393</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380</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381</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382</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384</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386</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387</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388</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374</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376</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377</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378</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379</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380</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381</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382</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384</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386</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387</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388</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376</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377</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380</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381</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382</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384</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386</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387</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388</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375</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376</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377</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378</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379</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380</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381</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382</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384</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385</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386</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387</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388</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375</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376</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377</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378</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379</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380</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381</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382</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384</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385</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386</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387</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388</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375</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376</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377</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379</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380</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381</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382</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384</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385</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386</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387</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388</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375</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377</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378</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379</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380</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381</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382</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384</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385</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386</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387</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388</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375</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376</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377</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378</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379</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380</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381</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382</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384</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385</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386</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387</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388</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376</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390</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391</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377</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392</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380</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381</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382</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384</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385</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399</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386</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387</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388</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375</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377</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380</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381</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382</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384</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385</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386</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387</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388</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375</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376</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377</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378</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379</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380</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381</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382</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384</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385</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386</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387</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388</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375</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376</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377</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379</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380</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381</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382</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384</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385</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386</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387</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388</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375</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376</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377</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378</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379</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380</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381</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382</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384</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385</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386</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387</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388</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374</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376</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377</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378</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379</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380</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381</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382</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384</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385</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386</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387</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388</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374</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376</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377</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378</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379</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380</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381</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382</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384</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385</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386</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387</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388</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374</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376</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377</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378</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379</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380</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381</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382</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384</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386</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387</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388</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374</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376</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377</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378</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379</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380</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381</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382</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384</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385</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386</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387</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388</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374</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376</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377</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378</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379</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380</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381</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382</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383</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384</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385</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386</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387</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388</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374</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376</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377</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378</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379</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380</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381</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382</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384</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386</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387</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388</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374</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376</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377</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379</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380</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381</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382</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384</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386</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387</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388</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374</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376</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377</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378</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379</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380</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381</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382</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384</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386</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387</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388</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374</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376</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377</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379</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380</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381</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382</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384</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385</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386</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387</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388</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374</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376</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377</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378</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379</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380</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381</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382</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384</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385</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386</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387</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388</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374</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377</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379</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380</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381</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382</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384</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385</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386</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387</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388</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374</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376</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377</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378</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379</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380</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381</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382</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383</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384</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386</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387</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388</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374</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376</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377</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378</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379</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380</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381</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382</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384</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385</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386</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387</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388</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374</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376</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377</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378</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379</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380</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381</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382</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384</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386</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387</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388</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374</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376</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377</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378</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379</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380</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381</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382</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384</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385</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386</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387</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388</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374</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376</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377</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378</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379</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380</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381</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382</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384</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386</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387</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388</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374</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377</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378</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379</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380</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381</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382</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384</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385</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386</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387</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388</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374</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376</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377</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378</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379</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380</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381</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382</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384</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386</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387</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388</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374</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377</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378</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379</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380</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381</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382</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384</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386</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387</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388</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374</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376</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377</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379</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380</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381</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382</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384</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386</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387</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388</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374</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376</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377</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378</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379</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380</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381</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382</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384</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386</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387</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388</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374</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376</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377</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378</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379</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380</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381</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382</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384</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386</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387</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388</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373</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377</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393</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380</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381</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382</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384</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386</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387</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388</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373</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377</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393</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380</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381</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382</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384</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385</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386</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387</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388</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373</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377</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393</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380</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381</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382</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384</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385</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386</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387</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388</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373</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377</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380</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381</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382</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384</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386</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387</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388</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373</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377</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393</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380</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381</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382</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384</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386</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387</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388</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373</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377</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393</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380</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381</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382</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384</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386</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387</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388</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373</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377</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393</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380</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381</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382</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384</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386</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387</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388</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373</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377</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380</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381</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382</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384</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386</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387</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388</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373</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377</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393</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380</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381</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382</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384</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386</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387</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388</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373</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377</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393</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380</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381</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382</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384</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385</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386</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387</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388</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373</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377</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393</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380</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381</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382</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384</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386</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387</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388</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373</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377</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393</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380</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381</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382</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384</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386</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387</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388</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373</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377</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393</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380</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381</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382</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384</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386</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387</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388</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400</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377</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393</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380</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381</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382</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384</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385</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386</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387</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388</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401</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377</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393</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380</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381</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382</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384</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386</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387</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388</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376</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398</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377</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393</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380</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381</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382</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384</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385</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386</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387</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388</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376</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377</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393</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380</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381</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382</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384</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385</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386</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387</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388</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376</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377</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393</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397</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380</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381</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382</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384</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386</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387</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388</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376</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377</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393</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380</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381</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382</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384</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386</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387</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388</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376</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377</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380</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381</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382</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383</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384</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386</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387</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388</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373</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374</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389</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375</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376</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377</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378</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393</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380</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381</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382</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383</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384</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385</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402</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386</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387</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388</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376</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390</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391</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377</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392</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380</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381</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382</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384</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385</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386</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387</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388</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375</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376</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377</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378</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379</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380</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381</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382</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384</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385</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386</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387</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388</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375</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376</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377</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378</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379</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380</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381</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382</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384</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386</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387</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388</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376</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377</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393</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380</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381</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382</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384</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386</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387</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388</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373</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377</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393</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381</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382</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384</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386</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387</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388</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373</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377</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393</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381</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382</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384</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386</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387</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388</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374</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376</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377</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378</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379</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381</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382</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384</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386</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387</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388</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373</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377</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393</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380</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381</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382</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384</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386</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387</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388</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373</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377</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393</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381</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382</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384</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386</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387</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388</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373</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377</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393</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381</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382</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384</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386</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387</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388</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373</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377</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393</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381</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382</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384</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386</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387</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388</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373</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377</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393</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381</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382</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384</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386</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387</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388</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376</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377</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381</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382</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384</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386</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387</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388</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376</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381</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382</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384</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386</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376</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377</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393</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381</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382</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384</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386</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387</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388</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374</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377</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379</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381</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382</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384</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386</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387</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388</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373</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374</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389</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375</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376</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390</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391</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400</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401</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394</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396</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395</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398</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377</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378</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379</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392</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393</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397</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380</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381</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382</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383</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384</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385</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402</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399</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386</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387</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388</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446</v>
      </c>
      <c r="B1" s="52" t="s">
        <v>447</v>
      </c>
    </row>
    <row r="2" spans="1:2">
      <c r="A2" s="54" t="s">
        <v>448</v>
      </c>
      <c r="B2" s="52">
        <v>2050101</v>
      </c>
    </row>
    <row r="3" spans="1:2">
      <c r="A3" s="54" t="s">
        <v>449</v>
      </c>
      <c r="B3" s="52">
        <v>2050102</v>
      </c>
    </row>
    <row r="4" spans="1:2">
      <c r="A4" s="54" t="s">
        <v>373</v>
      </c>
      <c r="B4" s="52">
        <v>2050201</v>
      </c>
    </row>
    <row r="5" spans="1:2">
      <c r="A5" s="54" t="s">
        <v>374</v>
      </c>
      <c r="B5" s="52">
        <v>2050202</v>
      </c>
    </row>
    <row r="6" spans="1:2">
      <c r="A6" s="54" t="s">
        <v>389</v>
      </c>
      <c r="B6" s="52">
        <v>2050203</v>
      </c>
    </row>
    <row r="7" spans="1:2">
      <c r="A7" s="54" t="s">
        <v>375</v>
      </c>
      <c r="B7" s="52">
        <v>2050204</v>
      </c>
    </row>
    <row r="8" spans="1:2">
      <c r="A8" s="54" t="s">
        <v>376</v>
      </c>
      <c r="B8" s="52">
        <v>2050299</v>
      </c>
    </row>
    <row r="9" spans="1:2">
      <c r="A9" s="54" t="s">
        <v>390</v>
      </c>
      <c r="B9" s="52">
        <v>2050302</v>
      </c>
    </row>
    <row r="10" spans="1:2">
      <c r="A10" s="54" t="s">
        <v>450</v>
      </c>
      <c r="B10" s="52">
        <v>2050304</v>
      </c>
    </row>
    <row r="11" spans="1:2">
      <c r="A11" s="54" t="s">
        <v>391</v>
      </c>
      <c r="B11" s="52">
        <v>2050399</v>
      </c>
    </row>
    <row r="12" spans="1:2">
      <c r="A12" s="54" t="s">
        <v>400</v>
      </c>
      <c r="B12" s="52">
        <v>2050403</v>
      </c>
    </row>
    <row r="13" spans="1:2">
      <c r="A13" s="54" t="s">
        <v>401</v>
      </c>
      <c r="B13" s="52">
        <v>2050404</v>
      </c>
    </row>
    <row r="14" spans="1:2">
      <c r="A14" s="54" t="s">
        <v>394</v>
      </c>
      <c r="B14" s="52">
        <v>2050701</v>
      </c>
    </row>
    <row r="15" spans="1:2">
      <c r="A15" s="54" t="s">
        <v>396</v>
      </c>
      <c r="B15" s="52">
        <v>2050702</v>
      </c>
    </row>
    <row r="16" spans="1:2">
      <c r="A16" s="54" t="s">
        <v>395</v>
      </c>
      <c r="B16" s="52">
        <v>2050799</v>
      </c>
    </row>
    <row r="17" spans="1:2">
      <c r="A17" s="54" t="s">
        <v>398</v>
      </c>
      <c r="B17" s="52">
        <v>2050801</v>
      </c>
    </row>
    <row r="18" spans="1:2">
      <c r="A18" s="54" t="s">
        <v>377</v>
      </c>
      <c r="B18" s="52">
        <v>2050803</v>
      </c>
    </row>
    <row r="19" spans="1:2">
      <c r="A19" s="54" t="s">
        <v>378</v>
      </c>
      <c r="B19" s="52">
        <v>2050903</v>
      </c>
    </row>
    <row r="20" spans="1:2">
      <c r="A20" s="54" t="s">
        <v>379</v>
      </c>
      <c r="B20" s="52">
        <v>2050904</v>
      </c>
    </row>
    <row r="21" spans="1:2">
      <c r="A21" s="54" t="s">
        <v>392</v>
      </c>
      <c r="B21" s="52">
        <v>2050905</v>
      </c>
    </row>
    <row r="22" spans="1:2">
      <c r="A22" s="54" t="s">
        <v>393</v>
      </c>
      <c r="B22" s="52">
        <v>2050999</v>
      </c>
    </row>
    <row r="23" spans="1:2">
      <c r="A23" s="54" t="s">
        <v>397</v>
      </c>
      <c r="B23" s="52">
        <v>2060702</v>
      </c>
    </row>
    <row r="24" spans="1:2">
      <c r="A24" s="54" t="s">
        <v>451</v>
      </c>
      <c r="B24" s="52">
        <v>2080501</v>
      </c>
    </row>
    <row r="25" spans="1:2">
      <c r="A25" s="54" t="s">
        <v>380</v>
      </c>
      <c r="B25" s="52">
        <v>2080502</v>
      </c>
    </row>
    <row r="26" spans="1:2">
      <c r="A26" s="54" t="s">
        <v>381</v>
      </c>
      <c r="B26" s="52">
        <v>2080505</v>
      </c>
    </row>
    <row r="27" spans="1:2">
      <c r="A27" s="54" t="s">
        <v>382</v>
      </c>
      <c r="B27" s="52">
        <v>2080506</v>
      </c>
    </row>
    <row r="28" spans="1:2">
      <c r="A28" s="54" t="s">
        <v>383</v>
      </c>
      <c r="B28" s="52">
        <v>2080801</v>
      </c>
    </row>
    <row r="29" spans="1:2">
      <c r="A29" s="54" t="s">
        <v>452</v>
      </c>
      <c r="B29" s="52">
        <v>2101101</v>
      </c>
    </row>
    <row r="30" spans="1:2">
      <c r="A30" s="54" t="s">
        <v>384</v>
      </c>
      <c r="B30" s="52">
        <v>2101102</v>
      </c>
    </row>
    <row r="31" spans="1:2">
      <c r="A31" s="54" t="s">
        <v>385</v>
      </c>
      <c r="B31" s="52">
        <v>2101199</v>
      </c>
    </row>
    <row r="32" spans="1:2">
      <c r="A32" s="54" t="s">
        <v>402</v>
      </c>
      <c r="B32" s="52">
        <v>2120399</v>
      </c>
    </row>
    <row r="33" spans="1:2">
      <c r="A33" s="54" t="s">
        <v>386</v>
      </c>
      <c r="B33" s="52">
        <v>2210201</v>
      </c>
    </row>
    <row r="34" spans="1:2">
      <c r="A34" s="54" t="s">
        <v>387</v>
      </c>
      <c r="B34" s="52">
        <v>2210202</v>
      </c>
    </row>
    <row r="35" spans="1:2">
      <c r="A35" s="54" t="s">
        <v>388</v>
      </c>
      <c r="B35" s="52">
        <v>2210203</v>
      </c>
    </row>
    <row r="36" spans="1:2">
      <c r="A36" s="54" t="s">
        <v>453</v>
      </c>
      <c r="B36" s="52">
        <v>2296003</v>
      </c>
    </row>
    <row r="37" spans="1:2">
      <c r="A37" s="54" t="s">
        <v>454</v>
      </c>
      <c r="B37" s="52">
        <v>2340201</v>
      </c>
    </row>
    <row r="38" spans="1:2">
      <c r="A38" s="54" t="s">
        <v>399</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459</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topLeftCell="A58" zoomScaleNormal="100" workbookViewId="0">
      <selection activeCell="A72" sqref="A72"/>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55.2" customHeight="1">
      <c r="A4" s="67" t="s">
        <v>468</v>
      </c>
      <c r="B4" s="67"/>
      <c r="C4" s="67"/>
      <c r="D4" s="67"/>
      <c r="E4" s="67"/>
      <c r="F4" s="67"/>
      <c r="G4" s="67"/>
      <c r="H4" s="67"/>
      <c r="I4" s="67"/>
      <c r="J4" s="67"/>
      <c r="K4" s="67"/>
      <c r="L4" s="67"/>
      <c r="M4" s="67"/>
      <c r="N4" s="19"/>
    </row>
    <row r="5" spans="1:14" ht="18" customHeight="1">
      <c r="A5" s="7" t="s">
        <v>183</v>
      </c>
    </row>
    <row r="6" spans="1:14" ht="18" customHeight="1">
      <c r="A6" s="62" t="s">
        <v>289</v>
      </c>
      <c r="B6" s="62"/>
      <c r="C6" s="10">
        <v>114</v>
      </c>
      <c r="D6" s="10" t="s">
        <v>291</v>
      </c>
      <c r="E6" s="8">
        <f>_xlfn.IFNA(VLOOKUP(封面!B1,'2020决算导出'!A:C,3,FALSE),"")</f>
        <v>110</v>
      </c>
      <c r="F6" s="10" t="s">
        <v>292</v>
      </c>
      <c r="G6" s="10"/>
      <c r="H6" s="10"/>
      <c r="I6" s="10"/>
      <c r="J6" s="10"/>
      <c r="K6" s="10"/>
      <c r="L6" s="10"/>
      <c r="M6" s="10"/>
      <c r="N6" s="10"/>
    </row>
    <row r="7" spans="1:14" ht="18" customHeight="1">
      <c r="A7" s="6" t="s">
        <v>184</v>
      </c>
    </row>
    <row r="8" spans="1:14" ht="18" customHeight="1">
      <c r="A8" s="62" t="s">
        <v>185</v>
      </c>
      <c r="B8" s="62"/>
      <c r="C8" s="62"/>
      <c r="D8" s="14">
        <f>_xlfn.IFNA(VLOOKUP(封面!B1,'2020决算导出'!A:D,4,FALSE),"")</f>
        <v>58395798.710000001</v>
      </c>
      <c r="E8" s="7" t="s">
        <v>187</v>
      </c>
      <c r="F8" s="20" t="s">
        <v>293</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6123365.1499999985</v>
      </c>
      <c r="I8" s="16" t="s">
        <v>187</v>
      </c>
      <c r="J8" s="30" t="str">
        <f>IF(ISNA(VLOOKUP(封面!B1,'2019决算导出'!A:C,3,FALSE)),"",IF(D8-VLOOKUP(封面!B1,'2019决算导出'!A:C,3,FALSE)&gt;0,"增长","下降"))</f>
        <v>增长</v>
      </c>
      <c r="K8" s="31">
        <f>IF(ISNA(VLOOKUP(封面!B1,'2019决算导出'!A:C,3,FALSE)),"",H8/VLOOKUP(封面!B1,'2019决算导出'!A:C,3,FALSE))</f>
        <v>0.1171432958630365</v>
      </c>
      <c r="L8" s="7" t="s">
        <v>357</v>
      </c>
    </row>
    <row r="9" spans="1:14" ht="18" customHeight="1">
      <c r="A9" s="7" t="s">
        <v>188</v>
      </c>
      <c r="G9" s="32"/>
      <c r="H9" s="32"/>
      <c r="I9" s="32"/>
      <c r="J9" s="32"/>
      <c r="K9" s="32"/>
    </row>
    <row r="10" spans="1:14" ht="18" customHeight="1">
      <c r="A10" s="62" t="s">
        <v>189</v>
      </c>
      <c r="B10" s="62"/>
      <c r="C10" s="62"/>
      <c r="D10" s="14">
        <f>_xlfn.IFNA(VLOOKUP(封面!B1,'2020决算导出'!A:E,5,FALSE),"")</f>
        <v>58108731.689999998</v>
      </c>
      <c r="E10" s="7" t="s">
        <v>187</v>
      </c>
      <c r="F10" s="20" t="s">
        <v>293</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6167822.6299999952</v>
      </c>
      <c r="I10" s="16" t="s">
        <v>187</v>
      </c>
      <c r="J10" s="30" t="str">
        <f>IF(ISNA(VLOOKUP(封面!B1,'2019决算导出'!A:D,4,FALSE)),"",IF(D10-VLOOKUP(封面!B1,'2019决算导出'!A:D,4,FALSE)&gt;0,"增长","下降"))</f>
        <v>增长</v>
      </c>
      <c r="K10" s="31">
        <f>IF(ISNA(VLOOKUP(封面!B1,'2019决算导出'!A:D,4,FALSE)),"",H10/VLOOKUP(封面!B1,'2019决算导出'!A:D,4,FALSE))</f>
        <v>0.11874691339874664</v>
      </c>
      <c r="L10" s="7" t="s">
        <v>358</v>
      </c>
    </row>
    <row r="11" spans="1:14" ht="18" customHeight="1">
      <c r="A11" s="62" t="s">
        <v>190</v>
      </c>
      <c r="B11" s="62"/>
      <c r="C11" s="62"/>
      <c r="D11" s="14">
        <f>_xlfn.IFNA(VLOOKUP(封面!B1,'2020决算导出'!A:F,6,FALSE),"")</f>
        <v>58108731.689999998</v>
      </c>
      <c r="E11" s="7" t="s">
        <v>187</v>
      </c>
      <c r="F11" s="62" t="s">
        <v>191</v>
      </c>
      <c r="G11" s="62"/>
      <c r="H11" s="29">
        <f>D11/$D$10</f>
        <v>1</v>
      </c>
      <c r="I11" s="7" t="s">
        <v>359</v>
      </c>
    </row>
    <row r="12" spans="1:14" ht="18" customHeight="1">
      <c r="A12" s="62" t="s">
        <v>193</v>
      </c>
      <c r="B12" s="62"/>
      <c r="C12" s="62"/>
      <c r="D12" s="14">
        <f>_xlfn.IFNA(VLOOKUP(封面!B1,'2020决算导出'!A:G,7,FALSE),"")</f>
        <v>0</v>
      </c>
      <c r="E12" s="7" t="s">
        <v>187</v>
      </c>
      <c r="F12" s="62" t="s">
        <v>191</v>
      </c>
      <c r="G12" s="62"/>
      <c r="H12" s="29">
        <f t="shared" ref="H12:H15" si="0">D12/$D$10</f>
        <v>0</v>
      </c>
      <c r="I12" s="7" t="s">
        <v>359</v>
      </c>
    </row>
    <row r="13" spans="1:14" ht="18" customHeight="1">
      <c r="A13" s="62" t="s">
        <v>194</v>
      </c>
      <c r="B13" s="62"/>
      <c r="C13" s="62"/>
      <c r="D13" s="14">
        <f>_xlfn.IFNA(VLOOKUP(封面!B1,'2020决算导出'!A:H,8,FALSE),"")</f>
        <v>0</v>
      </c>
      <c r="E13" s="7" t="s">
        <v>187</v>
      </c>
      <c r="F13" s="62" t="s">
        <v>191</v>
      </c>
      <c r="G13" s="62"/>
      <c r="H13" s="29">
        <f t="shared" si="0"/>
        <v>0</v>
      </c>
      <c r="I13" s="7" t="s">
        <v>359</v>
      </c>
    </row>
    <row r="14" spans="1:14" ht="18" customHeight="1">
      <c r="A14" s="62" t="s">
        <v>195</v>
      </c>
      <c r="B14" s="62"/>
      <c r="C14" s="62"/>
      <c r="D14" s="14">
        <f>_xlfn.IFNA(VLOOKUP(封面!B1,'2020决算导出'!A:I,9,FALSE),"")</f>
        <v>0</v>
      </c>
      <c r="E14" s="7" t="s">
        <v>187</v>
      </c>
      <c r="F14" s="62" t="s">
        <v>191</v>
      </c>
      <c r="G14" s="62"/>
      <c r="H14" s="29">
        <f t="shared" si="0"/>
        <v>0</v>
      </c>
      <c r="I14" s="7" t="s">
        <v>359</v>
      </c>
    </row>
    <row r="15" spans="1:14" ht="18" customHeight="1">
      <c r="A15" s="62" t="s">
        <v>196</v>
      </c>
      <c r="B15" s="62"/>
      <c r="C15" s="62"/>
      <c r="D15" s="14">
        <f>_xlfn.IFNA(VLOOKUP(封面!B1,'2020决算导出'!A:J,10,FALSE),"")</f>
        <v>0</v>
      </c>
      <c r="E15" s="7" t="s">
        <v>187</v>
      </c>
      <c r="F15" s="62" t="s">
        <v>191</v>
      </c>
      <c r="G15" s="62"/>
      <c r="H15" s="29">
        <f t="shared" si="0"/>
        <v>0</v>
      </c>
      <c r="I15" s="7" t="s">
        <v>360</v>
      </c>
    </row>
    <row r="16" spans="1:14" ht="18" customHeight="1">
      <c r="A16" s="7" t="s">
        <v>197</v>
      </c>
    </row>
    <row r="17" spans="1:13" ht="18" customHeight="1">
      <c r="A17" s="62" t="s">
        <v>198</v>
      </c>
      <c r="B17" s="62"/>
      <c r="C17" s="62"/>
      <c r="D17" s="14">
        <f>_xlfn.IFNA(VLOOKUP(封面!B1,'2020决算导出'!A:K,11,FALSE),"")</f>
        <v>58345798.710000001</v>
      </c>
      <c r="E17" s="7" t="s">
        <v>187</v>
      </c>
      <c r="F17" s="20" t="s">
        <v>293</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6885725.9100000039</v>
      </c>
      <c r="I17" s="7" t="s">
        <v>187</v>
      </c>
      <c r="J17" s="30" t="str">
        <f>IF(ISNA(VLOOKUP(封面!B1,'2019决算导出'!A:E,5,FALSE)),"",IF(D17-VLOOKUP(封面!B1,'2019决算导出'!A:E,5,FALSE)&gt;0,"增长","下降"))</f>
        <v>增长</v>
      </c>
      <c r="K17" s="31">
        <f>IF(ISNA(VLOOKUP(封面!B1,'2019决算导出'!A:E,5,FALSE)),"",H17/VLOOKUP(封面!B1,'2019决算导出'!A:E,5,FALSE))</f>
        <v>0.13380715446636532</v>
      </c>
      <c r="L17" s="7" t="s">
        <v>361</v>
      </c>
    </row>
    <row r="18" spans="1:13" ht="18" customHeight="1">
      <c r="A18" s="62" t="s">
        <v>199</v>
      </c>
      <c r="B18" s="62"/>
      <c r="C18" s="62"/>
      <c r="D18" s="14">
        <f>_xlfn.IFNA(VLOOKUP(封面!B1,'2020决算导出'!A:L,12,FALSE),"")</f>
        <v>50776990.539999999</v>
      </c>
      <c r="E18" s="7" t="s">
        <v>187</v>
      </c>
      <c r="F18" s="62" t="s">
        <v>200</v>
      </c>
      <c r="G18" s="62"/>
      <c r="H18" s="29">
        <f>D18/$D$17</f>
        <v>0.87027672364860831</v>
      </c>
      <c r="I18" s="7" t="s">
        <v>359</v>
      </c>
    </row>
    <row r="19" spans="1:13" ht="18" customHeight="1">
      <c r="A19" s="62" t="s">
        <v>201</v>
      </c>
      <c r="B19" s="62"/>
      <c r="C19" s="62"/>
      <c r="D19" s="14">
        <f>_xlfn.IFNA(VLOOKUP(封面!B1,'2020决算导出'!A:M,13,FALSE),"")</f>
        <v>7568808.1699999999</v>
      </c>
      <c r="E19" s="7" t="s">
        <v>187</v>
      </c>
      <c r="F19" s="62" t="s">
        <v>200</v>
      </c>
      <c r="G19" s="62"/>
      <c r="H19" s="29">
        <f t="shared" ref="H19:H20" si="1">D19/$D$17</f>
        <v>0.12972327635139164</v>
      </c>
      <c r="I19" s="7" t="s">
        <v>359</v>
      </c>
    </row>
    <row r="20" spans="1:13" ht="18" customHeight="1">
      <c r="A20" s="62" t="s">
        <v>202</v>
      </c>
      <c r="B20" s="62"/>
      <c r="C20" s="62"/>
      <c r="D20" s="14">
        <f>_xlfn.IFNA(VLOOKUP(封面!B1,'2020决算导出'!A:N,14,FALSE),"")</f>
        <v>0</v>
      </c>
      <c r="E20" s="7" t="s">
        <v>187</v>
      </c>
      <c r="F20" s="62" t="s">
        <v>200</v>
      </c>
      <c r="G20" s="62"/>
      <c r="H20" s="29">
        <f t="shared" si="1"/>
        <v>0</v>
      </c>
      <c r="I20" s="7" t="s">
        <v>360</v>
      </c>
    </row>
    <row r="21" spans="1:13" ht="18" customHeight="1">
      <c r="A21" s="6" t="s">
        <v>203</v>
      </c>
    </row>
    <row r="22" spans="1:13" ht="18" customHeight="1">
      <c r="A22" s="62" t="s">
        <v>204</v>
      </c>
      <c r="B22" s="62"/>
      <c r="C22" s="62"/>
      <c r="D22" s="62"/>
      <c r="E22" s="64">
        <f>_xlfn.IFNA(VLOOKUP(封面!B1,'2020决算导出'!A:O,15,FALSE),"")</f>
        <v>58395798.710000001</v>
      </c>
      <c r="F22" s="64"/>
      <c r="G22" s="15" t="s">
        <v>293</v>
      </c>
      <c r="H22" s="30" t="str">
        <f>IF(ISNA(VLOOKUP(封面!B1,'2019决算导出'!A:F,6,FALSE)),"",IF(E22-VLOOKUP(封面!B1,'2019决算导出'!A:F,6,FALSE)&gt;0,"增加","减少"))</f>
        <v>增加</v>
      </c>
      <c r="I22" s="33">
        <f>IF(ISNA(VLOOKUP(封面!B1,'2019决算导出'!A:F,6,FALSE)),"",IF(E22-VLOOKUP(封面!B1,'2019决算导出'!A:F,6,FALSE)&gt;0,E22-VLOOKUP(封面!B1,'2019决算导出'!A:F,6,FALSE),VLOOKUP(封面!B1,'2019决算导出'!A:F,6,FALSE)-E22))</f>
        <v>6137165.1499999985</v>
      </c>
      <c r="J22" s="7" t="s">
        <v>187</v>
      </c>
      <c r="K22" s="30" t="str">
        <f>IF(ISNA(VLOOKUP(封面!B1,'2019决算导出'!A:F,6,FALSE)),"",IF(E22-VLOOKUP(封面!B1,'2019决算导出'!A:F,6,FALSE)&gt;0,"增长","下降"))</f>
        <v>增长</v>
      </c>
      <c r="L22" s="31">
        <f>IF(ISNA(VLOOKUP(封面!B1,'2019决算导出'!A:F,6,FALSE)),"",I22/VLOOKUP(封面!B1,'2019决算导出'!A:F,6,FALSE))</f>
        <v>0.11743830123215335</v>
      </c>
      <c r="M22" s="7" t="s">
        <v>357</v>
      </c>
    </row>
    <row r="23" spans="1:13" ht="36" customHeight="1">
      <c r="B23" s="63" t="s">
        <v>469</v>
      </c>
      <c r="C23" s="63"/>
      <c r="D23" s="63"/>
      <c r="E23" s="63"/>
      <c r="F23" s="63"/>
      <c r="G23" s="63"/>
      <c r="H23" s="63"/>
      <c r="I23" s="63"/>
      <c r="J23" s="63"/>
      <c r="K23" s="63"/>
      <c r="L23" s="63"/>
      <c r="M23" s="63"/>
    </row>
    <row r="24" spans="1:13" ht="18" customHeight="1">
      <c r="A24" s="6" t="s">
        <v>205</v>
      </c>
    </row>
    <row r="25" spans="1:13" ht="18" customHeight="1">
      <c r="A25" s="7" t="s">
        <v>206</v>
      </c>
    </row>
    <row r="26" spans="1:13" ht="18" customHeight="1">
      <c r="A26" s="62" t="s">
        <v>207</v>
      </c>
      <c r="B26" s="62"/>
      <c r="C26" s="62"/>
      <c r="D26" s="62"/>
      <c r="E26" s="62"/>
      <c r="F26" s="64">
        <f>_xlfn.IFNA(VLOOKUP(封面!B1,'2020决算导出'!A:P,16,FALSE),"")</f>
        <v>58345798.710000001</v>
      </c>
      <c r="G26" s="64"/>
      <c r="H26" s="7" t="s">
        <v>187</v>
      </c>
      <c r="I26" s="10" t="s">
        <v>208</v>
      </c>
      <c r="J26" s="10"/>
      <c r="K26" s="10"/>
      <c r="L26" s="10"/>
      <c r="M26" s="10"/>
    </row>
    <row r="27" spans="1:13" ht="18" customHeight="1">
      <c r="A27" s="62" t="s">
        <v>211</v>
      </c>
      <c r="B27" s="62"/>
      <c r="C27" s="62"/>
      <c r="D27" s="64">
        <f>_xlfn.IFNA(VLOOKUP(封面!B1,'2020决算导出'!A:Q,17,FALSE),"")</f>
        <v>44068404.399999999</v>
      </c>
      <c r="E27" s="64"/>
      <c r="F27" s="7" t="s">
        <v>187</v>
      </c>
      <c r="G27" s="65" t="s">
        <v>210</v>
      </c>
      <c r="H27" s="65"/>
      <c r="I27" s="29">
        <f>D27/$F$26</f>
        <v>0.75529696009538094</v>
      </c>
      <c r="J27" s="7" t="s">
        <v>359</v>
      </c>
      <c r="K27" s="9"/>
      <c r="L27" s="9"/>
      <c r="M27" s="9"/>
    </row>
    <row r="28" spans="1:13" ht="18" customHeight="1">
      <c r="A28" s="62" t="s">
        <v>212</v>
      </c>
      <c r="B28" s="62"/>
      <c r="C28" s="62"/>
      <c r="D28" s="64">
        <f>_xlfn.IFNA(VLOOKUP(封面!B1,'2020决算导出'!A:R,18,FALSE),"")</f>
        <v>0</v>
      </c>
      <c r="E28" s="64"/>
      <c r="F28" s="7" t="s">
        <v>187</v>
      </c>
      <c r="G28" s="65" t="s">
        <v>210</v>
      </c>
      <c r="H28" s="65"/>
      <c r="I28" s="29">
        <f t="shared" ref="I28:I33" si="2">D28/$F$26</f>
        <v>0</v>
      </c>
      <c r="J28" s="7" t="s">
        <v>359</v>
      </c>
      <c r="K28" s="9"/>
      <c r="L28" s="9"/>
      <c r="M28" s="9"/>
    </row>
    <row r="29" spans="1:13" ht="18" customHeight="1">
      <c r="A29" s="62" t="s">
        <v>209</v>
      </c>
      <c r="B29" s="62"/>
      <c r="C29" s="62"/>
      <c r="D29" s="64">
        <f>_xlfn.IFNA(VLOOKUP(封面!B1,'2020决算导出'!A:S,19,FALSE),"")</f>
        <v>5104872.2</v>
      </c>
      <c r="E29" s="64"/>
      <c r="F29" s="7" t="s">
        <v>187</v>
      </c>
      <c r="G29" s="65" t="s">
        <v>210</v>
      </c>
      <c r="H29" s="65"/>
      <c r="I29" s="29">
        <f t="shared" si="2"/>
        <v>8.7493398202895215E-2</v>
      </c>
      <c r="J29" s="7" t="s">
        <v>359</v>
      </c>
    </row>
    <row r="30" spans="1:13" ht="18" customHeight="1">
      <c r="A30" s="62" t="s">
        <v>213</v>
      </c>
      <c r="B30" s="62"/>
      <c r="C30" s="62"/>
      <c r="D30" s="64">
        <f>_xlfn.IFNA(VLOOKUP(封面!B1,'2020决算导出'!A:T,20,FALSE),"")</f>
        <v>2595725.11</v>
      </c>
      <c r="E30" s="64"/>
      <c r="F30" s="7" t="s">
        <v>187</v>
      </c>
      <c r="G30" s="65" t="s">
        <v>210</v>
      </c>
      <c r="H30" s="65"/>
      <c r="I30" s="29">
        <f t="shared" si="2"/>
        <v>4.4488637869226966E-2</v>
      </c>
      <c r="J30" s="7" t="s">
        <v>359</v>
      </c>
    </row>
    <row r="31" spans="1:13" ht="18" customHeight="1">
      <c r="A31" s="62" t="s">
        <v>214</v>
      </c>
      <c r="B31" s="62"/>
      <c r="C31" s="62"/>
      <c r="D31" s="64">
        <f>_xlfn.IFNA(VLOOKUP(封面!B1,'2020决算导出'!A:U,21,FALSE),"")</f>
        <v>0</v>
      </c>
      <c r="E31" s="64"/>
      <c r="F31" s="7" t="s">
        <v>187</v>
      </c>
      <c r="G31" s="65" t="s">
        <v>210</v>
      </c>
      <c r="H31" s="65"/>
      <c r="I31" s="29">
        <f t="shared" si="2"/>
        <v>0</v>
      </c>
      <c r="J31" s="7" t="s">
        <v>359</v>
      </c>
    </row>
    <row r="32" spans="1:13" ht="18" customHeight="1">
      <c r="A32" s="62" t="s">
        <v>215</v>
      </c>
      <c r="B32" s="62"/>
      <c r="C32" s="62"/>
      <c r="D32" s="64">
        <f>_xlfn.IFNA(VLOOKUP(封面!B1,'2020决算导出'!A:V,22,FALSE),"")</f>
        <v>0</v>
      </c>
      <c r="E32" s="64"/>
      <c r="F32" s="7" t="s">
        <v>187</v>
      </c>
      <c r="G32" s="65" t="s">
        <v>210</v>
      </c>
      <c r="H32" s="65"/>
      <c r="I32" s="29">
        <f t="shared" si="2"/>
        <v>0</v>
      </c>
      <c r="J32" s="7" t="s">
        <v>359</v>
      </c>
    </row>
    <row r="33" spans="1:12" ht="18" customHeight="1">
      <c r="A33" s="62" t="s">
        <v>216</v>
      </c>
      <c r="B33" s="62"/>
      <c r="C33" s="62"/>
      <c r="D33" s="64">
        <f>_xlfn.IFNA(VLOOKUP(封面!B1,'2020决算导出'!A:W,23,FALSE),"")</f>
        <v>6576797</v>
      </c>
      <c r="E33" s="64"/>
      <c r="F33" s="7" t="s">
        <v>187</v>
      </c>
      <c r="G33" s="65" t="s">
        <v>210</v>
      </c>
      <c r="H33" s="65"/>
      <c r="I33" s="29">
        <f t="shared" si="2"/>
        <v>0.11272100383249685</v>
      </c>
      <c r="J33" s="7" t="s">
        <v>360</v>
      </c>
    </row>
    <row r="34" spans="1:12" ht="18" customHeight="1">
      <c r="A34" s="7" t="s">
        <v>217</v>
      </c>
    </row>
    <row r="35" spans="1:12" ht="18" customHeight="1">
      <c r="A35" s="66" t="s">
        <v>461</v>
      </c>
      <c r="B35" s="66"/>
      <c r="C35" s="66"/>
      <c r="D35" s="66"/>
      <c r="E35" s="64">
        <f>_xlfn.IFNA(VLOOKUP(封面!B1,一般公共预算财政拨款支出决算具体情况!A:C,3,FALSE),"")</f>
        <v>44068404.400000006</v>
      </c>
      <c r="F35" s="64"/>
      <c r="G35" s="7" t="s">
        <v>187</v>
      </c>
      <c r="H35" s="65" t="s">
        <v>218</v>
      </c>
      <c r="I35" s="65"/>
      <c r="J35" s="64">
        <f>_xlfn.IFNA(VLOOKUP(封面!B1,一般公共预算财政拨款支出决算具体情况!A:D,4,FALSE),"")</f>
        <v>32619261.960000001</v>
      </c>
      <c r="K35" s="64"/>
      <c r="L35" s="11" t="s">
        <v>186</v>
      </c>
    </row>
    <row r="36" spans="1:12" ht="18" customHeight="1">
      <c r="B36" s="15" t="str">
        <f>IF(E35&gt;J35,"增加","减少")</f>
        <v>增加</v>
      </c>
      <c r="C36" s="64">
        <f>ABS(E35-J35)</f>
        <v>11449142.440000005</v>
      </c>
      <c r="D36" s="64"/>
      <c r="E36" s="7" t="s">
        <v>187</v>
      </c>
      <c r="F36" s="15" t="str">
        <f>IF(E35&gt;J35,"增长","下降")</f>
        <v>增长</v>
      </c>
      <c r="G36" s="34">
        <f>C36/J35</f>
        <v>0.35099330125984263</v>
      </c>
      <c r="H36" s="7" t="s">
        <v>360</v>
      </c>
      <c r="I36" s="11" t="s">
        <v>219</v>
      </c>
    </row>
    <row r="37" spans="1:12" ht="18" customHeight="1">
      <c r="A37" s="62" t="s">
        <v>220</v>
      </c>
      <c r="B37" s="62"/>
      <c r="C37" s="62"/>
      <c r="D37" s="62"/>
      <c r="E37" s="64">
        <f>_xlfn.IFNA(VLOOKUP(封面!B1,一般公共预算财政拨款支出决算具体情况!A:E,5,FALSE),"")</f>
        <v>3942650.2</v>
      </c>
      <c r="F37" s="64"/>
      <c r="G37" s="7" t="s">
        <v>187</v>
      </c>
      <c r="H37" s="65" t="s">
        <v>218</v>
      </c>
      <c r="I37" s="65"/>
      <c r="J37" s="64">
        <f>_xlfn.IFNA(VLOOKUP(封面!B1,一般公共预算财政拨款支出决算具体情况!A:F,6,FALSE),"")</f>
        <v>267891.76</v>
      </c>
      <c r="K37" s="64"/>
      <c r="L37" s="11" t="s">
        <v>186</v>
      </c>
    </row>
    <row r="38" spans="1:12" ht="18" customHeight="1">
      <c r="A38" s="15"/>
      <c r="B38" s="15" t="str">
        <f>IF(E37&gt;J37,"增加","减少")</f>
        <v>增加</v>
      </c>
      <c r="C38" s="64">
        <f>ABS(E37-J37)</f>
        <v>3674758.4400000004</v>
      </c>
      <c r="D38" s="64"/>
      <c r="E38" s="7" t="s">
        <v>187</v>
      </c>
      <c r="F38" s="15" t="str">
        <f>IF(E37&gt;J37,"增长","下降")</f>
        <v>增长</v>
      </c>
      <c r="G38" s="34">
        <f>C38/J37</f>
        <v>13.717325385446721</v>
      </c>
      <c r="H38" s="7" t="s">
        <v>360</v>
      </c>
    </row>
    <row r="39" spans="1:12" ht="36" customHeight="1">
      <c r="B39" s="67" t="s">
        <v>470</v>
      </c>
      <c r="C39" s="67"/>
      <c r="D39" s="67"/>
      <c r="E39" s="67"/>
      <c r="F39" s="67"/>
      <c r="G39" s="67"/>
      <c r="H39" s="67"/>
      <c r="I39" s="67"/>
      <c r="J39" s="67"/>
      <c r="K39" s="67"/>
      <c r="L39" s="67"/>
    </row>
    <row r="40" spans="1:12" ht="18" customHeight="1">
      <c r="A40" s="62" t="s">
        <v>221</v>
      </c>
      <c r="B40" s="62"/>
      <c r="C40" s="62"/>
      <c r="D40" s="62"/>
      <c r="E40" s="64">
        <f>_xlfn.IFNA(VLOOKUP(封面!B1,一般公共预算财政拨款支出决算具体情况!A:K,11,FALSE),"")</f>
        <v>37574054.200000003</v>
      </c>
      <c r="F40" s="64"/>
      <c r="G40" s="7" t="s">
        <v>187</v>
      </c>
      <c r="H40" s="65" t="s">
        <v>218</v>
      </c>
      <c r="I40" s="65"/>
      <c r="J40" s="64">
        <f>_xlfn.IFNA(VLOOKUP(封面!B1,一般公共预算财政拨款支出决算具体情况!A:L,12,FALSE),"")</f>
        <v>29728770.199999999</v>
      </c>
      <c r="K40" s="64"/>
      <c r="L40" s="11" t="s">
        <v>186</v>
      </c>
    </row>
    <row r="41" spans="1:12" ht="18" customHeight="1">
      <c r="A41" s="15"/>
      <c r="B41" s="15" t="str">
        <f>IF(E40&gt;J40,"增加","减少")</f>
        <v>增加</v>
      </c>
      <c r="C41" s="64">
        <f>ABS(E40-J40)</f>
        <v>7845284.0000000037</v>
      </c>
      <c r="D41" s="64"/>
      <c r="E41" s="7" t="s">
        <v>187</v>
      </c>
      <c r="F41" s="15" t="str">
        <f>IF(E40&gt;J40,"增长","下降")</f>
        <v>增长</v>
      </c>
      <c r="G41" s="34">
        <f>C41/J40</f>
        <v>0.26389534270072174</v>
      </c>
      <c r="H41" s="7" t="s">
        <v>360</v>
      </c>
    </row>
    <row r="42" spans="1:12" ht="36" customHeight="1">
      <c r="B42" s="67" t="s">
        <v>472</v>
      </c>
      <c r="C42" s="67"/>
      <c r="D42" s="67"/>
      <c r="E42" s="67"/>
      <c r="F42" s="67"/>
      <c r="G42" s="67"/>
      <c r="H42" s="67"/>
      <c r="I42" s="67"/>
      <c r="J42" s="67"/>
      <c r="K42" s="67"/>
      <c r="L42" s="67"/>
    </row>
    <row r="43" spans="1:12" ht="18" customHeight="1">
      <c r="A43" s="62" t="s">
        <v>222</v>
      </c>
      <c r="B43" s="62"/>
      <c r="C43" s="62"/>
      <c r="D43" s="62"/>
      <c r="E43" s="64">
        <f>_xlfn.IFNA(VLOOKUP(封面!B1,一般公共预算财政拨款支出决算具体情况!A:M,13,FALSE),"")</f>
        <v>15500</v>
      </c>
      <c r="F43" s="64"/>
      <c r="G43" s="7" t="s">
        <v>187</v>
      </c>
      <c r="H43" s="65" t="s">
        <v>218</v>
      </c>
      <c r="I43" s="65"/>
      <c r="J43" s="64">
        <f>_xlfn.IFNA(VLOOKUP(封面!B1,一般公共预算财政拨款支出决算具体情况!A:N,14,FALSE),"")</f>
        <v>85600</v>
      </c>
      <c r="K43" s="64"/>
      <c r="L43" s="11" t="s">
        <v>186</v>
      </c>
    </row>
    <row r="44" spans="1:12" ht="18" customHeight="1">
      <c r="A44" s="15"/>
      <c r="B44" s="15" t="str">
        <f>IF(E43&gt;J43,"增加","减少")</f>
        <v>减少</v>
      </c>
      <c r="C44" s="64">
        <f>ABS(E43-J43)</f>
        <v>70100</v>
      </c>
      <c r="D44" s="64"/>
      <c r="E44" s="7" t="s">
        <v>187</v>
      </c>
      <c r="F44" s="15" t="str">
        <f>IF(E43&gt;J43,"增长","下降")</f>
        <v>下降</v>
      </c>
      <c r="G44" s="34">
        <f>C44/J43</f>
        <v>0.81892523364485981</v>
      </c>
      <c r="H44" s="7" t="s">
        <v>360</v>
      </c>
    </row>
    <row r="45" spans="1:12" ht="36" customHeight="1">
      <c r="B45" s="67" t="s">
        <v>471</v>
      </c>
      <c r="C45" s="67"/>
      <c r="D45" s="67"/>
      <c r="E45" s="67"/>
      <c r="F45" s="67"/>
      <c r="G45" s="67"/>
      <c r="H45" s="67"/>
      <c r="I45" s="67"/>
      <c r="J45" s="67"/>
      <c r="K45" s="67"/>
      <c r="L45" s="67"/>
    </row>
    <row r="46" spans="1:12" ht="18" customHeight="1">
      <c r="A46" s="69" t="s">
        <v>223</v>
      </c>
      <c r="B46" s="69"/>
      <c r="C46" s="69"/>
      <c r="D46" s="69"/>
      <c r="E46" s="64">
        <f>_xlfn.IFNA(VLOOKUP(封面!B1,一般公共预算财政拨款支出决算具体情况!A:O,15,FALSE),"")</f>
        <v>2536200</v>
      </c>
      <c r="F46" s="64"/>
      <c r="G46" s="7" t="s">
        <v>187</v>
      </c>
      <c r="H46" s="65" t="s">
        <v>218</v>
      </c>
      <c r="I46" s="65"/>
      <c r="J46" s="64">
        <f>_xlfn.IFNA(VLOOKUP(封面!B1,一般公共预算财政拨款支出决算具体情况!A:P,16,FALSE),"")</f>
        <v>2537000</v>
      </c>
      <c r="K46" s="64"/>
      <c r="L46" s="11" t="s">
        <v>186</v>
      </c>
    </row>
    <row r="47" spans="1:12" ht="18" customHeight="1">
      <c r="A47" s="15"/>
      <c r="B47" s="15" t="str">
        <f>IF(E46&gt;J46,"增加","减少")</f>
        <v>减少</v>
      </c>
      <c r="C47" s="64">
        <f>ABS(E46-J46)</f>
        <v>800</v>
      </c>
      <c r="D47" s="64"/>
      <c r="E47" s="7" t="s">
        <v>187</v>
      </c>
      <c r="F47" s="15" t="str">
        <f>IF(E46&gt;J46,"增长","下降")</f>
        <v>下降</v>
      </c>
      <c r="G47" s="34">
        <f>C47/J46</f>
        <v>3.1533307055577455E-4</v>
      </c>
      <c r="H47" s="7" t="s">
        <v>360</v>
      </c>
    </row>
    <row r="48" spans="1:12" ht="36" customHeight="1">
      <c r="B48" s="67" t="s">
        <v>473</v>
      </c>
      <c r="C48" s="67"/>
      <c r="D48" s="67"/>
      <c r="E48" s="67"/>
      <c r="F48" s="67"/>
      <c r="G48" s="67"/>
      <c r="H48" s="67"/>
      <c r="I48" s="67"/>
      <c r="J48" s="67"/>
      <c r="K48" s="67"/>
      <c r="L48" s="67"/>
    </row>
    <row r="49" spans="1:12" ht="18" customHeight="1">
      <c r="A49" s="68" t="s">
        <v>462</v>
      </c>
      <c r="B49" s="68"/>
      <c r="C49" s="68"/>
      <c r="D49" s="68"/>
      <c r="E49" s="64">
        <f>_xlfn.IFNA(VLOOKUP(封面!B1,一般公共预算财政拨款支出决算具体情况!A:Q,17,FALSE),"")</f>
        <v>0</v>
      </c>
      <c r="F49" s="64"/>
      <c r="G49" s="7" t="s">
        <v>187</v>
      </c>
      <c r="H49" s="66" t="s">
        <v>458</v>
      </c>
      <c r="I49" s="66"/>
      <c r="J49" s="66"/>
      <c r="K49" s="66"/>
      <c r="L49" s="11"/>
    </row>
    <row r="50" spans="1:12" ht="18" customHeight="1">
      <c r="A50" s="62" t="s">
        <v>224</v>
      </c>
      <c r="B50" s="62"/>
      <c r="C50" s="62"/>
      <c r="D50" s="62"/>
      <c r="E50" s="64">
        <f>_xlfn.IFNA(VLOOKUP(封面!B1,一般公共预算财政拨款支出决算具体情况!A:S,19,FALSE),"")</f>
        <v>0</v>
      </c>
      <c r="F50" s="64"/>
      <c r="G50" s="7" t="s">
        <v>187</v>
      </c>
      <c r="H50" s="66" t="s">
        <v>225</v>
      </c>
      <c r="I50" s="66"/>
      <c r="J50" s="66"/>
      <c r="K50" s="66"/>
      <c r="L50" s="11"/>
    </row>
    <row r="51" spans="1:12" ht="36" customHeight="1">
      <c r="B51" s="67"/>
      <c r="C51" s="67"/>
      <c r="D51" s="67"/>
      <c r="E51" s="67"/>
      <c r="F51" s="67"/>
      <c r="G51" s="67"/>
      <c r="H51" s="67"/>
      <c r="I51" s="67"/>
      <c r="J51" s="67"/>
      <c r="K51" s="67"/>
      <c r="L51" s="67"/>
    </row>
    <row r="52" spans="1:12" ht="18" customHeight="1">
      <c r="A52" s="68" t="s">
        <v>463</v>
      </c>
      <c r="B52" s="68"/>
      <c r="C52" s="68"/>
      <c r="D52" s="68"/>
      <c r="E52" s="64">
        <f>_xlfn.IFNA(VLOOKUP(封面!B1,一般公共预算财政拨款支出决算具体情况!A:U,21,FALSE),"")</f>
        <v>5104872.2</v>
      </c>
      <c r="F52" s="64"/>
      <c r="G52" s="7" t="s">
        <v>187</v>
      </c>
      <c r="H52" s="65" t="s">
        <v>218</v>
      </c>
      <c r="I52" s="65"/>
      <c r="J52" s="64">
        <f>_xlfn.IFNA(VLOOKUP(封面!B1,一般公共预算财政拨款支出决算具体情况!A:V,22,FALSE),"")</f>
        <v>5267288.88</v>
      </c>
      <c r="K52" s="64"/>
      <c r="L52" s="11" t="s">
        <v>186</v>
      </c>
    </row>
    <row r="53" spans="1:12" ht="18" customHeight="1">
      <c r="B53" s="15" t="str">
        <f>IF(E52&gt;J52,"增加","减少")</f>
        <v>减少</v>
      </c>
      <c r="C53" s="64">
        <f>ABS(E52-J52)</f>
        <v>162416.6799999997</v>
      </c>
      <c r="D53" s="64"/>
      <c r="E53" s="7" t="s">
        <v>187</v>
      </c>
      <c r="F53" s="15" t="str">
        <f>IF(E52&gt;J52,"增长","下降")</f>
        <v>下降</v>
      </c>
      <c r="G53" s="34">
        <f>C53/J52</f>
        <v>3.0834967228909552E-2</v>
      </c>
      <c r="H53" s="7" t="s">
        <v>360</v>
      </c>
      <c r="I53" s="11" t="s">
        <v>219</v>
      </c>
    </row>
    <row r="54" spans="1:12" ht="18" customHeight="1">
      <c r="A54" s="69" t="s">
        <v>226</v>
      </c>
      <c r="B54" s="69"/>
      <c r="C54" s="69"/>
      <c r="D54" s="69"/>
      <c r="E54" s="64">
        <f>_xlfn.IFNA(VLOOKUP(封面!B1,一般公共预算财政拨款支出决算具体情况!A:W,23,FALSE),"")</f>
        <v>5104872.2</v>
      </c>
      <c r="F54" s="64"/>
      <c r="G54" s="7" t="s">
        <v>187</v>
      </c>
      <c r="H54" s="65" t="s">
        <v>218</v>
      </c>
      <c r="I54" s="65"/>
      <c r="J54" s="64">
        <f>_xlfn.IFNA(VLOOKUP(封面!B1,一般公共预算财政拨款支出决算具体情况!A:X,24,FALSE),"")</f>
        <v>5267288.88</v>
      </c>
      <c r="K54" s="64"/>
      <c r="L54" s="11" t="s">
        <v>186</v>
      </c>
    </row>
    <row r="55" spans="1:12" ht="18" customHeight="1">
      <c r="A55" s="15"/>
      <c r="B55" s="15" t="str">
        <f>IF(E54&gt;J54,"增加","减少")</f>
        <v>减少</v>
      </c>
      <c r="C55" s="64">
        <f>ABS(E54-J54)</f>
        <v>162416.6799999997</v>
      </c>
      <c r="D55" s="64"/>
      <c r="E55" s="7" t="s">
        <v>187</v>
      </c>
      <c r="F55" s="15" t="str">
        <f>IF(E54&gt;J54,"增长","下降")</f>
        <v>下降</v>
      </c>
      <c r="G55" s="34">
        <f>C55/J54</f>
        <v>3.0834967228909552E-2</v>
      </c>
      <c r="H55" s="7" t="s">
        <v>360</v>
      </c>
    </row>
    <row r="56" spans="1:12" ht="36" customHeight="1">
      <c r="B56" s="67" t="s">
        <v>477</v>
      </c>
      <c r="C56" s="67"/>
      <c r="D56" s="67"/>
      <c r="E56" s="67"/>
      <c r="F56" s="67"/>
      <c r="G56" s="67"/>
      <c r="H56" s="67"/>
      <c r="I56" s="67"/>
      <c r="J56" s="67"/>
      <c r="K56" s="67"/>
      <c r="L56" s="67"/>
    </row>
    <row r="57" spans="1:12" ht="18" customHeight="1">
      <c r="A57" s="68" t="s">
        <v>464</v>
      </c>
      <c r="B57" s="68"/>
      <c r="C57" s="68"/>
      <c r="D57" s="68"/>
      <c r="E57" s="64">
        <f>_xlfn.IFNA(VLOOKUP(封面!B1,一般公共预算财政拨款支出决算具体情况!A:AA,27,FALSE),"")</f>
        <v>2595725.11</v>
      </c>
      <c r="F57" s="64"/>
      <c r="G57" s="7" t="s">
        <v>187</v>
      </c>
      <c r="H57" s="65" t="s">
        <v>218</v>
      </c>
      <c r="I57" s="65"/>
      <c r="J57" s="64">
        <f>_xlfn.IFNA(VLOOKUP(封面!B1,一般公共预算财政拨款支出决算具体情况!A:AB,28,FALSE),"")</f>
        <v>2283672.56</v>
      </c>
      <c r="K57" s="64"/>
      <c r="L57" s="11" t="s">
        <v>186</v>
      </c>
    </row>
    <row r="58" spans="1:12" ht="18" customHeight="1">
      <c r="B58" s="15" t="str">
        <f>IF(E57&gt;J57,"增加","减少")</f>
        <v>增加</v>
      </c>
      <c r="C58" s="64">
        <f>ABS(E57-J57)</f>
        <v>312052.54999999981</v>
      </c>
      <c r="D58" s="64"/>
      <c r="E58" s="7" t="s">
        <v>187</v>
      </c>
      <c r="F58" s="15" t="str">
        <f>IF(E57&gt;J57,"增长","下降")</f>
        <v>增长</v>
      </c>
      <c r="G58" s="34">
        <f>C58/J57</f>
        <v>0.13664504949868986</v>
      </c>
      <c r="H58" s="7" t="s">
        <v>360</v>
      </c>
      <c r="I58" s="11" t="s">
        <v>219</v>
      </c>
    </row>
    <row r="59" spans="1:12" ht="18" customHeight="1">
      <c r="A59" s="69" t="s">
        <v>227</v>
      </c>
      <c r="B59" s="69"/>
      <c r="C59" s="69"/>
      <c r="D59" s="69"/>
      <c r="E59" s="64">
        <f>_xlfn.IFNA(VLOOKUP(封面!B1,一般公共预算财政拨款支出决算具体情况!A:AC,29,FALSE),"")</f>
        <v>2595725.11</v>
      </c>
      <c r="F59" s="64"/>
      <c r="G59" s="7" t="s">
        <v>187</v>
      </c>
      <c r="H59" s="65" t="s">
        <v>218</v>
      </c>
      <c r="I59" s="65"/>
      <c r="J59" s="64">
        <f>_xlfn.IFNA(VLOOKUP(封面!B1,一般公共预算财政拨款支出决算具体情况!A:AD,30,FALSE),"")</f>
        <v>2283672.56</v>
      </c>
      <c r="K59" s="64"/>
      <c r="L59" s="11" t="s">
        <v>186</v>
      </c>
    </row>
    <row r="60" spans="1:12" ht="18" customHeight="1">
      <c r="A60" s="15"/>
      <c r="B60" s="15" t="str">
        <f>IF(E59&gt;J59,"增加","减少")</f>
        <v>增加</v>
      </c>
      <c r="C60" s="64">
        <f>ABS(E59-J59)</f>
        <v>312052.54999999981</v>
      </c>
      <c r="D60" s="64"/>
      <c r="E60" s="7" t="s">
        <v>187</v>
      </c>
      <c r="F60" s="15" t="str">
        <f>IF(E59&gt;J59,"增长","下降")</f>
        <v>增长</v>
      </c>
      <c r="G60" s="34">
        <f>C60/J59</f>
        <v>0.13664504949868986</v>
      </c>
      <c r="H60" s="7" t="s">
        <v>360</v>
      </c>
    </row>
    <row r="61" spans="1:12" ht="22.2" customHeight="1">
      <c r="B61" s="67" t="s">
        <v>474</v>
      </c>
      <c r="C61" s="67"/>
      <c r="D61" s="67"/>
      <c r="E61" s="67"/>
      <c r="F61" s="67"/>
      <c r="G61" s="67"/>
      <c r="H61" s="67"/>
      <c r="I61" s="67"/>
      <c r="J61" s="67"/>
      <c r="K61" s="67"/>
      <c r="L61" s="67"/>
    </row>
    <row r="62" spans="1:12" ht="18" customHeight="1">
      <c r="A62" s="68" t="s">
        <v>465</v>
      </c>
      <c r="B62" s="68"/>
      <c r="C62" s="68"/>
      <c r="D62" s="68"/>
      <c r="E62" s="64">
        <f>_xlfn.IFNA(VLOOKUP(封面!B1,一般公共预算财政拨款支出决算具体情况!A:AE,31,FALSE),"")</f>
        <v>0</v>
      </c>
      <c r="F62" s="64"/>
      <c r="G62" s="7" t="s">
        <v>187</v>
      </c>
      <c r="H62" s="66" t="s">
        <v>225</v>
      </c>
      <c r="I62" s="66"/>
      <c r="J62" s="66"/>
      <c r="K62" s="66"/>
      <c r="L62" s="11"/>
    </row>
    <row r="63" spans="1:12" ht="18" customHeight="1">
      <c r="A63" s="69" t="s">
        <v>228</v>
      </c>
      <c r="B63" s="69"/>
      <c r="C63" s="69"/>
      <c r="D63" s="69"/>
      <c r="E63" s="64">
        <f>_xlfn.IFNA(VLOOKUP(封面!B1,一般公共预算财政拨款支出决算具体情况!A:AG,33,FALSE),"")</f>
        <v>0</v>
      </c>
      <c r="F63" s="64"/>
      <c r="G63" s="7" t="s">
        <v>187</v>
      </c>
      <c r="H63" s="66" t="s">
        <v>225</v>
      </c>
      <c r="I63" s="66"/>
      <c r="J63" s="66"/>
      <c r="K63" s="66"/>
      <c r="L63" s="11"/>
    </row>
    <row r="64" spans="1:12" ht="18" customHeight="1">
      <c r="A64" s="68" t="s">
        <v>466</v>
      </c>
      <c r="B64" s="68"/>
      <c r="C64" s="68"/>
      <c r="D64" s="68"/>
      <c r="E64" s="64">
        <f>_xlfn.IFNA(VLOOKUP(封面!B1,一般公共预算财政拨款支出决算具体情况!A:AI,35,FALSE),"")</f>
        <v>0</v>
      </c>
      <c r="F64" s="64"/>
      <c r="G64" s="7" t="s">
        <v>187</v>
      </c>
      <c r="H64" s="66" t="s">
        <v>225</v>
      </c>
      <c r="I64" s="66"/>
      <c r="J64" s="66"/>
      <c r="K64" s="66"/>
      <c r="L64" s="11"/>
    </row>
    <row r="65" spans="1:13" ht="18" customHeight="1">
      <c r="A65" s="69" t="s">
        <v>229</v>
      </c>
      <c r="B65" s="69"/>
      <c r="C65" s="69"/>
      <c r="D65" s="69"/>
      <c r="E65" s="64">
        <f>_xlfn.IFNA(VLOOKUP(封面!B1,一般公共预算财政拨款支出决算具体情况!A:AK,37,FALSE),"")</f>
        <v>0</v>
      </c>
      <c r="F65" s="64"/>
      <c r="G65" s="7" t="s">
        <v>187</v>
      </c>
      <c r="H65" s="66" t="s">
        <v>225</v>
      </c>
      <c r="I65" s="66"/>
      <c r="J65" s="66"/>
      <c r="K65" s="66"/>
      <c r="L65" s="11"/>
    </row>
    <row r="66" spans="1:13" ht="18" customHeight="1">
      <c r="A66" s="68" t="s">
        <v>467</v>
      </c>
      <c r="B66" s="68"/>
      <c r="C66" s="68"/>
      <c r="D66" s="68"/>
      <c r="E66" s="64">
        <f>_xlfn.IFNA(VLOOKUP(封面!B1,一般公共预算财政拨款支出决算具体情况!A:AM,39,FALSE),"")</f>
        <v>6576797</v>
      </c>
      <c r="F66" s="64"/>
      <c r="G66" s="7" t="s">
        <v>187</v>
      </c>
      <c r="H66" s="65" t="s">
        <v>218</v>
      </c>
      <c r="I66" s="65"/>
      <c r="J66" s="64">
        <f>_xlfn.IFNA(VLOOKUP(封面!B1,一般公共预算财政拨款支出决算具体情况!A:AN,40,FALSE),"")</f>
        <v>6158557.4399999995</v>
      </c>
      <c r="K66" s="64"/>
      <c r="L66" s="11" t="s">
        <v>186</v>
      </c>
    </row>
    <row r="67" spans="1:13" ht="18" customHeight="1">
      <c r="B67" s="15" t="str">
        <f>IF(E66&gt;J66,"增加","减少")</f>
        <v>增加</v>
      </c>
      <c r="C67" s="64">
        <f>ABS(E66-J66)</f>
        <v>418239.56000000052</v>
      </c>
      <c r="D67" s="64"/>
      <c r="E67" s="7" t="s">
        <v>187</v>
      </c>
      <c r="F67" s="15" t="str">
        <f>IF(E66&gt;J66,"增长","下降")</f>
        <v>增长</v>
      </c>
      <c r="G67" s="34">
        <f>C67/J66</f>
        <v>6.791193620823005E-2</v>
      </c>
      <c r="H67" s="7" t="s">
        <v>360</v>
      </c>
      <c r="I67" s="11" t="s">
        <v>219</v>
      </c>
    </row>
    <row r="68" spans="1:13" ht="18" customHeight="1">
      <c r="A68" s="69" t="s">
        <v>230</v>
      </c>
      <c r="B68" s="69"/>
      <c r="C68" s="69"/>
      <c r="D68" s="69"/>
      <c r="E68" s="64">
        <f>_xlfn.IFNA(VLOOKUP(封面!B1,一般公共预算财政拨款支出决算具体情况!A:AO,41,FALSE),"")</f>
        <v>6576797</v>
      </c>
      <c r="F68" s="64"/>
      <c r="G68" s="7" t="s">
        <v>187</v>
      </c>
      <c r="H68" s="65" t="s">
        <v>218</v>
      </c>
      <c r="I68" s="65"/>
      <c r="J68" s="64">
        <f>_xlfn.IFNA(VLOOKUP(封面!B1,一般公共预算财政拨款支出决算具体情况!A:AP,42,FALSE),"")</f>
        <v>6158557.4399999995</v>
      </c>
      <c r="K68" s="64"/>
      <c r="L68" s="11" t="s">
        <v>186</v>
      </c>
    </row>
    <row r="69" spans="1:13" ht="18" customHeight="1">
      <c r="A69" s="15"/>
      <c r="B69" s="15" t="str">
        <f>IF(E68&gt;J68,"增加","减少")</f>
        <v>增加</v>
      </c>
      <c r="C69" s="64">
        <f>ABS(E68-J68)</f>
        <v>418239.56000000052</v>
      </c>
      <c r="D69" s="64"/>
      <c r="E69" s="7" t="s">
        <v>187</v>
      </c>
      <c r="F69" s="15" t="str">
        <f>IF(E68&gt;J68,"增长","下降")</f>
        <v>增长</v>
      </c>
      <c r="G69" s="34">
        <f>C69/J68</f>
        <v>6.791193620823005E-2</v>
      </c>
      <c r="H69" s="7" t="s">
        <v>360</v>
      </c>
    </row>
    <row r="70" spans="1:13" ht="19.8" customHeight="1">
      <c r="B70" s="67" t="s">
        <v>475</v>
      </c>
      <c r="C70" s="67"/>
      <c r="D70" s="67"/>
      <c r="E70" s="67"/>
      <c r="F70" s="67"/>
      <c r="G70" s="67"/>
      <c r="H70" s="67"/>
      <c r="I70" s="67"/>
      <c r="J70" s="67"/>
      <c r="K70" s="67"/>
      <c r="L70" s="67"/>
    </row>
    <row r="71" spans="1:13" ht="18" customHeight="1">
      <c r="A71" s="6" t="s">
        <v>231</v>
      </c>
    </row>
    <row r="72" spans="1:13" ht="18" customHeight="1">
      <c r="A72" s="7" t="str">
        <f>IF(_xlfn.IFNA(VLOOKUP(封面!B1,'2020决算导出'!A:X,24,FALSE),"")=0,"本年度无此项支出。","")</f>
        <v>本年度无此项支出。</v>
      </c>
    </row>
    <row r="73" spans="1:13" ht="18" customHeight="1">
      <c r="A73" s="7" t="s">
        <v>232</v>
      </c>
    </row>
    <row r="74" spans="1:13" ht="18" customHeight="1">
      <c r="A74" s="62" t="s">
        <v>233</v>
      </c>
      <c r="B74" s="62"/>
      <c r="C74" s="62"/>
      <c r="D74" s="62"/>
      <c r="E74" s="62"/>
      <c r="F74" s="64">
        <f>_xlfn.IFNA(VLOOKUP(封面!B1,'2020决算导出'!A:X,24,FALSE),"")</f>
        <v>0</v>
      </c>
      <c r="G74" s="64"/>
      <c r="H74" s="7" t="s">
        <v>187</v>
      </c>
      <c r="I74" s="66" t="s">
        <v>208</v>
      </c>
      <c r="J74" s="66"/>
      <c r="K74" s="66"/>
      <c r="L74" s="66"/>
      <c r="M74" s="66"/>
    </row>
    <row r="75" spans="1:13" ht="18" customHeight="1">
      <c r="A75" s="62" t="s">
        <v>234</v>
      </c>
      <c r="B75" s="62"/>
      <c r="C75" s="62"/>
      <c r="D75" s="64">
        <f>_xlfn.IFNA(VLOOKUP(封面!B1,'2020决算导出'!A:Y,25,FALSE),"")</f>
        <v>0</v>
      </c>
      <c r="E75" s="64"/>
      <c r="F75" s="7" t="s">
        <v>187</v>
      </c>
      <c r="G75" s="65" t="s">
        <v>210</v>
      </c>
      <c r="H75" s="65"/>
      <c r="I75" s="13">
        <v>100</v>
      </c>
      <c r="J75" s="7" t="s">
        <v>192</v>
      </c>
      <c r="K75" s="9"/>
      <c r="L75" s="9"/>
      <c r="M75" s="9"/>
    </row>
    <row r="76" spans="1:13" ht="18" customHeight="1">
      <c r="A76" s="7" t="s">
        <v>235</v>
      </c>
    </row>
    <row r="77" spans="1:13" ht="18" customHeight="1">
      <c r="A77" s="66" t="s">
        <v>236</v>
      </c>
      <c r="B77" s="66"/>
      <c r="C77" s="66"/>
      <c r="D77" s="66"/>
      <c r="E77" s="64">
        <f>_xlfn.IFNA(VLOOKUP(封面!B1,'2020决算导出'!A:Y,25,FALSE),"")</f>
        <v>0</v>
      </c>
      <c r="F77" s="64"/>
      <c r="G77" s="7" t="s">
        <v>187</v>
      </c>
      <c r="H77" s="65" t="s">
        <v>218</v>
      </c>
      <c r="I77" s="65"/>
      <c r="J77" s="64">
        <f>_xlfn.IFNA(VLOOKUP(封面!B1,'2020决算导出'!A:Z,26,FALSE),"")</f>
        <v>132</v>
      </c>
      <c r="K77" s="64"/>
      <c r="L77" s="11" t="s">
        <v>186</v>
      </c>
    </row>
    <row r="78" spans="1:13" ht="18" customHeight="1">
      <c r="B78" s="15" t="str">
        <f>IF(E77&gt;J77,"增加","减少")</f>
        <v>减少</v>
      </c>
      <c r="C78" s="64">
        <f>ABS(E77-J77)</f>
        <v>132</v>
      </c>
      <c r="D78" s="64"/>
      <c r="E78" s="7" t="s">
        <v>187</v>
      </c>
      <c r="F78" s="15" t="str">
        <f>IF(E77&gt;J77,"增长","下降")</f>
        <v>下降</v>
      </c>
      <c r="G78" s="34">
        <f>C78/J77</f>
        <v>1</v>
      </c>
      <c r="H78" s="7" t="s">
        <v>360</v>
      </c>
      <c r="I78" s="11" t="s">
        <v>219</v>
      </c>
    </row>
    <row r="79" spans="1:13" ht="18" customHeight="1">
      <c r="A79" s="69" t="s">
        <v>237</v>
      </c>
      <c r="B79" s="69"/>
      <c r="C79" s="69"/>
      <c r="D79" s="69"/>
      <c r="E79" s="64">
        <f>E77</f>
        <v>0</v>
      </c>
      <c r="F79" s="64"/>
      <c r="G79" s="7" t="s">
        <v>187</v>
      </c>
      <c r="H79" s="65" t="s">
        <v>218</v>
      </c>
      <c r="I79" s="65"/>
      <c r="J79" s="64">
        <f>J77</f>
        <v>132</v>
      </c>
      <c r="K79" s="64"/>
      <c r="L79" s="11" t="s">
        <v>186</v>
      </c>
    </row>
    <row r="80" spans="1:13" ht="18" customHeight="1">
      <c r="A80" s="15"/>
      <c r="B80" s="15" t="str">
        <f>B78</f>
        <v>减少</v>
      </c>
      <c r="C80" s="64">
        <f>C78</f>
        <v>132</v>
      </c>
      <c r="D80" s="64"/>
      <c r="E80" s="7" t="s">
        <v>187</v>
      </c>
      <c r="F80" s="15" t="str">
        <f>F78</f>
        <v>下降</v>
      </c>
      <c r="G80" s="34">
        <f>G78</f>
        <v>1</v>
      </c>
      <c r="H80" s="7" t="s">
        <v>360</v>
      </c>
    </row>
    <row r="81" spans="1:13" ht="25.8" customHeight="1">
      <c r="B81" s="67" t="s">
        <v>476</v>
      </c>
      <c r="C81" s="67"/>
      <c r="D81" s="67"/>
      <c r="E81" s="67"/>
      <c r="F81" s="67"/>
      <c r="G81" s="67"/>
      <c r="H81" s="67"/>
      <c r="I81" s="67"/>
      <c r="J81" s="67"/>
      <c r="K81" s="67"/>
      <c r="L81" s="67"/>
    </row>
    <row r="82" spans="1:13" ht="18" customHeight="1">
      <c r="A82" s="6" t="s">
        <v>238</v>
      </c>
    </row>
    <row r="83" spans="1:13" ht="18" customHeight="1">
      <c r="A83" s="7" t="s">
        <v>239</v>
      </c>
    </row>
    <row r="84" spans="1:13" ht="18" customHeight="1">
      <c r="A84" s="6" t="s">
        <v>240</v>
      </c>
    </row>
    <row r="85" spans="1:13" ht="18" customHeight="1">
      <c r="A85" s="7" t="s">
        <v>241</v>
      </c>
      <c r="G85" s="64">
        <f>_xlfn.IFNA(VLOOKUP(封面!B1,'2020决算导出'!A:AA,27,FALSE),"")</f>
        <v>50776990.539999999</v>
      </c>
      <c r="H85" s="64"/>
      <c r="I85" s="11" t="s">
        <v>187</v>
      </c>
    </row>
    <row r="86" spans="1:13" ht="130.19999999999999" customHeight="1">
      <c r="A86" s="67" t="s">
        <v>242</v>
      </c>
      <c r="B86" s="67"/>
      <c r="C86" s="67"/>
      <c r="D86" s="67"/>
      <c r="E86" s="67"/>
      <c r="F86" s="67"/>
      <c r="G86" s="67"/>
      <c r="H86" s="67"/>
      <c r="I86" s="67"/>
      <c r="J86" s="67"/>
      <c r="K86" s="67"/>
      <c r="L86" s="67"/>
      <c r="M86" s="67"/>
    </row>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sheetData>
  <mergeCells count="148">
    <mergeCell ref="C80:D80"/>
    <mergeCell ref="B81:L81"/>
    <mergeCell ref="G85:H85"/>
    <mergeCell ref="A86:M86"/>
    <mergeCell ref="A4:M4"/>
    <mergeCell ref="A77:D77"/>
    <mergeCell ref="E77:F77"/>
    <mergeCell ref="H77:I77"/>
    <mergeCell ref="J77:K77"/>
    <mergeCell ref="C78:D78"/>
    <mergeCell ref="A79:D79"/>
    <mergeCell ref="E79:F79"/>
    <mergeCell ref="H79:I79"/>
    <mergeCell ref="J79:K79"/>
    <mergeCell ref="B70:L70"/>
    <mergeCell ref="A74:E74"/>
    <mergeCell ref="F74:G74"/>
    <mergeCell ref="I74:M74"/>
    <mergeCell ref="A75:C75"/>
    <mergeCell ref="D75:E75"/>
    <mergeCell ref="G75:H75"/>
    <mergeCell ref="C67:D67"/>
    <mergeCell ref="A68:D68"/>
    <mergeCell ref="E68:F68"/>
    <mergeCell ref="H68:I68"/>
    <mergeCell ref="J68:K68"/>
    <mergeCell ref="C69:D69"/>
    <mergeCell ref="A65:D65"/>
    <mergeCell ref="E65:F65"/>
    <mergeCell ref="H65:K65"/>
    <mergeCell ref="A66:D66"/>
    <mergeCell ref="E66:F66"/>
    <mergeCell ref="H66:I66"/>
    <mergeCell ref="J66:K66"/>
    <mergeCell ref="H62:K62"/>
    <mergeCell ref="H49:K49"/>
    <mergeCell ref="H63:K63"/>
    <mergeCell ref="A64:D64"/>
    <mergeCell ref="E64:F64"/>
    <mergeCell ref="H64:K64"/>
    <mergeCell ref="A62:D62"/>
    <mergeCell ref="E62:F62"/>
    <mergeCell ref="A63:D63"/>
    <mergeCell ref="E63:F63"/>
    <mergeCell ref="A59:D59"/>
    <mergeCell ref="E59:F59"/>
    <mergeCell ref="H59:I59"/>
    <mergeCell ref="J59:K59"/>
    <mergeCell ref="C60:D60"/>
    <mergeCell ref="B61:L61"/>
    <mergeCell ref="A57:D57"/>
    <mergeCell ref="E57:F57"/>
    <mergeCell ref="H57:I57"/>
    <mergeCell ref="J57:K57"/>
    <mergeCell ref="C58:D58"/>
    <mergeCell ref="B56:L56"/>
    <mergeCell ref="B51:L51"/>
    <mergeCell ref="H50:K50"/>
    <mergeCell ref="A52:D52"/>
    <mergeCell ref="E52:F52"/>
    <mergeCell ref="H52:I52"/>
    <mergeCell ref="J52:K52"/>
    <mergeCell ref="A50:D50"/>
    <mergeCell ref="E50:F50"/>
    <mergeCell ref="C53:D53"/>
    <mergeCell ref="A54:D54"/>
    <mergeCell ref="E54:F54"/>
    <mergeCell ref="H54:I54"/>
    <mergeCell ref="J54:K54"/>
    <mergeCell ref="C55:D55"/>
    <mergeCell ref="C47:D47"/>
    <mergeCell ref="B48:L48"/>
    <mergeCell ref="A49:D49"/>
    <mergeCell ref="E49:F49"/>
    <mergeCell ref="C44:D44"/>
    <mergeCell ref="B45:L45"/>
    <mergeCell ref="A46:D46"/>
    <mergeCell ref="E46:F46"/>
    <mergeCell ref="H46:I46"/>
    <mergeCell ref="J46:K46"/>
    <mergeCell ref="C41:D41"/>
    <mergeCell ref="B42:L42"/>
    <mergeCell ref="A43:D43"/>
    <mergeCell ref="E43:F43"/>
    <mergeCell ref="H43:I43"/>
    <mergeCell ref="J43:K43"/>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7" workbookViewId="0">
      <selection activeCell="A3" sqref="A3"/>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287</v>
      </c>
      <c r="B1" s="60"/>
      <c r="C1" s="60"/>
      <c r="D1" s="60"/>
      <c r="E1" s="60"/>
      <c r="F1" s="60"/>
      <c r="G1" s="60"/>
      <c r="H1" s="60"/>
      <c r="I1" s="60"/>
      <c r="J1" s="60"/>
      <c r="K1" s="60"/>
      <c r="L1" s="60"/>
      <c r="M1" s="60"/>
      <c r="N1" s="60"/>
    </row>
    <row r="2" spans="1:14" ht="18" customHeight="1">
      <c r="A2" s="6" t="s">
        <v>243</v>
      </c>
    </row>
    <row r="3" spans="1:14" ht="18" customHeight="1">
      <c r="A3" s="16" t="str">
        <f>IF(_xlfn.IFNA(VLOOKUP(封面!B1,'2020决算导出'!A:AB,28,FALSE),"")=0,"本年度无此项支出。","")</f>
        <v/>
      </c>
    </row>
    <row r="4" spans="1:14" ht="18" customHeight="1">
      <c r="A4" s="7" t="s">
        <v>244</v>
      </c>
      <c r="F4" s="64">
        <f>_xlfn.IFNA(VLOOKUP(封面!B1,'2020决算导出'!A:AB,28,FALSE),"")</f>
        <v>11664.27</v>
      </c>
      <c r="G4" s="64"/>
      <c r="H4" s="7" t="s">
        <v>187</v>
      </c>
      <c r="I4" s="7" t="s">
        <v>245</v>
      </c>
    </row>
    <row r="5" spans="1:14" ht="18" customHeight="1">
      <c r="A5" s="71">
        <f>_xlfn.IFNA(VLOOKUP(封面!B1,'2020决算导出'!A:AC,29,FALSE),"")</f>
        <v>27000</v>
      </c>
      <c r="B5" s="71"/>
      <c r="C5" s="7" t="s">
        <v>186</v>
      </c>
      <c r="D5" s="30" t="str">
        <f>IF(F4&gt;A5,"增加","减少")</f>
        <v>减少</v>
      </c>
      <c r="E5" s="71">
        <f>ABS(F4-A5)</f>
        <v>15335.73</v>
      </c>
      <c r="F5" s="71"/>
      <c r="G5" s="7" t="s">
        <v>247</v>
      </c>
    </row>
    <row r="6" spans="1:14" ht="18" customHeight="1">
      <c r="A6" s="7" t="s">
        <v>248</v>
      </c>
    </row>
    <row r="7" spans="1:14" ht="18" customHeight="1">
      <c r="A7" s="56" t="s">
        <v>460</v>
      </c>
      <c r="B7" s="19"/>
      <c r="C7" s="19"/>
      <c r="D7" s="19"/>
      <c r="E7" s="19"/>
      <c r="F7" s="19"/>
      <c r="G7" s="19"/>
      <c r="H7" s="19"/>
      <c r="I7" s="19"/>
      <c r="J7" s="19"/>
      <c r="K7" s="19"/>
      <c r="L7" s="19"/>
      <c r="M7" s="19"/>
      <c r="N7" s="19"/>
    </row>
    <row r="8" spans="1:14" ht="18" customHeight="1">
      <c r="A8" s="7" t="s">
        <v>250</v>
      </c>
    </row>
    <row r="9" spans="1:14" ht="39" customHeight="1">
      <c r="A9" s="70" t="s">
        <v>251</v>
      </c>
      <c r="B9" s="70"/>
      <c r="C9" s="70"/>
      <c r="D9" s="70"/>
      <c r="E9" s="70"/>
      <c r="F9" s="70"/>
      <c r="G9" s="70"/>
      <c r="H9" s="70"/>
      <c r="I9" s="70"/>
      <c r="J9" s="70"/>
      <c r="K9" s="70"/>
      <c r="L9" s="70"/>
      <c r="M9" s="70"/>
      <c r="N9" s="70"/>
    </row>
    <row r="10" spans="1:14" ht="18" customHeight="1">
      <c r="A10" s="7" t="s">
        <v>252</v>
      </c>
    </row>
    <row r="11" spans="1:14" ht="18" customHeight="1">
      <c r="A11" s="62" t="s">
        <v>249</v>
      </c>
      <c r="B11" s="62"/>
      <c r="C11" s="35">
        <f>_xlfn.IFNA(VLOOKUP(封面!B1,'2020决算导出'!A:AI,35,FALSE),"")</f>
        <v>11664.27</v>
      </c>
      <c r="D11" s="7" t="s">
        <v>187</v>
      </c>
      <c r="E11" s="62" t="s">
        <v>253</v>
      </c>
      <c r="F11" s="62"/>
      <c r="G11" s="62"/>
      <c r="H11" s="71">
        <f>_xlfn.IFNA(VLOOKUP(封面!B1,'2020决算导出'!A:AJ,36,FALSE),"")</f>
        <v>27000</v>
      </c>
      <c r="I11" s="71"/>
      <c r="J11" s="16" t="s">
        <v>186</v>
      </c>
      <c r="K11" s="30" t="str">
        <f>IF(C11&gt;H11,"增加","减少")</f>
        <v>减少</v>
      </c>
      <c r="L11" s="71">
        <f>ABS(C11-H11)</f>
        <v>15335.73</v>
      </c>
      <c r="M11" s="71"/>
      <c r="N11" s="7" t="s">
        <v>246</v>
      </c>
    </row>
    <row r="12" spans="1:14" ht="18" customHeight="1">
      <c r="A12" s="62" t="s">
        <v>254</v>
      </c>
      <c r="B12" s="62"/>
      <c r="C12" s="62"/>
      <c r="D12" s="62"/>
      <c r="E12" s="62"/>
      <c r="F12" s="71">
        <f>_xlfn.IFNA(VLOOKUP(封面!B1,'2020决算导出'!A:AK,37,FALSE),"")</f>
        <v>0</v>
      </c>
      <c r="G12" s="71"/>
      <c r="H12" s="17" t="s">
        <v>187</v>
      </c>
      <c r="I12" s="62" t="s">
        <v>253</v>
      </c>
      <c r="J12" s="62"/>
      <c r="K12" s="62"/>
      <c r="L12" s="71">
        <f>_xlfn.IFNA(VLOOKUP(封面!B1,'2020决算导出'!A:AL,38,FALSE),"")</f>
        <v>0</v>
      </c>
      <c r="M12" s="71"/>
      <c r="N12" s="7" t="s">
        <v>186</v>
      </c>
    </row>
    <row r="13" spans="1:14" ht="18" customHeight="1">
      <c r="A13" s="15" t="str">
        <f>IF(F12&gt;L12,"增加","减少")</f>
        <v>减少</v>
      </c>
      <c r="B13" s="71">
        <f>ABS(F12-L12)</f>
        <v>0</v>
      </c>
      <c r="C13" s="71"/>
      <c r="D13" s="7" t="s">
        <v>246</v>
      </c>
      <c r="H13" s="71"/>
      <c r="I13" s="71"/>
      <c r="J13" s="16"/>
    </row>
    <row r="14" spans="1:14" ht="36" customHeight="1">
      <c r="A14" s="67" t="s">
        <v>479</v>
      </c>
      <c r="B14" s="67"/>
      <c r="C14" s="67"/>
      <c r="D14" s="67"/>
      <c r="E14" s="67"/>
      <c r="F14" s="67"/>
      <c r="G14" s="67"/>
      <c r="H14" s="67"/>
      <c r="I14" s="67"/>
      <c r="J14" s="67"/>
      <c r="K14" s="67"/>
      <c r="L14" s="67"/>
      <c r="M14" s="67"/>
      <c r="N14" s="67"/>
    </row>
    <row r="15" spans="1:14" ht="18" customHeight="1">
      <c r="A15" s="62" t="s">
        <v>255</v>
      </c>
      <c r="B15" s="62"/>
      <c r="C15" s="62"/>
      <c r="D15" s="8">
        <f>_xlfn.IFNA(VLOOKUP(封面!B1,'2020决算导出'!A:AM,39,FALSE),"")</f>
        <v>0</v>
      </c>
      <c r="E15" s="7" t="s">
        <v>256</v>
      </c>
      <c r="F15" s="62" t="s">
        <v>257</v>
      </c>
      <c r="G15" s="62"/>
      <c r="H15" s="71">
        <f>IF(D15=0,0,F12/D15)</f>
        <v>0</v>
      </c>
      <c r="I15" s="71"/>
      <c r="J15" s="7" t="s">
        <v>246</v>
      </c>
    </row>
    <row r="16" spans="1:14" ht="18" customHeight="1">
      <c r="A16" s="65" t="s">
        <v>258</v>
      </c>
      <c r="B16" s="65"/>
      <c r="C16" s="65"/>
      <c r="D16" s="65"/>
      <c r="E16" s="65"/>
      <c r="F16" s="71">
        <f>_xlfn.IFNA(VLOOKUP(封面!B1,'2020决算导出'!A:AO,41,FALSE),"")</f>
        <v>11664.27</v>
      </c>
      <c r="G16" s="71" t="s">
        <v>187</v>
      </c>
      <c r="H16" s="7" t="s">
        <v>187</v>
      </c>
      <c r="I16" s="7" t="s">
        <v>253</v>
      </c>
      <c r="L16" s="71">
        <f>_xlfn.IFNA(VLOOKUP(封面!B1,'2020决算导出'!A:AP,42,FALSE),"")</f>
        <v>27000</v>
      </c>
      <c r="M16" s="71" t="s">
        <v>187</v>
      </c>
      <c r="N16" s="7" t="s">
        <v>187</v>
      </c>
    </row>
    <row r="17" spans="1:14" ht="18" customHeight="1">
      <c r="A17" s="15" t="str">
        <f>IF(F16&gt;L16,"增加","减少")</f>
        <v>减少</v>
      </c>
      <c r="B17" s="71">
        <f>ABS(F16-L16)</f>
        <v>15335.73</v>
      </c>
      <c r="C17" s="71"/>
      <c r="D17" s="7" t="s">
        <v>246</v>
      </c>
    </row>
    <row r="18" spans="1:14" ht="36" customHeight="1">
      <c r="A18" s="67" t="s">
        <v>259</v>
      </c>
      <c r="B18" s="67"/>
      <c r="C18" s="67"/>
      <c r="D18" s="67"/>
      <c r="E18" s="67"/>
      <c r="F18" s="67"/>
      <c r="G18" s="67"/>
      <c r="H18" s="67"/>
      <c r="I18" s="67"/>
      <c r="J18" s="67"/>
      <c r="K18" s="67"/>
      <c r="L18" s="67"/>
      <c r="M18" s="67"/>
      <c r="N18" s="67"/>
    </row>
    <row r="19" spans="1:14" ht="18" customHeight="1">
      <c r="A19" s="62" t="s">
        <v>260</v>
      </c>
      <c r="B19" s="62"/>
      <c r="C19" s="62"/>
      <c r="D19" s="62"/>
      <c r="E19" s="62"/>
      <c r="F19" s="62"/>
      <c r="G19" s="71">
        <f>_xlfn.IFNA(VLOOKUP(封面!B1,'2020决算导出'!A:AQ,43,FALSE),"")</f>
        <v>4000</v>
      </c>
      <c r="H19" s="71" t="s">
        <v>187</v>
      </c>
      <c r="I19" s="7" t="s">
        <v>187</v>
      </c>
      <c r="J19" s="7" t="s">
        <v>261</v>
      </c>
      <c r="L19" s="71">
        <f>_xlfn.IFNA(VLOOKUP(封面!B1,'2020决算导出'!A:AR,44,FALSE),"")</f>
        <v>4770</v>
      </c>
      <c r="M19" s="71" t="s">
        <v>187</v>
      </c>
      <c r="N19" s="7" t="s">
        <v>187</v>
      </c>
    </row>
    <row r="20" spans="1:14" ht="18" customHeight="1">
      <c r="A20" s="62" t="s">
        <v>262</v>
      </c>
      <c r="B20" s="62"/>
      <c r="C20" s="71">
        <f>_xlfn.IFNA(VLOOKUP(封面!B1,'2020决算导出'!A:AS,45,FALSE),"")</f>
        <v>2700.27</v>
      </c>
      <c r="D20" s="71" t="s">
        <v>187</v>
      </c>
      <c r="E20" s="7" t="s">
        <v>187</v>
      </c>
      <c r="F20" s="62" t="s">
        <v>263</v>
      </c>
      <c r="G20" s="62"/>
      <c r="H20" s="62"/>
      <c r="I20" s="71">
        <f>_xlfn.IFNA(VLOOKUP(封面!B1,'2020决算导出'!A:AT,46,FALSE),"")</f>
        <v>194</v>
      </c>
      <c r="J20" s="71" t="s">
        <v>187</v>
      </c>
      <c r="K20" s="7" t="s">
        <v>246</v>
      </c>
    </row>
    <row r="21" spans="1:14" ht="18" customHeight="1">
      <c r="A21" s="62" t="s">
        <v>264</v>
      </c>
      <c r="B21" s="62"/>
      <c r="C21" s="62"/>
      <c r="D21" s="8">
        <f>_xlfn.IFNA(VLOOKUP(封面!B1,'2020决算导出'!A:AU,47,FALSE),"")</f>
        <v>1</v>
      </c>
      <c r="E21" s="66" t="s">
        <v>455</v>
      </c>
      <c r="F21" s="66"/>
      <c r="G21" s="66"/>
      <c r="H21" s="66"/>
      <c r="I21" s="66"/>
      <c r="J21" s="66"/>
      <c r="K21" s="66"/>
      <c r="L21" s="66"/>
      <c r="M21" s="55">
        <f>F16/D21</f>
        <v>11664.27</v>
      </c>
      <c r="N21" s="7" t="s">
        <v>246</v>
      </c>
    </row>
    <row r="22" spans="1:14" ht="18" customHeight="1">
      <c r="A22" s="6" t="s">
        <v>265</v>
      </c>
    </row>
    <row r="23" spans="1:14" ht="18" customHeight="1">
      <c r="A23" s="7" t="s">
        <v>266</v>
      </c>
    </row>
    <row r="24" spans="1:14" ht="18" customHeight="1">
      <c r="A24" s="6" t="s">
        <v>267</v>
      </c>
    </row>
    <row r="25" spans="1:14" ht="18" customHeight="1">
      <c r="A25" s="62" t="s">
        <v>268</v>
      </c>
      <c r="B25" s="62"/>
      <c r="C25" s="62"/>
      <c r="D25" s="62"/>
      <c r="E25" s="64">
        <f>_xlfn.IFNA(VLOOKUP(封面!B1,'2020决算导出'!A:AW,49,FALSE),"")</f>
        <v>1353852.9</v>
      </c>
      <c r="F25" s="64"/>
      <c r="G25" s="7" t="s">
        <v>187</v>
      </c>
      <c r="H25" s="62" t="s">
        <v>269</v>
      </c>
      <c r="I25" s="62"/>
      <c r="J25" s="62"/>
      <c r="K25" s="62"/>
      <c r="L25" s="64">
        <f>_xlfn.IFNA(VLOOKUP(封面!B1,'2020决算导出'!A:AX,50,FALSE),"")</f>
        <v>525852.9</v>
      </c>
      <c r="M25" s="64" t="s">
        <v>187</v>
      </c>
      <c r="N25" s="7" t="s">
        <v>187</v>
      </c>
    </row>
    <row r="26" spans="1:14" ht="18" customHeight="1">
      <c r="A26" s="62" t="s">
        <v>270</v>
      </c>
      <c r="B26" s="62"/>
      <c r="C26" s="62"/>
      <c r="D26" s="64">
        <f>_xlfn.IFNA(VLOOKUP(封面!B1,'2020决算导出'!A:AY,51,FALSE),"")</f>
        <v>0</v>
      </c>
      <c r="E26" s="64" t="s">
        <v>187</v>
      </c>
      <c r="F26" s="7" t="s">
        <v>187</v>
      </c>
      <c r="G26" s="62" t="s">
        <v>271</v>
      </c>
      <c r="H26" s="62"/>
      <c r="I26" s="62"/>
      <c r="J26" s="64">
        <f>_xlfn.IFNA(VLOOKUP(封面!B1,'2020决算导出'!A:AZ,52,FALSE),"")</f>
        <v>828000</v>
      </c>
      <c r="K26" s="64" t="s">
        <v>187</v>
      </c>
      <c r="L26" s="7" t="s">
        <v>246</v>
      </c>
    </row>
    <row r="27" spans="1:14" ht="18" customHeight="1">
      <c r="A27" s="62" t="s">
        <v>272</v>
      </c>
      <c r="B27" s="62"/>
      <c r="C27" s="62"/>
      <c r="D27" s="62"/>
      <c r="E27" s="64">
        <f>_xlfn.IFNA(VLOOKUP(封面!B1,'2020决算导出'!A:BA,53,FALSE),"")</f>
        <v>0</v>
      </c>
      <c r="F27" s="64" t="s">
        <v>187</v>
      </c>
      <c r="G27" s="7" t="s">
        <v>187</v>
      </c>
      <c r="H27" s="65" t="s">
        <v>273</v>
      </c>
      <c r="I27" s="65"/>
      <c r="J27" s="65"/>
      <c r="K27" s="29">
        <f>E27/$E$25</f>
        <v>0</v>
      </c>
      <c r="L27" s="18" t="s">
        <v>358</v>
      </c>
      <c r="M27" s="7" t="s">
        <v>456</v>
      </c>
    </row>
    <row r="28" spans="1:14" ht="18" customHeight="1">
      <c r="A28" s="62" t="s">
        <v>274</v>
      </c>
      <c r="B28" s="62"/>
      <c r="C28" s="62"/>
      <c r="D28" s="62"/>
      <c r="E28" s="64">
        <f>_xlfn.IFNA(VLOOKUP(封面!B1,'2020决算导出'!A:BB,54,FALSE),"")</f>
        <v>0</v>
      </c>
      <c r="F28" s="64" t="s">
        <v>187</v>
      </c>
      <c r="G28" s="7" t="s">
        <v>187</v>
      </c>
      <c r="H28" s="65" t="s">
        <v>273</v>
      </c>
      <c r="I28" s="65"/>
      <c r="J28" s="65"/>
      <c r="K28" s="29">
        <f>E28/$E$25</f>
        <v>0</v>
      </c>
      <c r="L28" s="18" t="s">
        <v>360</v>
      </c>
    </row>
    <row r="29" spans="1:14" ht="18" customHeight="1">
      <c r="A29" s="6" t="s">
        <v>275</v>
      </c>
      <c r="I29" s="7" t="s">
        <v>478</v>
      </c>
    </row>
    <row r="30" spans="1:14" ht="18" customHeight="1">
      <c r="A30" s="62" t="s">
        <v>276</v>
      </c>
      <c r="B30" s="62"/>
      <c r="C30" s="8">
        <f>_xlfn.IFNA(VLOOKUP(封面!B1,'2020决算导出'!A:BC,55,FALSE),"")</f>
        <v>1</v>
      </c>
      <c r="D30" s="7" t="s">
        <v>277</v>
      </c>
      <c r="M30" s="71">
        <f>_xlfn.IFNA(VLOOKUP(封面!B1,'2020决算导出'!A:BD,56,FALSE),"")</f>
        <v>135310</v>
      </c>
      <c r="N30" s="71" t="s">
        <v>187</v>
      </c>
    </row>
    <row r="31" spans="1:14" ht="18" customHeight="1">
      <c r="A31" s="12" t="s">
        <v>278</v>
      </c>
      <c r="B31" s="62" t="s">
        <v>279</v>
      </c>
      <c r="C31" s="62"/>
      <c r="D31" s="62"/>
      <c r="E31" s="62"/>
      <c r="F31" s="62"/>
      <c r="G31" s="8">
        <f>_xlfn.IFNA(VLOOKUP(封面!B1,'2020决算导出'!A:BE,57,FALSE),"")</f>
        <v>0</v>
      </c>
      <c r="H31" s="7" t="s">
        <v>280</v>
      </c>
      <c r="J31" s="7" t="s">
        <v>281</v>
      </c>
    </row>
    <row r="32" spans="1:14" ht="18" customHeight="1">
      <c r="A32" s="12">
        <f>_xlfn.IFNA(VLOOKUP(封面!B1,'2020决算导出'!A:BF,58,FALSE),"")</f>
        <v>0</v>
      </c>
      <c r="B32" s="7" t="s">
        <v>282</v>
      </c>
    </row>
    <row r="33" spans="1:14" ht="18" customHeight="1">
      <c r="A33" s="6" t="s">
        <v>283</v>
      </c>
    </row>
    <row r="34" spans="1:14" ht="18" customHeight="1">
      <c r="A34" s="7" t="s">
        <v>284</v>
      </c>
    </row>
    <row r="35" spans="1:14" ht="18" customHeight="1">
      <c r="A35" s="6" t="s">
        <v>285</v>
      </c>
    </row>
    <row r="36" spans="1:14" ht="304.2" customHeight="1">
      <c r="A36" s="67" t="s">
        <v>286</v>
      </c>
      <c r="B36" s="67"/>
      <c r="C36" s="67"/>
      <c r="D36" s="67"/>
      <c r="E36" s="67"/>
      <c r="F36" s="67"/>
      <c r="G36" s="67"/>
      <c r="H36" s="67"/>
      <c r="I36" s="67"/>
      <c r="J36" s="67"/>
      <c r="K36" s="67"/>
      <c r="L36" s="67"/>
      <c r="M36" s="67"/>
      <c r="N36" s="67"/>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C7" sqref="C7"/>
    </sheetView>
  </sheetViews>
  <sheetFormatPr defaultRowHeight="13.8"/>
  <sheetData>
    <row r="1" spans="1:14" s="7" customFormat="1" ht="35.4" customHeight="1">
      <c r="A1" s="60" t="s">
        <v>288</v>
      </c>
      <c r="B1" s="60"/>
      <c r="C1" s="60"/>
      <c r="D1" s="60"/>
      <c r="E1" s="60"/>
      <c r="F1" s="60"/>
      <c r="G1" s="60"/>
      <c r="H1" s="60"/>
      <c r="I1" s="60"/>
      <c r="J1" s="60"/>
      <c r="K1" s="60"/>
      <c r="L1" s="60"/>
      <c r="M1" s="60"/>
      <c r="N1" s="60"/>
    </row>
    <row r="2" spans="1:14" ht="193.8" customHeight="1">
      <c r="A2" s="67" t="s">
        <v>480</v>
      </c>
      <c r="B2" s="67"/>
      <c r="C2" s="67"/>
      <c r="D2" s="67"/>
      <c r="E2" s="67"/>
      <c r="F2" s="67"/>
      <c r="G2" s="67"/>
      <c r="H2" s="67"/>
      <c r="I2" s="67"/>
      <c r="J2" s="67"/>
      <c r="K2" s="67"/>
      <c r="L2" s="67"/>
      <c r="M2" s="67"/>
      <c r="N2" s="6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294</v>
      </c>
      <c r="B1" s="22" t="s">
        <v>295</v>
      </c>
      <c r="C1" s="22" t="s">
        <v>290</v>
      </c>
      <c r="D1" s="22" t="s">
        <v>296</v>
      </c>
      <c r="E1" s="22" t="s">
        <v>297</v>
      </c>
      <c r="F1" s="22" t="s">
        <v>298</v>
      </c>
      <c r="G1" s="22" t="s">
        <v>299</v>
      </c>
      <c r="H1" s="22" t="s">
        <v>300</v>
      </c>
      <c r="I1" s="22" t="s">
        <v>301</v>
      </c>
      <c r="J1" s="22" t="s">
        <v>302</v>
      </c>
      <c r="K1" s="22" t="s">
        <v>303</v>
      </c>
      <c r="L1" s="22" t="s">
        <v>304</v>
      </c>
      <c r="M1" s="22" t="s">
        <v>305</v>
      </c>
      <c r="N1" s="22" t="s">
        <v>306</v>
      </c>
      <c r="O1" s="22" t="s">
        <v>307</v>
      </c>
      <c r="P1" s="22" t="s">
        <v>308</v>
      </c>
      <c r="Q1" s="22" t="s">
        <v>309</v>
      </c>
      <c r="R1" s="22" t="s">
        <v>310</v>
      </c>
      <c r="S1" s="22" t="s">
        <v>311</v>
      </c>
      <c r="T1" s="22" t="s">
        <v>312</v>
      </c>
      <c r="U1" s="22" t="s">
        <v>313</v>
      </c>
      <c r="V1" s="22" t="s">
        <v>314</v>
      </c>
      <c r="W1" s="22" t="s">
        <v>315</v>
      </c>
      <c r="X1" s="22" t="s">
        <v>316</v>
      </c>
      <c r="Y1" s="22" t="s">
        <v>317</v>
      </c>
      <c r="Z1" s="22" t="s">
        <v>362</v>
      </c>
      <c r="AA1" s="22" t="s">
        <v>318</v>
      </c>
      <c r="AB1" s="22" t="s">
        <v>319</v>
      </c>
      <c r="AC1" s="22" t="s">
        <v>320</v>
      </c>
      <c r="AD1" s="22" t="s">
        <v>321</v>
      </c>
      <c r="AE1" s="22" t="s">
        <v>322</v>
      </c>
      <c r="AF1" s="22" t="s">
        <v>323</v>
      </c>
      <c r="AG1" s="22" t="s">
        <v>324</v>
      </c>
      <c r="AH1" s="22" t="s">
        <v>325</v>
      </c>
      <c r="AI1" s="22" t="s">
        <v>326</v>
      </c>
      <c r="AJ1" s="22" t="s">
        <v>327</v>
      </c>
      <c r="AK1" s="22" t="s">
        <v>328</v>
      </c>
      <c r="AL1" s="22" t="s">
        <v>329</v>
      </c>
      <c r="AM1" s="22" t="s">
        <v>363</v>
      </c>
      <c r="AN1" s="22" t="s">
        <v>364</v>
      </c>
      <c r="AO1" s="22" t="s">
        <v>330</v>
      </c>
      <c r="AP1" s="22" t="s">
        <v>331</v>
      </c>
      <c r="AQ1" s="22" t="s">
        <v>332</v>
      </c>
      <c r="AR1" s="22" t="s">
        <v>333</v>
      </c>
      <c r="AS1" s="22" t="s">
        <v>334</v>
      </c>
      <c r="AT1" s="22" t="s">
        <v>335</v>
      </c>
      <c r="AU1" s="22" t="s">
        <v>336</v>
      </c>
      <c r="AV1" s="22" t="s">
        <v>365</v>
      </c>
      <c r="AW1" s="22" t="s">
        <v>337</v>
      </c>
      <c r="AX1" s="22" t="s">
        <v>338</v>
      </c>
      <c r="AY1" s="22" t="s">
        <v>339</v>
      </c>
      <c r="AZ1" s="22" t="s">
        <v>340</v>
      </c>
      <c r="BA1" s="22" t="s">
        <v>341</v>
      </c>
      <c r="BB1" s="22" t="s">
        <v>342</v>
      </c>
      <c r="BC1" s="22" t="s">
        <v>343</v>
      </c>
      <c r="BD1" s="22" t="s">
        <v>457</v>
      </c>
      <c r="BE1" s="22" t="s">
        <v>344</v>
      </c>
      <c r="BF1" s="22" t="s">
        <v>345</v>
      </c>
    </row>
    <row r="2" spans="1:58">
      <c r="A2" s="24">
        <v>255001</v>
      </c>
      <c r="B2" s="25" t="s">
        <v>346</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347</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348</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294</v>
      </c>
      <c r="B1" s="22" t="s">
        <v>295</v>
      </c>
      <c r="C1" s="22" t="s">
        <v>349</v>
      </c>
      <c r="D1" s="22" t="s">
        <v>350</v>
      </c>
      <c r="E1" s="22" t="s">
        <v>351</v>
      </c>
      <c r="F1" s="22" t="s">
        <v>352</v>
      </c>
    </row>
    <row r="2" spans="1:6">
      <c r="A2" s="24">
        <v>255001</v>
      </c>
      <c r="B2" s="25" t="s">
        <v>346</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353</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354</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355</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356</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366</v>
      </c>
      <c r="B1" s="42" t="s">
        <v>403</v>
      </c>
      <c r="C1" s="42" t="s">
        <v>404</v>
      </c>
      <c r="D1" s="42" t="s">
        <v>405</v>
      </c>
      <c r="E1" s="42" t="s">
        <v>406</v>
      </c>
      <c r="F1" s="42" t="s">
        <v>407</v>
      </c>
      <c r="G1" s="42" t="s">
        <v>408</v>
      </c>
      <c r="H1" s="42" t="s">
        <v>409</v>
      </c>
      <c r="I1" s="42" t="s">
        <v>410</v>
      </c>
      <c r="J1" s="42" t="s">
        <v>411</v>
      </c>
      <c r="K1" s="42" t="s">
        <v>412</v>
      </c>
      <c r="L1" s="42" t="s">
        <v>413</v>
      </c>
      <c r="M1" s="42" t="s">
        <v>414</v>
      </c>
      <c r="N1" s="42" t="s">
        <v>415</v>
      </c>
      <c r="O1" s="42" t="s">
        <v>416</v>
      </c>
      <c r="P1" s="42" t="s">
        <v>417</v>
      </c>
      <c r="Q1" s="42" t="s">
        <v>418</v>
      </c>
      <c r="R1" s="42" t="s">
        <v>419</v>
      </c>
      <c r="S1" s="42" t="s">
        <v>420</v>
      </c>
      <c r="T1" s="42" t="s">
        <v>421</v>
      </c>
      <c r="U1" s="42" t="s">
        <v>422</v>
      </c>
      <c r="V1" s="42" t="s">
        <v>423</v>
      </c>
      <c r="W1" s="42" t="s">
        <v>424</v>
      </c>
      <c r="X1" s="42" t="s">
        <v>425</v>
      </c>
      <c r="Y1" s="42" t="s">
        <v>426</v>
      </c>
      <c r="Z1" s="42" t="s">
        <v>427</v>
      </c>
      <c r="AA1" s="42" t="s">
        <v>428</v>
      </c>
      <c r="AB1" s="42" t="s">
        <v>429</v>
      </c>
      <c r="AC1" s="42" t="s">
        <v>430</v>
      </c>
      <c r="AD1" s="42" t="s">
        <v>431</v>
      </c>
      <c r="AE1" s="42" t="s">
        <v>432</v>
      </c>
      <c r="AF1" s="42" t="s">
        <v>433</v>
      </c>
      <c r="AG1" s="42" t="s">
        <v>434</v>
      </c>
      <c r="AH1" s="42" t="s">
        <v>435</v>
      </c>
      <c r="AI1" s="42" t="s">
        <v>436</v>
      </c>
      <c r="AJ1" s="42" t="s">
        <v>437</v>
      </c>
      <c r="AK1" s="42" t="s">
        <v>438</v>
      </c>
      <c r="AL1" s="42" t="s">
        <v>439</v>
      </c>
      <c r="AM1" s="42" t="s">
        <v>440</v>
      </c>
      <c r="AN1" s="42" t="s">
        <v>441</v>
      </c>
      <c r="AO1" s="42" t="s">
        <v>442</v>
      </c>
      <c r="AP1" s="42" t="s">
        <v>443</v>
      </c>
    </row>
    <row r="2" spans="1:42">
      <c r="A2" s="43">
        <v>255001</v>
      </c>
      <c r="B2" s="44" t="s">
        <v>346</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347</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444</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445</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2021-09-08T07:12:17Z</dcterms:modified>
</cp:coreProperties>
</file>