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19416" windowHeight="1101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2" i="5" l="1"/>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c r="C1411" i="10" s="1"/>
  <c r="E1410" i="10"/>
  <c r="D1410" i="10"/>
  <c r="C1410" i="10" s="1"/>
  <c r="E1409" i="10"/>
  <c r="D1409" i="10" s="1"/>
  <c r="C1409" i="10"/>
  <c r="E1408" i="10"/>
  <c r="D1408" i="10" s="1"/>
  <c r="C1408" i="10" s="1"/>
  <c r="E1407" i="10"/>
  <c r="D1407" i="10" s="1"/>
  <c r="C1407" i="10" s="1"/>
  <c r="E1406" i="10"/>
  <c r="D1406" i="10" s="1"/>
  <c r="C1406" i="10"/>
  <c r="E1405" i="10"/>
  <c r="D1405" i="10"/>
  <c r="C1405" i="10" s="1"/>
  <c r="E1404" i="10"/>
  <c r="D1404" i="10" s="1"/>
  <c r="C1404" i="10" s="1"/>
  <c r="E1403" i="10"/>
  <c r="D1403" i="10"/>
  <c r="C1403" i="10" s="1"/>
  <c r="E1402" i="10"/>
  <c r="D1402" i="10"/>
  <c r="C1402" i="10" s="1"/>
  <c r="E1401" i="10"/>
  <c r="D1401" i="10" s="1"/>
  <c r="C1401" i="10" s="1"/>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c r="C1394" i="10" s="1"/>
  <c r="E1393" i="10"/>
  <c r="D1393" i="10" s="1"/>
  <c r="C1393" i="10"/>
  <c r="E1392" i="10"/>
  <c r="D1392" i="10" s="1"/>
  <c r="C1392" i="10" s="1"/>
  <c r="E1391" i="10"/>
  <c r="D1391" i="10" s="1"/>
  <c r="C1391" i="10" s="1"/>
  <c r="E1390" i="10"/>
  <c r="D1390" i="10" s="1"/>
  <c r="C1390" i="10"/>
  <c r="E1389" i="10"/>
  <c r="D1389" i="10"/>
  <c r="C1389" i="10" s="1"/>
  <c r="E1388" i="10"/>
  <c r="D1388" i="10" s="1"/>
  <c r="C1388" i="10" s="1"/>
  <c r="E1387" i="10"/>
  <c r="D1387" i="10"/>
  <c r="C1387" i="10" s="1"/>
  <c r="E1386" i="10"/>
  <c r="D1386" i="10"/>
  <c r="C1386" i="10"/>
  <c r="E1385" i="10"/>
  <c r="D1385" i="10" s="1"/>
  <c r="C1385" i="10"/>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c r="E1377" i="10"/>
  <c r="D1377" i="10"/>
  <c r="C1377" i="10" s="1"/>
  <c r="E1376" i="10"/>
  <c r="D1376" i="10" s="1"/>
  <c r="C1376" i="10" s="1"/>
  <c r="E1375" i="10"/>
  <c r="D1375" i="10" s="1"/>
  <c r="C1375" i="10" s="1"/>
  <c r="E1374" i="10"/>
  <c r="D1374" i="10"/>
  <c r="C1374" i="10"/>
  <c r="E1373" i="10"/>
  <c r="D1373" i="10" s="1"/>
  <c r="C1373" i="10"/>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s="1"/>
  <c r="C1337" i="10" s="1"/>
  <c r="E1336" i="10"/>
  <c r="D1336" i="10" s="1"/>
  <c r="C1336" i="10" s="1"/>
  <c r="E1335" i="10"/>
  <c r="D1335" i="10" s="1"/>
  <c r="C1335" i="10" s="1"/>
  <c r="E1334" i="10"/>
  <c r="D1334" i="10" s="1"/>
  <c r="C1334" i="10" s="1"/>
  <c r="E1333" i="10"/>
  <c r="D1333" i="10"/>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c r="C1193" i="10" s="1"/>
  <c r="E1192" i="10"/>
  <c r="D1192" i="10" s="1"/>
  <c r="C1192" i="10" s="1"/>
  <c r="E1191" i="10"/>
  <c r="D1191" i="10"/>
  <c r="C1191" i="10" s="1"/>
  <c r="E1190" i="10"/>
  <c r="D1190" i="10"/>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s="1"/>
  <c r="E1021" i="10"/>
  <c r="D1021" i="10"/>
  <c r="C1021" i="10" s="1"/>
  <c r="E1020" i="10"/>
  <c r="D1020" i="10" s="1"/>
  <c r="C1020" i="10" s="1"/>
  <c r="E1019" i="10"/>
  <c r="D1019" i="10"/>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c r="C891" i="10" s="1"/>
  <c r="E890" i="10"/>
  <c r="D890" i="10"/>
  <c r="C890" i="10" s="1"/>
  <c r="E889" i="10"/>
  <c r="D889" i="10" s="1"/>
  <c r="C889" i="10"/>
  <c r="E888" i="10"/>
  <c r="D888" i="10" s="1"/>
  <c r="E887" i="10"/>
  <c r="D887" i="10" s="1"/>
  <c r="C887" i="10" s="1"/>
  <c r="E886" i="10"/>
  <c r="D886" i="10" s="1"/>
  <c r="C886" i="10"/>
  <c r="E885" i="10"/>
  <c r="D885" i="10"/>
  <c r="C885" i="10" s="1"/>
  <c r="E884" i="10"/>
  <c r="D884" i="10" s="1"/>
  <c r="C884" i="10" s="1"/>
  <c r="E883" i="10"/>
  <c r="D883" i="10"/>
  <c r="C883" i="10" s="1"/>
  <c r="E882" i="10"/>
  <c r="D882" i="10"/>
  <c r="C882" i="10" s="1"/>
  <c r="E881" i="10"/>
  <c r="D881" i="10" s="1"/>
  <c r="C881" i="10" s="1"/>
  <c r="E880" i="10"/>
  <c r="D880" i="10" s="1"/>
  <c r="C880" i="10" s="1"/>
  <c r="E879" i="10"/>
  <c r="D879" i="10" s="1"/>
  <c r="C879" i="10" s="1"/>
  <c r="E878" i="10"/>
  <c r="D878" i="10" s="1"/>
  <c r="C878" i="10" s="1"/>
  <c r="E877" i="10"/>
  <c r="D877" i="10" s="1"/>
  <c r="C877" i="10" s="1"/>
  <c r="E876" i="10"/>
  <c r="D876" i="10" s="1"/>
  <c r="E875" i="10"/>
  <c r="D875" i="10"/>
  <c r="C875" i="10" s="1"/>
  <c r="E874" i="10"/>
  <c r="D874" i="10"/>
  <c r="C874" i="10" s="1"/>
  <c r="E873" i="10"/>
  <c r="D873" i="10" s="1"/>
  <c r="C873" i="10" s="1"/>
  <c r="E872" i="10"/>
  <c r="D872" i="10" s="1"/>
  <c r="C872" i="10" s="1"/>
  <c r="E871" i="10"/>
  <c r="D871" i="10" s="1"/>
  <c r="C871" i="10" s="1"/>
  <c r="E870" i="10"/>
  <c r="D870" i="10" s="1"/>
  <c r="C870" i="10" s="1"/>
  <c r="E869" i="10"/>
  <c r="D869" i="10"/>
  <c r="C869" i="10" s="1"/>
  <c r="E868" i="10"/>
  <c r="D868" i="10" s="1"/>
  <c r="C868" i="10" s="1"/>
  <c r="E867" i="10"/>
  <c r="D867" i="10"/>
  <c r="C867" i="10" s="1"/>
  <c r="E866" i="10"/>
  <c r="D866" i="10"/>
  <c r="C866" i="10" s="1"/>
  <c r="E865" i="10"/>
  <c r="D865" i="10" s="1"/>
  <c r="C865" i="10" s="1"/>
  <c r="E864" i="10"/>
  <c r="D864" i="10" s="1"/>
  <c r="C864" i="10" s="1"/>
  <c r="E863" i="10"/>
  <c r="D863" i="10" s="1"/>
  <c r="C863" i="10" s="1"/>
  <c r="E862" i="10"/>
  <c r="D862" i="10" s="1"/>
  <c r="C862" i="10" s="1"/>
  <c r="E861" i="10"/>
  <c r="D861" i="10"/>
  <c r="C861" i="10" s="1"/>
  <c r="E860" i="10"/>
  <c r="D860" i="10" s="1"/>
  <c r="C860" i="10" s="1"/>
  <c r="E859" i="10"/>
  <c r="D859" i="10"/>
  <c r="C859" i="10" s="1"/>
  <c r="E858" i="10"/>
  <c r="D858" i="10"/>
  <c r="C858" i="10" s="1"/>
  <c r="E857" i="10"/>
  <c r="D857" i="10" s="1"/>
  <c r="C857" i="10" s="1"/>
  <c r="E856" i="10"/>
  <c r="D856" i="10" s="1"/>
  <c r="C856" i="10" s="1"/>
  <c r="E855" i="10"/>
  <c r="D855" i="10" s="1"/>
  <c r="C855" i="10" s="1"/>
  <c r="E854" i="10"/>
  <c r="D854" i="10" s="1"/>
  <c r="C854" i="10" s="1"/>
  <c r="E853" i="10"/>
  <c r="D853" i="10"/>
  <c r="C853" i="10" s="1"/>
  <c r="E852" i="10"/>
  <c r="D852" i="10" s="1"/>
  <c r="C852" i="10" s="1"/>
  <c r="E851" i="10"/>
  <c r="D851" i="10"/>
  <c r="C851" i="10" s="1"/>
  <c r="E850" i="10"/>
  <c r="D850" i="10"/>
  <c r="C850" i="10" s="1"/>
  <c r="E849" i="10"/>
  <c r="D849" i="10" s="1"/>
  <c r="C849" i="10" s="1"/>
  <c r="E848" i="10"/>
  <c r="D848" i="10" s="1"/>
  <c r="C848" i="10" s="1"/>
  <c r="E847" i="10"/>
  <c r="D847" i="10" s="1"/>
  <c r="C847" i="10" s="1"/>
  <c r="E846" i="10"/>
  <c r="D846" i="10" s="1"/>
  <c r="C846" i="10" s="1"/>
  <c r="E845" i="10"/>
  <c r="D845" i="10"/>
  <c r="C845" i="10" s="1"/>
  <c r="E844" i="10"/>
  <c r="D844" i="10" s="1"/>
  <c r="C844" i="10" s="1"/>
  <c r="E843" i="10"/>
  <c r="D843" i="10"/>
  <c r="C843" i="10" s="1"/>
  <c r="E842" i="10"/>
  <c r="D842" i="10"/>
  <c r="C842" i="10" s="1"/>
  <c r="E841" i="10"/>
  <c r="D841" i="10" s="1"/>
  <c r="C841" i="10" s="1"/>
  <c r="E840" i="10"/>
  <c r="D840" i="10" s="1"/>
  <c r="C840" i="10" s="1"/>
  <c r="E839" i="10"/>
  <c r="D839" i="10" s="1"/>
  <c r="C839" i="10" s="1"/>
  <c r="E838" i="10"/>
  <c r="D838" i="10" s="1"/>
  <c r="C838" i="10" s="1"/>
  <c r="E837" i="10"/>
  <c r="D837" i="10"/>
  <c r="C837" i="10" s="1"/>
  <c r="E836" i="10"/>
  <c r="D836" i="10" s="1"/>
  <c r="C836" i="10" s="1"/>
  <c r="E835" i="10"/>
  <c r="D835" i="10"/>
  <c r="C835" i="10" s="1"/>
  <c r="E834" i="10"/>
  <c r="D834" i="10"/>
  <c r="C834" i="10" s="1"/>
  <c r="E833" i="10"/>
  <c r="D833" i="10" s="1"/>
  <c r="C833" i="10" s="1"/>
  <c r="E832" i="10"/>
  <c r="D832" i="10" s="1"/>
  <c r="C832" i="10" s="1"/>
  <c r="E831" i="10"/>
  <c r="D831" i="10" s="1"/>
  <c r="C831" i="10" s="1"/>
  <c r="E830" i="10"/>
  <c r="D830" i="10" s="1"/>
  <c r="C830" i="10" s="1"/>
  <c r="E829" i="10"/>
  <c r="D829" i="10"/>
  <c r="C829" i="10" s="1"/>
  <c r="E828" i="10"/>
  <c r="D828" i="10" s="1"/>
  <c r="C828" i="10" s="1"/>
  <c r="E827" i="10"/>
  <c r="D827" i="10"/>
  <c r="C827" i="10" s="1"/>
  <c r="E826" i="10"/>
  <c r="D826" i="10"/>
  <c r="C826" i="10" s="1"/>
  <c r="E825" i="10"/>
  <c r="D825" i="10" s="1"/>
  <c r="C825" i="10" s="1"/>
  <c r="E824" i="10"/>
  <c r="D824" i="10" s="1"/>
  <c r="C824" i="10" s="1"/>
  <c r="E823" i="10"/>
  <c r="D823" i="10" s="1"/>
  <c r="C823" i="10" s="1"/>
  <c r="E822" i="10"/>
  <c r="D822" i="10" s="1"/>
  <c r="C822" i="10" s="1"/>
  <c r="E821" i="10"/>
  <c r="D821" i="10"/>
  <c r="C821" i="10" s="1"/>
  <c r="E820" i="10"/>
  <c r="D820" i="10" s="1"/>
  <c r="C820" i="10" s="1"/>
  <c r="E819" i="10"/>
  <c r="D819" i="10"/>
  <c r="C819" i="10" s="1"/>
  <c r="E818" i="10"/>
  <c r="D818" i="10"/>
  <c r="C818" i="10" s="1"/>
  <c r="E817" i="10"/>
  <c r="D817" i="10" s="1"/>
  <c r="C817" i="10" s="1"/>
  <c r="E816" i="10"/>
  <c r="D816" i="10" s="1"/>
  <c r="C816" i="10" s="1"/>
  <c r="E815" i="10"/>
  <c r="D815" i="10" s="1"/>
  <c r="C815" i="10" s="1"/>
  <c r="E814" i="10"/>
  <c r="D814" i="10" s="1"/>
  <c r="C814" i="10" s="1"/>
  <c r="E813" i="10"/>
  <c r="D813" i="10"/>
  <c r="C813" i="10" s="1"/>
  <c r="E812" i="10"/>
  <c r="D812" i="10" s="1"/>
  <c r="C812" i="10" s="1"/>
  <c r="E811" i="10"/>
  <c r="D811" i="10"/>
  <c r="C811" i="10" s="1"/>
  <c r="E810" i="10"/>
  <c r="D810" i="10"/>
  <c r="C810" i="10" s="1"/>
  <c r="E809" i="10"/>
  <c r="D809" i="10" s="1"/>
  <c r="C809" i="10" s="1"/>
  <c r="E808" i="10"/>
  <c r="D808" i="10" s="1"/>
  <c r="C808" i="10" s="1"/>
  <c r="E807" i="10"/>
  <c r="D807" i="10" s="1"/>
  <c r="C807" i="10" s="1"/>
  <c r="E806" i="10"/>
  <c r="D806" i="10" s="1"/>
  <c r="C806" i="10" s="1"/>
  <c r="E805" i="10"/>
  <c r="D805" i="10"/>
  <c r="C805" i="10" s="1"/>
  <c r="E804" i="10"/>
  <c r="D804" i="10" s="1"/>
  <c r="C804" i="10" s="1"/>
  <c r="E803" i="10"/>
  <c r="D803" i="10"/>
  <c r="C803" i="10" s="1"/>
  <c r="E802" i="10"/>
  <c r="D802" i="10"/>
  <c r="C802" i="10" s="1"/>
  <c r="E801" i="10"/>
  <c r="D801" i="10" s="1"/>
  <c r="C801" i="10" s="1"/>
  <c r="E800" i="10"/>
  <c r="D800" i="10" s="1"/>
  <c r="C800" i="10" s="1"/>
  <c r="E799" i="10"/>
  <c r="D799" i="10" s="1"/>
  <c r="C799" i="10" s="1"/>
  <c r="E798" i="10"/>
  <c r="D798" i="10" s="1"/>
  <c r="C798" i="10" s="1"/>
  <c r="E797" i="10"/>
  <c r="D797" i="10"/>
  <c r="C797" i="10" s="1"/>
  <c r="E796" i="10"/>
  <c r="D796" i="10" s="1"/>
  <c r="C796" i="10" s="1"/>
  <c r="E795" i="10"/>
  <c r="D795" i="10"/>
  <c r="C795" i="10" s="1"/>
  <c r="E794" i="10"/>
  <c r="D794" i="10"/>
  <c r="C794" i="10" s="1"/>
  <c r="E793" i="10"/>
  <c r="D793" i="10" s="1"/>
  <c r="C793" i="10" s="1"/>
  <c r="E792" i="10"/>
  <c r="D792" i="10" s="1"/>
  <c r="E791" i="10"/>
  <c r="D791" i="10" s="1"/>
  <c r="C791" i="10" s="1"/>
  <c r="E790" i="10"/>
  <c r="D790" i="10" s="1"/>
  <c r="C790" i="10" s="1"/>
  <c r="E789" i="10"/>
  <c r="D789" i="10"/>
  <c r="C789" i="10" s="1"/>
  <c r="E788" i="10"/>
  <c r="D788" i="10" s="1"/>
  <c r="C788" i="10" s="1"/>
  <c r="E787" i="10"/>
  <c r="D787" i="10"/>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c r="C779" i="10" s="1"/>
  <c r="E778" i="10"/>
  <c r="D778" i="10"/>
  <c r="C778" i="10" s="1"/>
  <c r="E777" i="10"/>
  <c r="D777" i="10" s="1"/>
  <c r="C777" i="10" s="1"/>
  <c r="E776" i="10"/>
  <c r="D776" i="10" s="1"/>
  <c r="C776" i="10" s="1"/>
  <c r="E775" i="10"/>
  <c r="D775" i="10" s="1"/>
  <c r="C775" i="10" s="1"/>
  <c r="E774" i="10"/>
  <c r="D774" i="10" s="1"/>
  <c r="C774" i="10" s="1"/>
  <c r="E773" i="10"/>
  <c r="D773" i="10"/>
  <c r="C773" i="10" s="1"/>
  <c r="E772" i="10"/>
  <c r="D772" i="10" s="1"/>
  <c r="E771" i="10"/>
  <c r="D771" i="10"/>
  <c r="C771" i="10" s="1"/>
  <c r="E770" i="10"/>
  <c r="D770" i="10"/>
  <c r="C770" i="10" s="1"/>
  <c r="E769" i="10"/>
  <c r="D769" i="10" s="1"/>
  <c r="C769" i="10" s="1"/>
  <c r="E768" i="10"/>
  <c r="D768" i="10" s="1"/>
  <c r="C768" i="10" s="1"/>
  <c r="E767" i="10"/>
  <c r="D767" i="10" s="1"/>
  <c r="C767" i="10" s="1"/>
  <c r="E766" i="10"/>
  <c r="D766" i="10" s="1"/>
  <c r="C766" i="10" s="1"/>
  <c r="E765" i="10"/>
  <c r="D765" i="10"/>
  <c r="C765" i="10" s="1"/>
  <c r="E764" i="10"/>
  <c r="D764" i="10" s="1"/>
  <c r="C764" i="10" s="1"/>
  <c r="E763" i="10"/>
  <c r="D763" i="10"/>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c r="C755" i="10" s="1"/>
  <c r="E754" i="10"/>
  <c r="D754" i="10"/>
  <c r="C754" i="10" s="1"/>
  <c r="E753" i="10"/>
  <c r="D753" i="10" s="1"/>
  <c r="C753" i="10" s="1"/>
  <c r="E752" i="10"/>
  <c r="D752" i="10" s="1"/>
  <c r="C752" i="10" s="1"/>
  <c r="E751" i="10"/>
  <c r="D751" i="10" s="1"/>
  <c r="C751" i="10" s="1"/>
  <c r="E750" i="10"/>
  <c r="D750" i="10" s="1"/>
  <c r="C750" i="10" s="1"/>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s="1"/>
  <c r="E736" i="10"/>
  <c r="D736" i="10" s="1"/>
  <c r="C736" i="10" s="1"/>
  <c r="E735" i="10"/>
  <c r="D735" i="10" s="1"/>
  <c r="C735" i="10" s="1"/>
  <c r="E734" i="10"/>
  <c r="D734" i="10" s="1"/>
  <c r="C734" i="10" s="1"/>
  <c r="E733" i="10"/>
  <c r="D733" i="10"/>
  <c r="C733" i="10" s="1"/>
  <c r="E732" i="10"/>
  <c r="D732" i="10" s="1"/>
  <c r="C732" i="10" s="1"/>
  <c r="E731" i="10"/>
  <c r="D731" i="10"/>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c r="C707" i="10" s="1"/>
  <c r="E706" i="10"/>
  <c r="D706" i="10"/>
  <c r="C706" i="10" s="1"/>
  <c r="E705" i="10"/>
  <c r="D705" i="10" s="1"/>
  <c r="C705" i="10" s="1"/>
  <c r="E704" i="10"/>
  <c r="D704" i="10" s="1"/>
  <c r="C704" i="10" s="1"/>
  <c r="E703" i="10"/>
  <c r="D703" i="10" s="1"/>
  <c r="C703" i="10" s="1"/>
  <c r="E702" i="10"/>
  <c r="D702" i="10" s="1"/>
  <c r="C702" i="10" s="1"/>
  <c r="E701" i="10"/>
  <c r="D701" i="10"/>
  <c r="C701" i="10" s="1"/>
  <c r="E700" i="10"/>
  <c r="D700" i="10" s="1"/>
  <c r="C700" i="10" s="1"/>
  <c r="E699" i="10"/>
  <c r="D699" i="10"/>
  <c r="C699" i="10" s="1"/>
  <c r="E698" i="10"/>
  <c r="D698" i="10"/>
  <c r="C698" i="10" s="1"/>
  <c r="E697" i="10"/>
  <c r="D697" i="10" s="1"/>
  <c r="C697" i="10" s="1"/>
  <c r="E696" i="10"/>
  <c r="D696" i="10" s="1"/>
  <c r="C696" i="10" s="1"/>
  <c r="E695" i="10"/>
  <c r="D695" i="10" s="1"/>
  <c r="C695" i="10" s="1"/>
  <c r="E694" i="10"/>
  <c r="D694" i="10" s="1"/>
  <c r="C694" i="10" s="1"/>
  <c r="E693" i="10"/>
  <c r="D693" i="10"/>
  <c r="C693" i="10" s="1"/>
  <c r="E692" i="10"/>
  <c r="D692" i="10" s="1"/>
  <c r="C692" i="10" s="1"/>
  <c r="E691" i="10"/>
  <c r="D691" i="10"/>
  <c r="C691" i="10" s="1"/>
  <c r="E690" i="10"/>
  <c r="D690" i="10"/>
  <c r="C690" i="10" s="1"/>
  <c r="E689" i="10"/>
  <c r="D689" i="10" s="1"/>
  <c r="C689" i="10" s="1"/>
  <c r="E688" i="10"/>
  <c r="D688" i="10" s="1"/>
  <c r="C688" i="10" s="1"/>
  <c r="E687" i="10"/>
  <c r="D687" i="10" s="1"/>
  <c r="C687" i="10" s="1"/>
  <c r="E686" i="10"/>
  <c r="D686" i="10" s="1"/>
  <c r="C686" i="10" s="1"/>
  <c r="E685" i="10"/>
  <c r="D685" i="10"/>
  <c r="C685" i="10" s="1"/>
  <c r="E684" i="10"/>
  <c r="D684" i="10" s="1"/>
  <c r="C684" i="10" s="1"/>
  <c r="E683" i="10"/>
  <c r="D683" i="10"/>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c r="C675" i="10" s="1"/>
  <c r="E674" i="10"/>
  <c r="D674" i="10"/>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c r="C667" i="10" s="1"/>
  <c r="E666" i="10"/>
  <c r="D666" i="10"/>
  <c r="C666" i="10" s="1"/>
  <c r="E665" i="10"/>
  <c r="D665" i="10" s="1"/>
  <c r="C665" i="10" s="1"/>
  <c r="E664" i="10"/>
  <c r="D664" i="10" s="1"/>
  <c r="E663" i="10"/>
  <c r="D663" i="10" s="1"/>
  <c r="C663" i="10" s="1"/>
  <c r="E662" i="10"/>
  <c r="D662" i="10" s="1"/>
  <c r="C662" i="10" s="1"/>
  <c r="E661" i="10"/>
  <c r="D661" i="10"/>
  <c r="C661" i="10" s="1"/>
  <c r="E660" i="10"/>
  <c r="D660" i="10" s="1"/>
  <c r="C660" i="10" s="1"/>
  <c r="E659" i="10"/>
  <c r="D659" i="10"/>
  <c r="C659" i="10" s="1"/>
  <c r="E658" i="10"/>
  <c r="D658" i="10"/>
  <c r="C658" i="10" s="1"/>
  <c r="E657" i="10"/>
  <c r="D657" i="10" s="1"/>
  <c r="C657" i="10" s="1"/>
  <c r="E656" i="10"/>
  <c r="D656" i="10" s="1"/>
  <c r="C656" i="10" s="1"/>
  <c r="E655" i="10"/>
  <c r="D655" i="10" s="1"/>
  <c r="C655" i="10" s="1"/>
  <c r="E654" i="10"/>
  <c r="D654" i="10" s="1"/>
  <c r="C654" i="10"/>
  <c r="E653" i="10"/>
  <c r="D653" i="10"/>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c r="E637" i="10"/>
  <c r="D637" i="10"/>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s="1"/>
  <c r="C630" i="10" s="1"/>
  <c r="E629" i="10"/>
  <c r="D629" i="10"/>
  <c r="C629" i="10" s="1"/>
  <c r="E628" i="10"/>
  <c r="D628" i="10" s="1"/>
  <c r="C628" i="10" s="1"/>
  <c r="E627" i="10"/>
  <c r="D627" i="10"/>
  <c r="C627" i="10" s="1"/>
  <c r="E626" i="10"/>
  <c r="D626" i="10"/>
  <c r="C626" i="10" s="1"/>
  <c r="E625" i="10"/>
  <c r="D625" i="10" s="1"/>
  <c r="C625" i="10"/>
  <c r="E624" i="10"/>
  <c r="D624" i="10" s="1"/>
  <c r="C624" i="10" s="1"/>
  <c r="E623" i="10"/>
  <c r="D623" i="10" s="1"/>
  <c r="C623" i="10" s="1"/>
  <c r="E622" i="10"/>
  <c r="D622" i="10"/>
  <c r="C622" i="10"/>
  <c r="E621" i="10"/>
  <c r="D621" i="10"/>
  <c r="C621" i="10"/>
  <c r="E620" i="10"/>
  <c r="D620" i="10" s="1"/>
  <c r="C620" i="10" s="1"/>
  <c r="E619" i="10"/>
  <c r="D619" i="10"/>
  <c r="C619" i="10" s="1"/>
  <c r="E618" i="10"/>
  <c r="D618" i="10"/>
  <c r="C618" i="10" s="1"/>
  <c r="E617" i="10"/>
  <c r="D617" i="10" s="1"/>
  <c r="C617" i="10" s="1"/>
  <c r="E616" i="10"/>
  <c r="D616" i="10" s="1"/>
  <c r="C616" i="10" s="1"/>
  <c r="E615" i="10"/>
  <c r="D615" i="10" s="1"/>
  <c r="C615" i="10" s="1"/>
  <c r="E614" i="10"/>
  <c r="D614" i="10" s="1"/>
  <c r="C614" i="10"/>
  <c r="E613" i="10"/>
  <c r="D613" i="10" s="1"/>
  <c r="C613" i="10" s="1"/>
  <c r="E612" i="10"/>
  <c r="D612" i="10" s="1"/>
  <c r="E611" i="10"/>
  <c r="D611" i="10" s="1"/>
  <c r="C611" i="10" s="1"/>
  <c r="E610" i="10"/>
  <c r="D610" i="10"/>
  <c r="C610" i="10"/>
  <c r="E609" i="10"/>
  <c r="D609" i="10"/>
  <c r="C609" i="10"/>
  <c r="E608" i="10"/>
  <c r="D608" i="10" s="1"/>
  <c r="C608" i="10" s="1"/>
  <c r="E607" i="10"/>
  <c r="D607" i="10"/>
  <c r="C607" i="10" s="1"/>
  <c r="E606" i="10"/>
  <c r="D606" i="10"/>
  <c r="C606" i="10" s="1"/>
  <c r="E605" i="10"/>
  <c r="D605" i="10" s="1"/>
  <c r="C605" i="10" s="1"/>
  <c r="E604" i="10"/>
  <c r="D604" i="10" s="1"/>
  <c r="C604" i="10" s="1"/>
  <c r="E603" i="10"/>
  <c r="D603" i="10" s="1"/>
  <c r="C603" i="10" s="1"/>
  <c r="E602" i="10"/>
  <c r="D602" i="10" s="1"/>
  <c r="C602" i="10" s="1"/>
  <c r="E601" i="10"/>
  <c r="D601" i="10"/>
  <c r="C601" i="10" s="1"/>
  <c r="E600" i="10"/>
  <c r="D600" i="10" s="1"/>
  <c r="E599" i="10"/>
  <c r="D599" i="10"/>
  <c r="C599" i="10" s="1"/>
  <c r="E598" i="10"/>
  <c r="D598" i="10"/>
  <c r="C598" i="10"/>
  <c r="E597" i="10"/>
  <c r="D597" i="10" s="1"/>
  <c r="C597" i="10" s="1"/>
  <c r="E596" i="10"/>
  <c r="D596" i="10" s="1"/>
  <c r="C596" i="10" s="1"/>
  <c r="E595" i="10"/>
  <c r="D595" i="10" s="1"/>
  <c r="C595" i="10" s="1"/>
  <c r="E594" i="10"/>
  <c r="D594" i="10"/>
  <c r="C594" i="10"/>
  <c r="E593" i="10"/>
  <c r="D593" i="10"/>
  <c r="C593" i="10"/>
  <c r="E592" i="10"/>
  <c r="D592" i="10" s="1"/>
  <c r="C592" i="10" s="1"/>
  <c r="E591" i="10"/>
  <c r="D591" i="10"/>
  <c r="C591" i="10" s="1"/>
  <c r="E590" i="10"/>
  <c r="D590" i="10"/>
  <c r="C590" i="10" s="1"/>
  <c r="E589" i="10"/>
  <c r="D589" i="10"/>
  <c r="C589" i="10"/>
  <c r="E588" i="10"/>
  <c r="D588" i="10" s="1"/>
  <c r="C588" i="10" s="1"/>
  <c r="E587" i="10"/>
  <c r="D587" i="10"/>
  <c r="C587" i="10" s="1"/>
  <c r="E586" i="10"/>
  <c r="D586" i="10" s="1"/>
  <c r="C586" i="10" s="1"/>
  <c r="E585" i="10"/>
  <c r="D585" i="10"/>
  <c r="C585" i="10" s="1"/>
  <c r="E584" i="10"/>
  <c r="D584" i="10" s="1"/>
  <c r="C584" i="10" s="1"/>
  <c r="E583" i="10"/>
  <c r="D583" i="10"/>
  <c r="C583" i="10" s="1"/>
  <c r="E582" i="10"/>
  <c r="D582" i="10"/>
  <c r="C582" i="10"/>
  <c r="E581" i="10"/>
  <c r="D581" i="10" s="1"/>
  <c r="C581" i="10" s="1"/>
  <c r="E580" i="10"/>
  <c r="D580" i="10" s="1"/>
  <c r="C580" i="10" s="1"/>
  <c r="E579" i="10"/>
  <c r="D579" i="10" s="1"/>
  <c r="C579" i="10" s="1"/>
  <c r="E578" i="10"/>
  <c r="D578" i="10"/>
  <c r="C578" i="10"/>
  <c r="E577" i="10"/>
  <c r="D577" i="10"/>
  <c r="C577" i="10"/>
  <c r="E576" i="10"/>
  <c r="D576" i="10" s="1"/>
  <c r="C576" i="10" s="1"/>
  <c r="E575" i="10"/>
  <c r="D575" i="10"/>
  <c r="C575" i="10" s="1"/>
  <c r="E574" i="10"/>
  <c r="D574" i="10"/>
  <c r="C574" i="10" s="1"/>
  <c r="E573" i="10"/>
  <c r="D573" i="10"/>
  <c r="C573" i="10"/>
  <c r="E572" i="10"/>
  <c r="D572" i="10" s="1"/>
  <c r="C572" i="10" s="1"/>
  <c r="E571" i="10"/>
  <c r="D571" i="10"/>
  <c r="C571" i="10" s="1"/>
  <c r="E570" i="10"/>
  <c r="D570" i="10" s="1"/>
  <c r="C570" i="10" s="1"/>
  <c r="E569" i="10"/>
  <c r="D569" i="10"/>
  <c r="C569" i="10" s="1"/>
  <c r="E568" i="10"/>
  <c r="D568" i="10" s="1"/>
  <c r="C568" i="10" s="1"/>
  <c r="E567" i="10"/>
  <c r="D567" i="10"/>
  <c r="C567" i="10" s="1"/>
  <c r="E566" i="10"/>
  <c r="D566" i="10"/>
  <c r="C566" i="10"/>
  <c r="E565" i="10"/>
  <c r="D565" i="10" s="1"/>
  <c r="C565" i="10" s="1"/>
  <c r="E564" i="10"/>
  <c r="D564" i="10" s="1"/>
  <c r="C564" i="10" s="1"/>
  <c r="E563" i="10"/>
  <c r="D563" i="10" s="1"/>
  <c r="C563" i="10" s="1"/>
  <c r="E562" i="10"/>
  <c r="D562" i="10"/>
  <c r="C562" i="10"/>
  <c r="E561" i="10"/>
  <c r="D561" i="10"/>
  <c r="C561" i="10"/>
  <c r="E560" i="10"/>
  <c r="D560" i="10" s="1"/>
  <c r="C560" i="10" s="1"/>
  <c r="E559" i="10"/>
  <c r="D559" i="10"/>
  <c r="C559" i="10" s="1"/>
  <c r="E558" i="10"/>
  <c r="D558" i="10"/>
  <c r="C558" i="10" s="1"/>
  <c r="E557" i="10"/>
  <c r="D557" i="10"/>
  <c r="C557" i="10"/>
  <c r="E556" i="10"/>
  <c r="D556" i="10" s="1"/>
  <c r="C556" i="10" s="1"/>
  <c r="E555" i="10"/>
  <c r="D555" i="10"/>
  <c r="C555" i="10" s="1"/>
  <c r="E554" i="10"/>
  <c r="D554" i="10" s="1"/>
  <c r="C554" i="10" s="1"/>
  <c r="E553" i="10"/>
  <c r="D553" i="10"/>
  <c r="C553" i="10" s="1"/>
  <c r="E552" i="10"/>
  <c r="D552" i="10" s="1"/>
  <c r="C552" i="10" s="1"/>
  <c r="E551" i="10"/>
  <c r="D551" i="10"/>
  <c r="C551" i="10" s="1"/>
  <c r="E550" i="10"/>
  <c r="D550" i="10"/>
  <c r="C550" i="10"/>
  <c r="E549" i="10"/>
  <c r="D549" i="10" s="1"/>
  <c r="C549" i="10" s="1"/>
  <c r="E548" i="10"/>
  <c r="D548" i="10" s="1"/>
  <c r="C548" i="10" s="1"/>
  <c r="E547" i="10"/>
  <c r="D547" i="10" s="1"/>
  <c r="C547" i="10" s="1"/>
  <c r="E546" i="10"/>
  <c r="D546" i="10"/>
  <c r="C546" i="10"/>
  <c r="E545" i="10"/>
  <c r="D545" i="10"/>
  <c r="C545" i="10"/>
  <c r="E544" i="10"/>
  <c r="D544" i="10" s="1"/>
  <c r="C544" i="10" s="1"/>
  <c r="E543" i="10"/>
  <c r="D543" i="10"/>
  <c r="C543" i="10" s="1"/>
  <c r="E542" i="10"/>
  <c r="D542" i="10"/>
  <c r="C542" i="10" s="1"/>
  <c r="E541" i="10"/>
  <c r="D541" i="10"/>
  <c r="C541" i="10"/>
  <c r="E540" i="10"/>
  <c r="D540" i="10" s="1"/>
  <c r="C540" i="10" s="1"/>
  <c r="E539" i="10"/>
  <c r="D539" i="10"/>
  <c r="C539" i="10" s="1"/>
  <c r="E538" i="10"/>
  <c r="D538" i="10" s="1"/>
  <c r="C538" i="10" s="1"/>
  <c r="E537" i="10"/>
  <c r="D537" i="10"/>
  <c r="C537" i="10" s="1"/>
  <c r="E536" i="10"/>
  <c r="D536" i="10" s="1"/>
  <c r="C536" i="10" s="1"/>
  <c r="E535" i="10"/>
  <c r="D535" i="10"/>
  <c r="C535" i="10" s="1"/>
  <c r="E534" i="10"/>
  <c r="D534" i="10"/>
  <c r="C534" i="10"/>
  <c r="E533" i="10"/>
  <c r="D533" i="10" s="1"/>
  <c r="C533" i="10" s="1"/>
  <c r="E532" i="10"/>
  <c r="D532" i="10" s="1"/>
  <c r="C532" i="10" s="1"/>
  <c r="E531" i="10"/>
  <c r="D531" i="10" s="1"/>
  <c r="C531" i="10" s="1"/>
  <c r="E530" i="10"/>
  <c r="D530" i="10"/>
  <c r="C530" i="10"/>
  <c r="E529" i="10"/>
  <c r="D529" i="10"/>
  <c r="C529" i="10"/>
  <c r="E528" i="10"/>
  <c r="D528" i="10" s="1"/>
  <c r="C528" i="10" s="1"/>
  <c r="E527" i="10"/>
  <c r="D527" i="10"/>
  <c r="C527" i="10" s="1"/>
  <c r="E526" i="10"/>
  <c r="D526" i="10"/>
  <c r="C526" i="10" s="1"/>
  <c r="E525" i="10"/>
  <c r="D525" i="10"/>
  <c r="C525" i="10"/>
  <c r="E524" i="10"/>
  <c r="D524" i="10" s="1"/>
  <c r="C524" i="10" s="1"/>
  <c r="E523" i="10"/>
  <c r="D523" i="10"/>
  <c r="C523" i="10" s="1"/>
  <c r="E522" i="10"/>
  <c r="D522" i="10" s="1"/>
  <c r="C522" i="10" s="1"/>
  <c r="E521" i="10"/>
  <c r="D521" i="10"/>
  <c r="C521" i="10" s="1"/>
  <c r="E520" i="10"/>
  <c r="D520" i="10" s="1"/>
  <c r="C520" i="10" s="1"/>
  <c r="E519" i="10"/>
  <c r="D519" i="10"/>
  <c r="C519" i="10" s="1"/>
  <c r="E518" i="10"/>
  <c r="D518" i="10"/>
  <c r="C518" i="10"/>
  <c r="E517" i="10"/>
  <c r="D517" i="10" s="1"/>
  <c r="C517" i="10" s="1"/>
  <c r="E516" i="10"/>
  <c r="D516" i="10" s="1"/>
  <c r="C516" i="10" s="1"/>
  <c r="E515" i="10"/>
  <c r="D515" i="10" s="1"/>
  <c r="C515" i="10" s="1"/>
  <c r="E514" i="10"/>
  <c r="D514" i="10"/>
  <c r="C514" i="10"/>
  <c r="E513" i="10"/>
  <c r="D513" i="10"/>
  <c r="C513" i="10"/>
  <c r="E512" i="10"/>
  <c r="D512" i="10" s="1"/>
  <c r="C512" i="10" s="1"/>
  <c r="E511" i="10"/>
  <c r="D511" i="10"/>
  <c r="C511" i="10" s="1"/>
  <c r="E510" i="10"/>
  <c r="D510" i="10"/>
  <c r="C510" i="10" s="1"/>
  <c r="E509" i="10"/>
  <c r="D509" i="10"/>
  <c r="C509" i="10"/>
  <c r="E508" i="10"/>
  <c r="D508" i="10" s="1"/>
  <c r="C508" i="10" s="1"/>
  <c r="E507" i="10"/>
  <c r="D507" i="10"/>
  <c r="C507" i="10" s="1"/>
  <c r="E506" i="10"/>
  <c r="D506" i="10" s="1"/>
  <c r="C506" i="10" s="1"/>
  <c r="E505" i="10"/>
  <c r="D505" i="10"/>
  <c r="C505" i="10" s="1"/>
  <c r="E504" i="10"/>
  <c r="D504" i="10" s="1"/>
  <c r="C504" i="10" s="1"/>
  <c r="E503" i="10"/>
  <c r="D503" i="10"/>
  <c r="C503" i="10" s="1"/>
  <c r="E502" i="10"/>
  <c r="D502" i="10"/>
  <c r="C502" i="10"/>
  <c r="E501" i="10"/>
  <c r="D501" i="10" s="1"/>
  <c r="C501" i="10" s="1"/>
  <c r="E500" i="10"/>
  <c r="D500" i="10" s="1"/>
  <c r="C500" i="10" s="1"/>
  <c r="E499" i="10"/>
  <c r="D499" i="10" s="1"/>
  <c r="C499" i="10" s="1"/>
  <c r="E498" i="10"/>
  <c r="D498" i="10"/>
  <c r="C498" i="10"/>
  <c r="E497" i="10"/>
  <c r="D497" i="10"/>
  <c r="C497" i="10"/>
  <c r="E496" i="10"/>
  <c r="D496" i="10" s="1"/>
  <c r="C496" i="10" s="1"/>
  <c r="E495" i="10"/>
  <c r="D495" i="10"/>
  <c r="C495" i="10" s="1"/>
  <c r="E494" i="10"/>
  <c r="D494" i="10"/>
  <c r="C494" i="10" s="1"/>
  <c r="E493" i="10"/>
  <c r="D493" i="10"/>
  <c r="C493" i="10"/>
  <c r="E492" i="10"/>
  <c r="D492" i="10" s="1"/>
  <c r="C492" i="10" s="1"/>
  <c r="E491" i="10"/>
  <c r="D491" i="10"/>
  <c r="C491" i="10" s="1"/>
  <c r="E490" i="10"/>
  <c r="D490" i="10" s="1"/>
  <c r="C490" i="10" s="1"/>
  <c r="E489" i="10"/>
  <c r="D489" i="10"/>
  <c r="C489" i="10" s="1"/>
  <c r="E488" i="10"/>
  <c r="D488" i="10" s="1"/>
  <c r="C488" i="10" s="1"/>
  <c r="E487" i="10"/>
  <c r="D487" i="10"/>
  <c r="C487" i="10" s="1"/>
  <c r="E486" i="10"/>
  <c r="D486" i="10"/>
  <c r="C486" i="10"/>
  <c r="E485" i="10"/>
  <c r="D485" i="10" s="1"/>
  <c r="C485" i="10" s="1"/>
  <c r="E484" i="10"/>
  <c r="D484" i="10" s="1"/>
  <c r="C484" i="10" s="1"/>
  <c r="E483" i="10"/>
  <c r="D483" i="10" s="1"/>
  <c r="C483" i="10" s="1"/>
  <c r="E482" i="10"/>
  <c r="D482" i="10"/>
  <c r="C482" i="10"/>
  <c r="E481" i="10"/>
  <c r="D481" i="10"/>
  <c r="C481" i="10"/>
  <c r="E480" i="10"/>
  <c r="D480" i="10" s="1"/>
  <c r="C480" i="10" s="1"/>
  <c r="E479" i="10"/>
  <c r="D479" i="10"/>
  <c r="C479" i="10" s="1"/>
  <c r="E478" i="10"/>
  <c r="D478" i="10"/>
  <c r="C478" i="10" s="1"/>
  <c r="E477" i="10"/>
  <c r="D477" i="10"/>
  <c r="C477" i="10"/>
  <c r="E476" i="10"/>
  <c r="D476" i="10" s="1"/>
  <c r="E475" i="10"/>
  <c r="D475" i="10"/>
  <c r="C475" i="10" s="1"/>
  <c r="E474" i="10"/>
  <c r="D474" i="10" s="1"/>
  <c r="C474" i="10" s="1"/>
  <c r="E473" i="10"/>
  <c r="D473" i="10" s="1"/>
  <c r="C473" i="10" s="1"/>
  <c r="E472" i="10"/>
  <c r="D472" i="10" s="1"/>
  <c r="C472" i="10" s="1"/>
  <c r="E471" i="10"/>
  <c r="D471" i="10" s="1"/>
  <c r="C471" i="10" s="1"/>
  <c r="E470" i="10"/>
  <c r="D470" i="10"/>
  <c r="C470" i="10"/>
  <c r="E469" i="10"/>
  <c r="D469" i="10" s="1"/>
  <c r="C469" i="10" s="1"/>
  <c r="E468" i="10"/>
  <c r="D468" i="10" s="1"/>
  <c r="C468" i="10" s="1"/>
  <c r="E467" i="10"/>
  <c r="D467" i="10" s="1"/>
  <c r="C467" i="10" s="1"/>
  <c r="E466" i="10"/>
  <c r="D466" i="10"/>
  <c r="C466" i="10" s="1"/>
  <c r="E465" i="10"/>
  <c r="D465" i="10"/>
  <c r="C465" i="10"/>
  <c r="E464" i="10"/>
  <c r="D464" i="10" s="1"/>
  <c r="C464" i="10" s="1"/>
  <c r="E463" i="10"/>
  <c r="D463" i="10"/>
  <c r="C463" i="10" s="1"/>
  <c r="E462" i="10"/>
  <c r="D462" i="10"/>
  <c r="C462" i="10" s="1"/>
  <c r="E461" i="10"/>
  <c r="D461" i="10"/>
  <c r="C461" i="10"/>
  <c r="E460" i="10"/>
  <c r="D460" i="10" s="1"/>
  <c r="C460" i="10" s="1"/>
  <c r="E459" i="10"/>
  <c r="D459" i="10"/>
  <c r="C459" i="10" s="1"/>
  <c r="E458" i="10"/>
  <c r="D458" i="10" s="1"/>
  <c r="C458" i="10" s="1"/>
  <c r="E457" i="10"/>
  <c r="D457" i="10" s="1"/>
  <c r="C457" i="10" s="1"/>
  <c r="E456" i="10"/>
  <c r="D456" i="10" s="1"/>
  <c r="C456" i="10" s="1"/>
  <c r="E455" i="10"/>
  <c r="D455" i="10" s="1"/>
  <c r="C455" i="10" s="1"/>
  <c r="E454" i="10"/>
  <c r="D454" i="10"/>
  <c r="C454" i="10"/>
  <c r="E453" i="10"/>
  <c r="D453" i="10" s="1"/>
  <c r="C453" i="10" s="1"/>
  <c r="E452" i="10"/>
  <c r="D452" i="10" s="1"/>
  <c r="E451" i="10"/>
  <c r="D451" i="10" s="1"/>
  <c r="C451" i="10" s="1"/>
  <c r="E450" i="10"/>
  <c r="D450" i="10"/>
  <c r="C450" i="10"/>
  <c r="E449" i="10"/>
  <c r="D449" i="10"/>
  <c r="C449" i="10"/>
  <c r="E448" i="10"/>
  <c r="D448" i="10" s="1"/>
  <c r="C448" i="10" s="1"/>
  <c r="E447" i="10"/>
  <c r="D447" i="10"/>
  <c r="C447" i="10" s="1"/>
  <c r="E446" i="10"/>
  <c r="D446" i="10"/>
  <c r="C446" i="10" s="1"/>
  <c r="E445" i="10"/>
  <c r="D445" i="10"/>
  <c r="C445" i="10"/>
  <c r="E444" i="10"/>
  <c r="D444" i="10" s="1"/>
  <c r="C444" i="10" s="1"/>
  <c r="E443" i="10"/>
  <c r="D443" i="10"/>
  <c r="C443" i="10" s="1"/>
  <c r="E442" i="10"/>
  <c r="D442" i="10" s="1"/>
  <c r="C442" i="10" s="1"/>
  <c r="E441" i="10"/>
  <c r="D441" i="10"/>
  <c r="C441" i="10" s="1"/>
  <c r="E440" i="10"/>
  <c r="D440" i="10" s="1"/>
  <c r="C440" i="10" s="1"/>
  <c r="E439" i="10"/>
  <c r="D439" i="10"/>
  <c r="C439" i="10" s="1"/>
  <c r="E438" i="10"/>
  <c r="D438" i="10"/>
  <c r="C438" i="10"/>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s="1"/>
  <c r="C430" i="10" s="1"/>
  <c r="E429" i="10"/>
  <c r="D429" i="10" s="1"/>
  <c r="C429" i="10" s="1"/>
  <c r="E428" i="10"/>
  <c r="D428" i="10" s="1"/>
  <c r="E427" i="10"/>
  <c r="D427" i="10" s="1"/>
  <c r="C427" i="10" s="1"/>
  <c r="E426" i="10"/>
  <c r="D426" i="10" s="1"/>
  <c r="C426" i="10" s="1"/>
  <c r="E425" i="10"/>
  <c r="D425" i="10" s="1"/>
  <c r="C425" i="10" s="1"/>
  <c r="E424" i="10"/>
  <c r="D424" i="10" s="1"/>
  <c r="C424" i="10" s="1"/>
  <c r="E423" i="10"/>
  <c r="D423" i="10" s="1"/>
  <c r="C423" i="10" s="1"/>
  <c r="E422" i="10"/>
  <c r="D422" i="10"/>
  <c r="C422" i="10" s="1"/>
  <c r="E421" i="10"/>
  <c r="D421" i="10" s="1"/>
  <c r="C421" i="10"/>
  <c r="E420" i="10"/>
  <c r="D420" i="10" s="1"/>
  <c r="C420" i="10" s="1"/>
  <c r="E419" i="10"/>
  <c r="D419" i="10" s="1"/>
  <c r="C419" i="10" s="1"/>
  <c r="E418" i="10"/>
  <c r="D418" i="10" s="1"/>
  <c r="C418" i="10" s="1"/>
  <c r="E417" i="10"/>
  <c r="D417" i="10"/>
  <c r="C417" i="10" s="1"/>
  <c r="E416" i="10"/>
  <c r="D416" i="10" s="1"/>
  <c r="E415" i="10"/>
  <c r="D415" i="10"/>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c r="C406" i="10" s="1"/>
  <c r="E405" i="10"/>
  <c r="D405" i="10" s="1"/>
  <c r="C405" i="10" s="1"/>
  <c r="E404" i="10"/>
  <c r="D404" i="10" s="1"/>
  <c r="C404" i="10" s="1"/>
  <c r="E403" i="10"/>
  <c r="D403" i="10" s="1"/>
  <c r="C403" i="10" s="1"/>
  <c r="E402" i="10"/>
  <c r="D402" i="10" s="1"/>
  <c r="C402" i="10" s="1"/>
  <c r="E401" i="10"/>
  <c r="D401" i="10"/>
  <c r="C401" i="10" s="1"/>
  <c r="E400" i="10"/>
  <c r="D400" i="10" s="1"/>
  <c r="C400" i="10" s="1"/>
  <c r="E399" i="10"/>
  <c r="D399" i="10"/>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s="1"/>
  <c r="C392" i="10" s="1"/>
  <c r="E391" i="10"/>
  <c r="D391" i="10" s="1"/>
  <c r="C391" i="10" s="1"/>
  <c r="E390" i="10"/>
  <c r="D390" i="10"/>
  <c r="C390" i="10" s="1"/>
  <c r="E389" i="10"/>
  <c r="D389" i="10" s="1"/>
  <c r="C389" i="10" s="1"/>
  <c r="E388" i="10"/>
  <c r="D388" i="10" s="1"/>
  <c r="C388" i="10" s="1"/>
  <c r="E387" i="10"/>
  <c r="D387" i="10" s="1"/>
  <c r="C387" i="10" s="1"/>
  <c r="E386" i="10"/>
  <c r="D386" i="10" s="1"/>
  <c r="C386" i="10" s="1"/>
  <c r="E385" i="10"/>
  <c r="D385" i="10"/>
  <c r="C385" i="10" s="1"/>
  <c r="E384" i="10"/>
  <c r="D384" i="10" s="1"/>
  <c r="C384" i="10" s="1"/>
  <c r="E383" i="10"/>
  <c r="D383" i="10"/>
  <c r="C383" i="10" s="1"/>
  <c r="E382" i="10"/>
  <c r="D382" i="10" s="1"/>
  <c r="C382" i="10" s="1"/>
  <c r="E381" i="10"/>
  <c r="D381" i="10" s="1"/>
  <c r="C381" i="10" s="1"/>
  <c r="E380" i="10"/>
  <c r="D380" i="10" s="1"/>
  <c r="C380" i="10" s="1"/>
  <c r="E379" i="10"/>
  <c r="D379" i="10" s="1"/>
  <c r="C379" i="10" s="1"/>
  <c r="E378" i="10"/>
  <c r="D378" i="10" s="1"/>
  <c r="C378" i="10"/>
  <c r="E377" i="10"/>
  <c r="D377" i="10" s="1"/>
  <c r="C377" i="10" s="1"/>
  <c r="E376" i="10"/>
  <c r="D376" i="10" s="1"/>
  <c r="C376" i="10" s="1"/>
  <c r="E375" i="10"/>
  <c r="D375" i="10" s="1"/>
  <c r="C375" i="10" s="1"/>
  <c r="E374" i="10"/>
  <c r="D374" i="10"/>
  <c r="C374" i="10" s="1"/>
  <c r="E373" i="10"/>
  <c r="D373" i="10" s="1"/>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s="1"/>
  <c r="C366" i="10" s="1"/>
  <c r="E365" i="10"/>
  <c r="D365" i="10" s="1"/>
  <c r="C365" i="10" s="1"/>
  <c r="E364" i="10"/>
  <c r="D364" i="10" s="1"/>
  <c r="C364" i="10" s="1"/>
  <c r="E363" i="10"/>
  <c r="D363" i="10" s="1"/>
  <c r="C363" i="10" s="1"/>
  <c r="E362" i="10"/>
  <c r="D362" i="10" s="1"/>
  <c r="C362" i="10" s="1"/>
  <c r="E361" i="10"/>
  <c r="D361" i="10" s="1"/>
  <c r="C361" i="10" s="1"/>
  <c r="E360" i="10"/>
  <c r="D360" i="10" s="1"/>
  <c r="C360" i="10" s="1"/>
  <c r="E359" i="10"/>
  <c r="D359" i="10" s="1"/>
  <c r="C359" i="10" s="1"/>
  <c r="E358" i="10"/>
  <c r="D358" i="10"/>
  <c r="C358" i="10" s="1"/>
  <c r="E357" i="10"/>
  <c r="D357" i="10" s="1"/>
  <c r="C357" i="10"/>
  <c r="E356" i="10"/>
  <c r="D356" i="10" s="1"/>
  <c r="C356" i="10" s="1"/>
  <c r="E355" i="10"/>
  <c r="D355" i="10" s="1"/>
  <c r="C355" i="10" s="1"/>
  <c r="E354" i="10"/>
  <c r="D354" i="10" s="1"/>
  <c r="C354" i="10" s="1"/>
  <c r="E353" i="10"/>
  <c r="D353" i="10"/>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c r="E345" i="10"/>
  <c r="D345" i="10" s="1"/>
  <c r="C345" i="10" s="1"/>
  <c r="E344" i="10"/>
  <c r="D344" i="10" s="1"/>
  <c r="C344" i="10" s="1"/>
  <c r="E343" i="10"/>
  <c r="D343" i="10" s="1"/>
  <c r="C343" i="10" s="1"/>
  <c r="E342" i="10"/>
  <c r="D342" i="10"/>
  <c r="C342" i="10" s="1"/>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s="1"/>
  <c r="C334" i="10" s="1"/>
  <c r="E333" i="10"/>
  <c r="D333" i="10" s="1"/>
  <c r="C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c r="C321" i="10" s="1"/>
  <c r="E320" i="10"/>
  <c r="D320" i="10" s="1"/>
  <c r="C320" i="10" s="1"/>
  <c r="E319" i="10"/>
  <c r="D319" i="10"/>
  <c r="C319" i="10" s="1"/>
  <c r="E318" i="10"/>
  <c r="D318" i="10" s="1"/>
  <c r="C318" i="10" s="1"/>
  <c r="E317" i="10"/>
  <c r="D317" i="10" s="1"/>
  <c r="C317" i="10" s="1"/>
  <c r="E316" i="10"/>
  <c r="D316" i="10" s="1"/>
  <c r="C316" i="10" s="1"/>
  <c r="E315" i="10"/>
  <c r="D315" i="10" s="1"/>
  <c r="C315" i="10" s="1"/>
  <c r="E314" i="10"/>
  <c r="D314" i="10" s="1"/>
  <c r="C314" i="10"/>
  <c r="E313" i="10"/>
  <c r="D313" i="10" s="1"/>
  <c r="C313" i="10" s="1"/>
  <c r="E312" i="10"/>
  <c r="D312" i="10" s="1"/>
  <c r="C312" i="10" s="1"/>
  <c r="E311" i="10"/>
  <c r="D311" i="10" s="1"/>
  <c r="C311" i="10" s="1"/>
  <c r="E310" i="10"/>
  <c r="D310" i="10"/>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c r="C294" i="10" s="1"/>
  <c r="E293" i="10"/>
  <c r="D293" i="10" s="1"/>
  <c r="C293" i="10"/>
  <c r="E292" i="10"/>
  <c r="D292" i="10" s="1"/>
  <c r="C292" i="10" s="1"/>
  <c r="E291" i="10"/>
  <c r="D291" i="10" s="1"/>
  <c r="C291" i="10" s="1"/>
  <c r="E290" i="10"/>
  <c r="D290" i="10" s="1"/>
  <c r="C290" i="10" s="1"/>
  <c r="E289" i="10"/>
  <c r="D289" i="10"/>
  <c r="C289" i="10" s="1"/>
  <c r="E288" i="10"/>
  <c r="D288" i="10" s="1"/>
  <c r="C288" i="10" s="1"/>
  <c r="E287" i="10"/>
  <c r="D287" i="10"/>
  <c r="C287" i="10" s="1"/>
  <c r="E286" i="10"/>
  <c r="D286" i="10" s="1"/>
  <c r="C286" i="10" s="1"/>
  <c r="E285" i="10"/>
  <c r="D285" i="10" s="1"/>
  <c r="C285" i="10" s="1"/>
  <c r="E284" i="10"/>
  <c r="D284" i="10" s="1"/>
  <c r="C284" i="10" s="1"/>
  <c r="E283" i="10"/>
  <c r="D283" i="10" s="1"/>
  <c r="C283" i="10" s="1"/>
  <c r="E282" i="10"/>
  <c r="D282" i="10" s="1"/>
  <c r="C282" i="10"/>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s="1"/>
  <c r="C274" i="10" s="1"/>
  <c r="E273" i="10"/>
  <c r="D273" i="10"/>
  <c r="C273" i="10" s="1"/>
  <c r="E272" i="10"/>
  <c r="D272" i="10" s="1"/>
  <c r="C272" i="10" s="1"/>
  <c r="E271" i="10"/>
  <c r="D271" i="10"/>
  <c r="C271" i="10" s="1"/>
  <c r="E270" i="10"/>
  <c r="D270" i="10" s="1"/>
  <c r="C270" i="10" s="1"/>
  <c r="E269" i="10"/>
  <c r="D269" i="10" s="1"/>
  <c r="C269" i="10" s="1"/>
  <c r="E268" i="10"/>
  <c r="D268" i="10" s="1"/>
  <c r="C268" i="10" s="1"/>
  <c r="E267" i="10"/>
  <c r="D267" i="10" s="1"/>
  <c r="C267" i="10" s="1"/>
  <c r="E266" i="10"/>
  <c r="D266" i="10" s="1"/>
  <c r="C266" i="10" s="1"/>
  <c r="E265" i="10"/>
  <c r="D265" i="10" s="1"/>
  <c r="C265" i="10" s="1"/>
  <c r="E264" i="10"/>
  <c r="D264" i="10" s="1"/>
  <c r="C264" i="10" s="1"/>
  <c r="E263" i="10"/>
  <c r="D263" i="10" s="1"/>
  <c r="C263" i="10" s="1"/>
  <c r="E262" i="10"/>
  <c r="D262" i="10"/>
  <c r="C262" i="10" s="1"/>
  <c r="E261" i="10"/>
  <c r="D261" i="10" s="1"/>
  <c r="C261" i="10" s="1"/>
  <c r="E260" i="10"/>
  <c r="D260" i="10" s="1"/>
  <c r="C260" i="10" s="1"/>
  <c r="E259" i="10"/>
  <c r="D259" i="10" s="1"/>
  <c r="C259" i="10" s="1"/>
  <c r="E258" i="10"/>
  <c r="D258" i="10" s="1"/>
  <c r="C258" i="10" s="1"/>
  <c r="E257" i="10"/>
  <c r="D257" i="10"/>
  <c r="C257" i="10" s="1"/>
  <c r="E256" i="10"/>
  <c r="D256" i="10" s="1"/>
  <c r="C256" i="10" s="1"/>
  <c r="E255" i="10"/>
  <c r="D255" i="10"/>
  <c r="C255" i="10" s="1"/>
  <c r="E254" i="10"/>
  <c r="D254" i="10"/>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c r="C246" i="10" s="1"/>
  <c r="E245" i="10"/>
  <c r="D245" i="10" s="1"/>
  <c r="C245" i="10"/>
  <c r="E244" i="10"/>
  <c r="D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c r="E225" i="10"/>
  <c r="D225" i="10"/>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c r="C217" i="10" s="1"/>
  <c r="E216" i="10"/>
  <c r="D216" i="10" s="1"/>
  <c r="C216" i="10" s="1"/>
  <c r="E215" i="10"/>
  <c r="D215" i="10"/>
  <c r="C215" i="10" s="1"/>
  <c r="E214" i="10"/>
  <c r="D214" i="10"/>
  <c r="C214" i="10" s="1"/>
  <c r="E213" i="10"/>
  <c r="D213" i="10" s="1"/>
  <c r="C213" i="10"/>
  <c r="E212" i="10"/>
  <c r="D212" i="10" s="1"/>
  <c r="C212" i="10" s="1"/>
  <c r="E211" i="10"/>
  <c r="D211" i="10" s="1"/>
  <c r="C211" i="10" s="1"/>
  <c r="E210" i="10"/>
  <c r="D210" i="10" s="1"/>
  <c r="C210" i="10" s="1"/>
  <c r="E209" i="10"/>
  <c r="D209" i="10" s="1"/>
  <c r="C209" i="10"/>
  <c r="E208" i="10"/>
  <c r="D208" i="10" s="1"/>
  <c r="C208" i="10" s="1"/>
  <c r="E207" i="10"/>
  <c r="D207" i="10" s="1"/>
  <c r="C207" i="10" s="1"/>
  <c r="E206" i="10"/>
  <c r="D206" i="10"/>
  <c r="C206" i="10" s="1"/>
  <c r="E205" i="10"/>
  <c r="D205" i="10"/>
  <c r="C205" i="10" s="1"/>
  <c r="E204" i="10"/>
  <c r="D204" i="10" s="1"/>
  <c r="E203" i="10"/>
  <c r="D203" i="10" s="1"/>
  <c r="C203" i="10" s="1"/>
  <c r="E202" i="10"/>
  <c r="D202" i="10"/>
  <c r="C202" i="10" s="1"/>
  <c r="E201" i="10"/>
  <c r="D201" i="10" s="1"/>
  <c r="C201" i="10" s="1"/>
  <c r="E200" i="10"/>
  <c r="D200" i="10" s="1"/>
  <c r="C200" i="10" s="1"/>
  <c r="E199" i="10"/>
  <c r="D199" i="10" s="1"/>
  <c r="C199" i="10" s="1"/>
  <c r="E198" i="10"/>
  <c r="D198" i="10" s="1"/>
  <c r="C198" i="10"/>
  <c r="E197" i="10"/>
  <c r="D197" i="10" s="1"/>
  <c r="C197" i="10" s="1"/>
  <c r="E196" i="10"/>
  <c r="D196" i="10" s="1"/>
  <c r="C196" i="10" s="1"/>
  <c r="E195" i="10"/>
  <c r="D195" i="10" s="1"/>
  <c r="C195" i="10" s="1"/>
  <c r="E194" i="10"/>
  <c r="D194" i="10"/>
  <c r="C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c r="C186" i="10" s="1"/>
  <c r="E185" i="10"/>
  <c r="D185" i="10" s="1"/>
  <c r="C185" i="10" s="1"/>
  <c r="E184" i="10"/>
  <c r="D184" i="10" s="1"/>
  <c r="C184" i="10" s="1"/>
  <c r="E183" i="10"/>
  <c r="D183" i="10" s="1"/>
  <c r="C183" i="10" s="1"/>
  <c r="E182" i="10"/>
  <c r="D182" i="10" s="1"/>
  <c r="C182" i="10"/>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C174" i="10" s="1"/>
  <c r="E173" i="10"/>
  <c r="D173" i="10"/>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s="1"/>
  <c r="C72" i="10" s="1"/>
  <c r="E71" i="10"/>
  <c r="D71" i="10" s="1"/>
  <c r="C71" i="10" s="1"/>
  <c r="E70" i="10"/>
  <c r="D70" i="10"/>
  <c r="C70" i="10" s="1"/>
  <c r="E69" i="10"/>
  <c r="D69" i="10" s="1"/>
  <c r="C69" i="10" s="1"/>
  <c r="E68" i="10"/>
  <c r="D68" i="10" s="1"/>
  <c r="C68" i="10" s="1"/>
  <c r="E67" i="10"/>
  <c r="D67" i="10" s="1"/>
  <c r="C67" i="10" s="1"/>
  <c r="E66" i="10"/>
  <c r="D66" i="10"/>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c r="C58" i="10" s="1"/>
  <c r="E57" i="10"/>
  <c r="D57" i="10" s="1"/>
  <c r="C57" i="10" s="1"/>
  <c r="E56" i="10"/>
  <c r="D56" i="10" s="1"/>
  <c r="C56" i="10" s="1"/>
  <c r="E55" i="10"/>
  <c r="D55" i="10" s="1"/>
  <c r="C55" i="10" s="1"/>
  <c r="E54" i="10"/>
  <c r="D54" i="10" s="1"/>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c r="C46" i="10" s="1"/>
  <c r="E45" i="10"/>
  <c r="D45" i="10" s="1"/>
  <c r="E44" i="10"/>
  <c r="D44" i="10" s="1"/>
  <c r="C44" i="10" s="1"/>
  <c r="E43" i="10"/>
  <c r="D43" i="10" s="1"/>
  <c r="C43" i="10" s="1"/>
  <c r="E42" i="10"/>
  <c r="D42" i="10"/>
  <c r="C42" i="10" s="1"/>
  <c r="E41" i="10"/>
  <c r="D41" i="10" s="1"/>
  <c r="C41" i="10" s="1"/>
  <c r="E40" i="10"/>
  <c r="D40" i="10" s="1"/>
  <c r="C40" i="10" s="1"/>
  <c r="E39" i="10"/>
  <c r="D39" i="10" s="1"/>
  <c r="C39" i="10" s="1"/>
  <c r="E38" i="10"/>
  <c r="D38" i="10" s="1"/>
  <c r="C38" i="10" s="1"/>
  <c r="E37" i="10"/>
  <c r="D37" i="10" s="1"/>
  <c r="C37" i="10" s="1"/>
  <c r="E36" i="10"/>
  <c r="D36" i="10"/>
  <c r="C36" i="10" s="1"/>
  <c r="E35" i="10"/>
  <c r="D35" i="10" s="1"/>
  <c r="C35" i="10" s="1"/>
  <c r="E34" i="10"/>
  <c r="D34" i="10"/>
  <c r="C34" i="10" s="1"/>
  <c r="E33" i="10"/>
  <c r="D33" i="10" s="1"/>
  <c r="E32" i="10"/>
  <c r="D32" i="10" s="1"/>
  <c r="C32" i="10" s="1"/>
  <c r="E31" i="10"/>
  <c r="D31" i="10" s="1"/>
  <c r="C31" i="10" s="1"/>
  <c r="E30" i="10"/>
  <c r="D30" i="10"/>
  <c r="C30" i="10" s="1"/>
  <c r="E29" i="10"/>
  <c r="D29" i="10" s="1"/>
  <c r="C29" i="10" s="1"/>
  <c r="E28" i="10"/>
  <c r="D28" i="10" s="1"/>
  <c r="C28" i="10" s="1"/>
  <c r="E27" i="10"/>
  <c r="D27" i="10" s="1"/>
  <c r="C27" i="10" s="1"/>
  <c r="E26" i="10"/>
  <c r="D26" i="10"/>
  <c r="C26" i="10" s="1"/>
  <c r="E25" i="10"/>
  <c r="D25" i="10" s="1"/>
  <c r="C25" i="10" s="1"/>
  <c r="E24" i="10"/>
  <c r="D24" i="10" s="1"/>
  <c r="C24" i="10" s="1"/>
  <c r="E23" i="10"/>
  <c r="D23" i="10" s="1"/>
  <c r="C23" i="10" s="1"/>
  <c r="E22" i="10"/>
  <c r="D22" i="10" s="1"/>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c r="C12" i="10" s="1"/>
  <c r="E11" i="10"/>
  <c r="D11" i="10" s="1"/>
  <c r="C11" i="10" s="1"/>
  <c r="E10" i="10"/>
  <c r="D10" i="10"/>
  <c r="C10" i="10" s="1"/>
  <c r="E9" i="10"/>
  <c r="D9" i="10" s="1"/>
  <c r="C9" i="10" s="1"/>
  <c r="E8" i="10"/>
  <c r="D8" i="10" s="1"/>
  <c r="C8" i="10" s="1"/>
  <c r="E7" i="10"/>
  <c r="D7" i="10" s="1"/>
  <c r="C7" i="10" s="1"/>
  <c r="E6" i="10"/>
  <c r="D6" i="10" s="1"/>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J58" i="5" s="1"/>
  <c r="AL92" i="11"/>
  <c r="AH92" i="11"/>
  <c r="AD92" i="11"/>
  <c r="J51" i="5" s="1"/>
  <c r="Z92" i="11"/>
  <c r="N92" i="11"/>
  <c r="J40" i="5" s="1"/>
  <c r="J92" i="11"/>
  <c r="F92" i="11"/>
  <c r="J37" i="5" s="1"/>
  <c r="AO92" i="11"/>
  <c r="E58" i="5" s="1"/>
  <c r="AK92" i="11"/>
  <c r="AG92" i="11"/>
  <c r="AC92" i="11"/>
  <c r="E51" i="5" s="1"/>
  <c r="Y92" i="11"/>
  <c r="M92" i="11"/>
  <c r="E40" i="5" s="1"/>
  <c r="I92" i="11"/>
  <c r="E92" i="11"/>
  <c r="E37" i="5" s="1"/>
  <c r="X92" i="11"/>
  <c r="J46" i="5" s="1"/>
  <c r="T92" i="11"/>
  <c r="P92" i="11"/>
  <c r="L92" i="11"/>
  <c r="H92" i="11"/>
  <c r="W92" i="11"/>
  <c r="E46" i="5" s="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47" i="5" l="1"/>
  <c r="C47" i="5"/>
  <c r="G47" i="5" s="1"/>
  <c r="B47" i="5"/>
  <c r="F41" i="5"/>
  <c r="B41" i="5"/>
  <c r="C41" i="5"/>
  <c r="G41" i="5" s="1"/>
  <c r="B59" i="5"/>
  <c r="C59" i="5"/>
  <c r="G59" i="5" s="1"/>
  <c r="F59" i="5"/>
  <c r="B38" i="5"/>
  <c r="C38" i="5"/>
  <c r="G38" i="5" s="1"/>
  <c r="F38" i="5"/>
  <c r="F52" i="5"/>
  <c r="B52" i="5"/>
  <c r="C52" i="5"/>
  <c r="G52"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J44" i="5" s="1"/>
  <c r="R92" i="11"/>
  <c r="U92" i="11"/>
  <c r="E44" i="5" s="1"/>
  <c r="Q92" i="11"/>
  <c r="E43" i="5" s="1"/>
  <c r="AN92" i="11"/>
  <c r="J56" i="5" s="1"/>
  <c r="AJ92" i="11"/>
  <c r="AF92" i="11"/>
  <c r="AB92" i="11"/>
  <c r="J49" i="5" s="1"/>
  <c r="D92" i="11"/>
  <c r="J35" i="5" s="1"/>
  <c r="AM92" i="11"/>
  <c r="E56" i="5" s="1"/>
  <c r="AI92" i="11"/>
  <c r="E55" i="5" s="1"/>
  <c r="AE92" i="11"/>
  <c r="E54" i="5" s="1"/>
  <c r="AA92" i="11"/>
  <c r="E49" i="5" s="1"/>
  <c r="C92" i="11"/>
  <c r="E35" i="5" s="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F50" i="5" l="1"/>
  <c r="B50" i="5"/>
  <c r="C50" i="5"/>
  <c r="G50" i="5" s="1"/>
  <c r="C45" i="5"/>
  <c r="G45" i="5" s="1"/>
  <c r="F45" i="5"/>
  <c r="B45" i="5"/>
  <c r="F36" i="5"/>
  <c r="C36" i="5"/>
  <c r="G36" i="5" s="1"/>
  <c r="B36" i="5"/>
  <c r="F57" i="5"/>
  <c r="B57" i="5"/>
  <c r="C57" i="5"/>
  <c r="G57" i="5" s="1"/>
  <c r="G66" i="5"/>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<sst xmlns="http://schemas.openxmlformats.org/spreadsheetml/2006/main" count="4597" uniqueCount="440">
  <si>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</si>
  <si>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</si>
  <si>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</si>
  <si>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</si>
  <si>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</si>
  <si>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</si>
  <si>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</si>
  <si>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</si>
  <si>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</si>
  <si>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</si>
  <si>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</si>
  <si>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</si>
  <si>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</si>
  <si>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</si>
  <si>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</si>
  <si>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</si>
  <si>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</si>
  <si>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</si>
  <si>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</si>
  <si>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</si>
  <si>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</si>
  <si>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</si>
  <si>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</si>
  <si>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</si>
  <si>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</si>
  <si>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</si>
  <si>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</si>
  <si>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</si>
  <si>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</si>
  <si>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</si>
  <si>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</si>
  <si>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</si>
  <si>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</si>
  <si>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</si>
  <si>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</si>
  <si>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</si>
  <si>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</si>
  <si>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</si>
  <si>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</si>
  <si>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</si>
  <si>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</si>
  <si>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</si>
  <si>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</si>
  <si>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</si>
  <si>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</si>
  <si>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</si>
  <si>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</si>
  <si>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</si>
  <si>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</si>
  <si>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</si>
  <si>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</si>
  <si>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</si>
  <si>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</si>
  <si>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</si>
  <si>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</si>
  <si>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</si>
  <si>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</si>
  <si>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</si>
  <si>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</si>
  <si>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</si>
  <si>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</si>
  <si>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</si>
  <si>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</si>
  <si>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</si>
  <si>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</si>
  <si>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</si>
  <si>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</si>
  <si>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</si>
  <si>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</si>
  <si>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</si>
  <si>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</si>
  <si>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</si>
  <si>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</si>
  <si>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</si>
  <si>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</si>
  <si>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</si>
  <si>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</si>
  <si>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</si>
  <si>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</si>
  <si>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</si>
  <si>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</si>
  <si>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</si>
  <si>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</si>
  <si>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</si>
  <si>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</si>
  <si>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</si>
  <si>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</si>
  <si>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</si>
  <si>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</si>
  <si>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</si>
  <si>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</si>
  <si>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</si>
  <si>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</si>
  <si>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</si>
  <si>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</si>
  <si>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</si>
  <si>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</si>
  <si>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</si>
  <si>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</si>
  <si>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</si>
  <si>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</si>
  <si>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</si>
  <si>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</si>
  <si>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</si>
  <si>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</si>
  <si>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</si>
  <si>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</si>
  <si>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</si>
  <si>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</si>
  <si>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</si>
  <si>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</si>
  <si>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</si>
  <si>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</si>
  <si>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</si>
  <si>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</si>
  <si>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</si>
  <si>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</si>
  <si>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</si>
  <si>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</si>
  <si>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</si>
  <si>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</si>
  <si>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</si>
  <si>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</si>
  <si>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</si>
  <si>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</si>
  <si>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</si>
  <si>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</si>
  <si>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</si>
  <si>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</si>
  <si>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</si>
  <si>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</si>
  <si>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</si>
  <si>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</si>
  <si>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</si>
  <si>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</si>
  <si>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</si>
  <si>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</si>
  <si>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</si>
  <si>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</si>
  <si>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</si>
  <si>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</si>
  <si>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</si>
  <si>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</si>
  <si>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</si>
  <si>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</si>
  <si>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</si>
  <si>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</si>
  <si>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</si>
  <si>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</si>
  <si>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</si>
  <si>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</si>
  <si>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</si>
  <si>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</si>
  <si>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</si>
  <si>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</si>
  <si>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</si>
  <si>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</si>
  <si>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</si>
  <si>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</si>
  <si>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</si>
  <si>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</si>
  <si>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</si>
  <si>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</si>
  <si>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</si>
  <si>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</si>
  <si>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</si>
  <si>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</si>
  <si>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</si>
  <si>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</si>
  <si>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</si>
  <si>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</si>
  <si>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</si>
  <si>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</si>
  <si>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</si>
  <si>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</si>
  <si>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</si>
  <si>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</si>
  <si>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</si>
  <si>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</si>
  <si>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</si>
  <si>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</si>
  <si>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</si>
  <si>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</si>
  <si>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</si>
  <si>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</si>
  <si>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</si>
  <si>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</si>
  <si>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</si>
  <si>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</si>
  <si>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</si>
  <si>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</si>
  <si>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</si>
  <si>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</si>
  <si>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</si>
  <si>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</si>
  <si>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</si>
  <si>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</si>
  <si>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</si>
  <si>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</si>
  <si>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</si>
  <si>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</si>
  <si>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</si>
  <si>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</si>
  <si>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</si>
  <si>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</si>
  <si>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</si>
  <si>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</si>
  <si>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</si>
  <si>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</si>
  <si>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</si>
  <si>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</si>
  <si>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</si>
  <si>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</si>
  <si>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</si>
  <si>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</si>
  <si>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</si>
  <si>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</si>
  <si>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</si>
  <si>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</si>
  <si>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</si>
  <si>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</si>
  <si>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</si>
  <si>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</si>
  <si>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</si>
  <si>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</si>
  <si>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</si>
  <si>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</si>
  <si>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</si>
  <si>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</si>
  <si>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</si>
  <si>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</si>
  <si>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</si>
  <si>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</si>
  <si>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</si>
  <si>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</si>
  <si>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</si>
  <si>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</si>
  <si>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</si>
  <si>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</si>
  <si>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</si>
  <si>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</si>
  <si>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</si>
  <si>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</si>
  <si>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</si>
  <si>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</si>
  <si>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</si>
  <si>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</si>
  <si>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</si>
  <si>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</si>
  <si>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</si>
  <si>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</si>
  <si>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</si>
  <si>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</si>
  <si>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</si>
  <si>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</si>
  <si>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</si>
  <si>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</si>
  <si>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</si>
  <si>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</si>
  <si>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</si>
  <si>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</si>
  <si>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</si>
  <si>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</si>
  <si>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</si>
  <si>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</si>
  <si>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</si>
  <si>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</si>
  <si>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</si>
  <si>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</si>
  <si>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</si>
  <si>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</si>
  <si>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</si>
  <si>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</si>
  <si>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</si>
  <si>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</si>
  <si>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</si>
  <si>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</si>
  <si>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</si>
  <si>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</si>
  <si>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</si>
  <si>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</si>
  <si>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</si>
  <si>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</si>
  <si>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</si>
  <si>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</si>
  <si>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</si>
  <si>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</si>
  <si>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</si>
  <si>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</si>
  <si>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</si>
  <si>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</si>
  <si>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</si>
  <si>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</si>
  <si>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</si>
  <si>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</si>
  <si>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</si>
  <si>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</si>
  <si>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</si>
  <si>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</si>
  <si>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</si>
  <si>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</si>
  <si>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</si>
  <si>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</si>
  <si>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</si>
  <si>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</si>
  <si>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</si>
  <si>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</si>
  <si>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</si>
  <si>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</si>
  <si>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</si>
  <si>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</si>
  <si>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</si>
  <si>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</si>
  <si>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</si>
  <si>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</si>
  <si>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</si>
  <si>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</si>
  <si>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</si>
  <si>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</si>
  <si>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</si>
  <si>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</si>
  <si>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</si>
  <si>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</si>
  <si>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</si>
  <si>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</si>
  <si>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</si>
  <si>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</si>
  <si>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</si>
  <si>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</si>
  <si>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</si>
  <si>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</si>
  <si>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</si>
  <si>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</si>
  <si>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</si>
  <si>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</si>
  <si>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</si>
  <si>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</si>
  <si>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</si>
  <si>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</si>
  <si>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</si>
  <si>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</si>
  <si>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</si>
  <si>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</si>
  <si>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</si>
  <si>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</si>
  <si>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</si>
  <si>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</si>
  <si>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</si>
  <si>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</si>
  <si>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</si>
  <si>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</si>
  <si>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</si>
  <si>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</si>
  <si>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</si>
  <si>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</si>
  <si>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</si>
  <si>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</si>
  <si>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</si>
  <si>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</si>
  <si>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</si>
  <si>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</si>
  <si>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</si>
  <si>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</si>
  <si>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</si>
  <si>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</si>
  <si>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</si>
  <si>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</si>
  <si>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</si>
  <si>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</si>
  <si>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</si>
  <si>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</si>
  <si>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</si>
  <si>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</si>
  <si>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</si>
  <si>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</si>
  <si>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</si>
  <si>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</si>
  <si>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</si>
  <si>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</si>
  <si>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</si>
  <si>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</si>
  <si>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</si>
  <si>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</si>
  <si>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</si>
  <si>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</si>
  <si>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</si>
  <si>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</si>
  <si>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</si>
  <si>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</si>
  <si>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</si>
  <si>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</si>
  <si>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</si>
  <si>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</si>
  <si>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</si>
  <si>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</si>
  <si>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</si>
  <si>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</si>
  <si>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</si>
  <si>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</si>
  <si>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</si>
  <si>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</si>
  <si>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</si>
  <si>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</si>
  <si>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</si>
  <si>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</si>
  <si>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</si>
  <si>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</si>
  <si>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</si>
  <si>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</si>
  <si>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</si>
  <si>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</si>
  <si>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</si>
  <si>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</si>
  <si>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</si>
  <si>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</si>
  <si>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</si>
  <si>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</si>
  <si>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</si>
  <si>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</si>
  <si>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</si>
  <si>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</si>
  <si>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</si>
  <si>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</si>
  <si>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</si>
  <si>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</si>
  <si>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</si>
  <si>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</si>
  <si>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</si>
  <si>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</si>
  <si>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</si>
  <si>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</si>
  <si>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</si>
  <si>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主要原因是实际支出少于年初预算，多余部分全额上缴财政。</t>
    <phoneticPr fontId="3" type="noConversion"/>
  </si>
  <si>
    <t>2020年年初无预算。</t>
    <phoneticPr fontId="3" type="noConversion"/>
  </si>
  <si>
    <t>主要原因是年初预算不足，后根据实际情况追加预算。</t>
    <phoneticPr fontId="3" type="noConversion"/>
  </si>
  <si>
    <t>主要原因是因疫情原因，未进行教师外出培训学习，故没有支出。</t>
    <phoneticPr fontId="3" type="noConversion"/>
  </si>
  <si>
    <t>北京市西城区西长安街少年宫对2020年度部门项目支出实施绩效评价，评价项目4个，占项目总数的33.33%，涉及金额701200.00万元。评价结果为：评价项目实施进度与预期进度相比不存在滞后现象，均能够按照预算和工作计划及时完成。每个项目在执行中都严格按照计划使用资金，充分发挥了经费的使用效益。</t>
    <phoneticPr fontId="3" type="noConversion"/>
  </si>
  <si>
    <t>一、单位基本情况</t>
    <phoneticPr fontId="3" type="noConversion"/>
  </si>
  <si>
    <t xml:space="preserve">1.机构设置
少年宫设党支部、主任室、教务处（教科研室）、社区办、总务处（安全保卫）、办公室、财务室、专业教师室。
2.主要职责
党支部主要职责：认真贯彻党的路线、方针、政策及上级党组织的决定，抓好教职工队伍思想建设和政治理论学习，抓好党员队伍建设和管理，深入做好群众思想工作，做好党组织的发展和建设工作。
宫主任主要职责：负责行政管理，掌握财务政策，确定经费运转整体方案，努力改善办学条件，关心教职工生活，提高队伍整体素质等。
教务处主要职责：协助宫主任制定教学计划并组织实施，组织招生、咨询、学籍管理，组织阳光少年活动，继续教育等；结合本单位情况制定教科研工作计划、教科研课题内容，组织、培训、指导教师撰写论文。
社区办主要职责：协助宫主任做好社区管理工作，做好与街道、社区的协调工作，开展居民培训、讲座活动，制定成人学员开设课程计划及落实的管理。
总务处（安全保卫）主要职责：负责后勤人员聘用、工作检查、考核，采买、设备、房屋维修、供暖、绿化、卫生、饮用水、营养餐、固定资产管理、人事档案等；安全保卫负责校园安全、学生安全，制定计划并落实、检查保安人员的日常工作，签订保安协议，安排值班等。
办公室主要职责：：协助宫主任做好少年宫日常管理工作，负责少年宫人事、福利、考勤、工资、收发文件、档案管理工作，负责少年宫内外联络，接待来访等事务性工作。
财务人员岗位职责：审核录入原始凭证，工资发放、完成预算申报，保管财务档案，协助宫主任合理使用资金，把关支出项目及进度，完成公积金等缴存、支取，税务、医疗等管理工作。
专业教师主要岗位职责：制定教学工作计划、编制本学科教材、教案，组织实践活动，参加教科研活动，完成教学任务。
</t>
    <phoneticPr fontId="3" type="noConversion"/>
  </si>
  <si>
    <t>主要原因是2020年单位无营业收入，因此不能有经营支出，所以财政增加了日常运维等项目；同时本年度单位搬迁，财政增加了搬家、新址安装等专项资金。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</si>
</sst>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0" xfId="0" applyFont="1" applyAlignment="1">
      <alignment horizontal="left"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RowHeight="13.8"/>
  <cols>
    <col min="1" max="1" width="16.44140625" customWidth="1"/>
    <col min="2" max="2" width="12.77734375" bestFit="1" customWidth="1"/>
  </cols>
  <sheetData>
    <row r="1" spans="1:14" ht="37.950000000000003" customHeight="1">
      <c r="A1" s="25" t="s">
        <v>0</v>
      </c>
      <c r="B1" s="26">
        <v>255113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北京市西城区西长安街少年宫</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333</v>
      </c>
      <c r="B1" s="20" t="s">
        <v>262</v>
      </c>
      <c r="C1" s="34" t="s">
        <v>334</v>
      </c>
      <c r="D1" s="34" t="s">
        <v>335</v>
      </c>
      <c r="E1" s="35" t="s">
        <v>336</v>
      </c>
      <c r="F1" s="20" t="s">
        <v>337</v>
      </c>
      <c r="G1" s="20" t="s">
        <v>338</v>
      </c>
      <c r="H1" s="20" t="s">
        <v>339</v>
      </c>
    </row>
    <row r="2" spans="1:8">
      <c r="A2" s="22">
        <v>255001</v>
      </c>
      <c r="B2" s="23" t="s">
        <v>313</v>
      </c>
      <c r="C2" s="36" t="str">
        <f>LEFT(D2,3)</f>
        <v>205</v>
      </c>
      <c r="D2" s="36" t="str">
        <f>LEFT(E2,5)</f>
        <v>20502</v>
      </c>
      <c r="E2" s="36">
        <f>IF(ISNA(VLOOKUP(F2,'2020功能科目'!A:B,2,FALSE)),"",VLOOKUP(F2,'2020功能科目'!A:B,2,FALSE))</f>
        <v>2050201</v>
      </c>
      <c r="F2" s="23" t="s">
        <v>340</v>
      </c>
      <c r="G2" s="24">
        <v>91486047.549999997</v>
      </c>
      <c r="H2" s="24">
        <v>117849170.55</v>
      </c>
    </row>
    <row r="3" spans="1:8">
      <c r="A3" s="22">
        <v>255001</v>
      </c>
      <c r="B3" s="23" t="s">
        <v>313</v>
      </c>
      <c r="C3" s="36" t="str">
        <f t="shared" ref="C3:C66" si="0">LEFT(D3,3)</f>
        <v>205</v>
      </c>
      <c r="D3" s="36" t="str">
        <f t="shared" ref="D3:D66" si="1">LEFT(E3,5)</f>
        <v>20502</v>
      </c>
      <c r="E3" s="36">
        <f>IF(ISNA(VLOOKUP(F3,'2020功能科目'!A:B,2,FALSE)),"",VLOOKUP(F3,'2020功能科目'!A:B,2,FALSE))</f>
        <v>2050202</v>
      </c>
      <c r="F3" s="23" t="s">
        <v>341</v>
      </c>
      <c r="G3" s="24">
        <v>250000</v>
      </c>
      <c r="H3" s="24">
        <v>250000</v>
      </c>
    </row>
    <row r="4" spans="1:8">
      <c r="A4" s="22">
        <v>255001</v>
      </c>
      <c r="B4" s="23" t="s">
        <v>313</v>
      </c>
      <c r="C4" s="36" t="str">
        <f t="shared" si="0"/>
        <v>205</v>
      </c>
      <c r="D4" s="36" t="str">
        <f t="shared" si="1"/>
        <v>20502</v>
      </c>
      <c r="E4" s="36">
        <f>IF(ISNA(VLOOKUP(F4,'2020功能科目'!A:B,2,FALSE)),"",VLOOKUP(F4,'2020功能科目'!A:B,2,FALSE))</f>
        <v>2050204</v>
      </c>
      <c r="F4" s="23" t="s">
        <v>342</v>
      </c>
      <c r="G4" s="24">
        <v>1439000</v>
      </c>
      <c r="H4" s="24">
        <v>1439888.15</v>
      </c>
    </row>
    <row r="5" spans="1:8">
      <c r="A5" s="22">
        <v>255001</v>
      </c>
      <c r="B5" s="23" t="s">
        <v>313</v>
      </c>
      <c r="C5" s="36" t="str">
        <f t="shared" si="0"/>
        <v>205</v>
      </c>
      <c r="D5" s="36" t="str">
        <f t="shared" si="1"/>
        <v>20502</v>
      </c>
      <c r="E5" s="36">
        <f>IF(ISNA(VLOOKUP(F5,'2020功能科目'!A:B,2,FALSE)),"",VLOOKUP(F5,'2020功能科目'!A:B,2,FALSE))</f>
        <v>2050299</v>
      </c>
      <c r="F5" s="23" t="s">
        <v>343</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342</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343</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344</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345</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346</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347</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348</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349</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350</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351</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352</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353</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354</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355</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342</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343</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344</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345</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346</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347</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348</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349</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351</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352</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353</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354</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355</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342</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343</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344</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346</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347</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348</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349</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351</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352</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353</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354</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355</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342</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343</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344</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345</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346</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347</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348</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349</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351</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352</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353</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354</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355</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342</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344</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345</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346</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347</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348</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349</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351</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352</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353</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354</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355</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342</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345</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346</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347</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348</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349</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351</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352</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353</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354</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355</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342</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343</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344</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345</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346</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347</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348</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349</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350</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351</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352</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353</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354</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355</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342</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343</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344</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345</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346</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347</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348</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349</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351</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352</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353</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354</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355</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342</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343</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344</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345</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346</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347</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348</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349</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351</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352</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353</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354</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355</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342</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344</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345</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346</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347</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348</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349</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351</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352</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353</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354</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355</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342</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344</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345</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346</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347</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348</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349</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351</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352</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353</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354</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355</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342</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346</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347</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348</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349</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351</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352</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353</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354</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355</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342</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343</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344</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345</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346</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347</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348</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349</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351</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352</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353</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354</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355</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356</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343</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344</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345</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346</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347</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348</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349</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351</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352</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353</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354</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355</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342</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344</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345</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347</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348</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349</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351</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353</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354</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355</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342</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343</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344</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345</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346</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347</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348</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349</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351</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352</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353</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354</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355</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342</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343</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344</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345</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346</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347</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348</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349</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351</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352</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353</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354</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355</v>
      </c>
      <c r="G216" s="24">
        <v>4290503</v>
      </c>
      <c r="H216" s="24">
        <v>4304412</v>
      </c>
    </row>
    <row r="217" spans="1:8">
      <c r="A217" s="22">
        <v>255022</v>
      </c>
      <c r="B217" s="23" t="s">
        <v>314</v>
      </c>
      <c r="C217" s="36" t="str">
        <f t="shared" si="6"/>
        <v>205</v>
      </c>
      <c r="D217" s="36" t="str">
        <f t="shared" si="7"/>
        <v>20502</v>
      </c>
      <c r="E217" s="36">
        <f>IF(ISNA(VLOOKUP(F217,'2020功能科目'!A:B,2,FALSE)),"",VLOOKUP(F217,'2020功能科目'!A:B,2,FALSE))</f>
        <v>2050203</v>
      </c>
      <c r="F217" s="23" t="s">
        <v>356</v>
      </c>
      <c r="G217" s="24">
        <v>26873070.100000001</v>
      </c>
      <c r="H217" s="24">
        <v>22704196.510000002</v>
      </c>
    </row>
    <row r="218" spans="1:8">
      <c r="A218" s="22">
        <v>255022</v>
      </c>
      <c r="B218" s="23" t="s">
        <v>314</v>
      </c>
      <c r="C218" s="36" t="str">
        <f t="shared" si="6"/>
        <v>205</v>
      </c>
      <c r="D218" s="36" t="str">
        <f t="shared" si="7"/>
        <v>20502</v>
      </c>
      <c r="E218" s="36">
        <f>IF(ISNA(VLOOKUP(F218,'2020功能科目'!A:B,2,FALSE)),"",VLOOKUP(F218,'2020功能科目'!A:B,2,FALSE))</f>
        <v>2050204</v>
      </c>
      <c r="F218" s="23" t="s">
        <v>342</v>
      </c>
      <c r="G218" s="24">
        <v>46564</v>
      </c>
      <c r="H218" s="24">
        <v>51629</v>
      </c>
    </row>
    <row r="219" spans="1:8">
      <c r="A219" s="22">
        <v>255022</v>
      </c>
      <c r="B219" s="23" t="s">
        <v>314</v>
      </c>
      <c r="C219" s="36" t="str">
        <f t="shared" si="6"/>
        <v>205</v>
      </c>
      <c r="D219" s="36" t="str">
        <f t="shared" si="7"/>
        <v>20502</v>
      </c>
      <c r="E219" s="36">
        <f>IF(ISNA(VLOOKUP(F219,'2020功能科目'!A:B,2,FALSE)),"",VLOOKUP(F219,'2020功能科目'!A:B,2,FALSE))</f>
        <v>2050299</v>
      </c>
      <c r="F219" s="23" t="s">
        <v>343</v>
      </c>
      <c r="G219" s="24">
        <v>279.2</v>
      </c>
      <c r="H219" s="24">
        <v>0</v>
      </c>
    </row>
    <row r="220" spans="1:8">
      <c r="A220" s="22">
        <v>255022</v>
      </c>
      <c r="B220" s="23" t="s">
        <v>314</v>
      </c>
      <c r="C220" s="36" t="str">
        <f t="shared" si="6"/>
        <v>205</v>
      </c>
      <c r="D220" s="36" t="str">
        <f t="shared" si="7"/>
        <v>20508</v>
      </c>
      <c r="E220" s="36">
        <f>IF(ISNA(VLOOKUP(F220,'2020功能科目'!A:B,2,FALSE)),"",VLOOKUP(F220,'2020功能科目'!A:B,2,FALSE))</f>
        <v>2050803</v>
      </c>
      <c r="F220" s="23" t="s">
        <v>344</v>
      </c>
      <c r="G220" s="24">
        <v>36800</v>
      </c>
      <c r="H220" s="24">
        <v>73600</v>
      </c>
    </row>
    <row r="221" spans="1:8">
      <c r="A221" s="22">
        <v>255022</v>
      </c>
      <c r="B221" s="23" t="s">
        <v>314</v>
      </c>
      <c r="C221" s="36" t="str">
        <f t="shared" si="6"/>
        <v>205</v>
      </c>
      <c r="D221" s="36" t="str">
        <f t="shared" si="7"/>
        <v>20509</v>
      </c>
      <c r="E221" s="36">
        <f>IF(ISNA(VLOOKUP(F221,'2020功能科目'!A:B,2,FALSE)),"",VLOOKUP(F221,'2020功能科目'!A:B,2,FALSE))</f>
        <v>2050903</v>
      </c>
      <c r="F221" s="23" t="s">
        <v>345</v>
      </c>
      <c r="G221" s="24">
        <v>138743.4</v>
      </c>
      <c r="H221" s="24">
        <v>140000</v>
      </c>
    </row>
    <row r="222" spans="1:8">
      <c r="A222" s="22">
        <v>255022</v>
      </c>
      <c r="B222" s="23" t="s">
        <v>314</v>
      </c>
      <c r="C222" s="36" t="str">
        <f t="shared" si="6"/>
        <v>205</v>
      </c>
      <c r="D222" s="36" t="str">
        <f t="shared" si="7"/>
        <v>20509</v>
      </c>
      <c r="E222" s="36">
        <f>IF(ISNA(VLOOKUP(F222,'2020功能科目'!A:B,2,FALSE)),"",VLOOKUP(F222,'2020功能科目'!A:B,2,FALSE))</f>
        <v>2050904</v>
      </c>
      <c r="F222" s="23" t="s">
        <v>346</v>
      </c>
      <c r="G222" s="24">
        <v>1246675.0900000001</v>
      </c>
      <c r="H222" s="24">
        <v>1261160</v>
      </c>
    </row>
    <row r="223" spans="1:8">
      <c r="A223" s="22">
        <v>255022</v>
      </c>
      <c r="B223" s="23" t="s">
        <v>314</v>
      </c>
      <c r="C223" s="36" t="str">
        <f t="shared" si="6"/>
        <v>208</v>
      </c>
      <c r="D223" s="36" t="str">
        <f t="shared" si="7"/>
        <v>20805</v>
      </c>
      <c r="E223" s="36">
        <f>IF(ISNA(VLOOKUP(F223,'2020功能科目'!A:B,2,FALSE)),"",VLOOKUP(F223,'2020功能科目'!A:B,2,FALSE))</f>
        <v>2080502</v>
      </c>
      <c r="F223" s="23" t="s">
        <v>347</v>
      </c>
      <c r="G223" s="24">
        <v>2701675.56</v>
      </c>
      <c r="H223" s="24">
        <v>2070473.15</v>
      </c>
    </row>
    <row r="224" spans="1:8">
      <c r="A224" s="22">
        <v>255022</v>
      </c>
      <c r="B224" s="23" t="s">
        <v>314</v>
      </c>
      <c r="C224" s="36" t="str">
        <f t="shared" si="6"/>
        <v>208</v>
      </c>
      <c r="D224" s="36" t="str">
        <f t="shared" si="7"/>
        <v>20805</v>
      </c>
      <c r="E224" s="36">
        <f>IF(ISNA(VLOOKUP(F224,'2020功能科目'!A:B,2,FALSE)),"",VLOOKUP(F224,'2020功能科目'!A:B,2,FALSE))</f>
        <v>2080505</v>
      </c>
      <c r="F224" s="23" t="s">
        <v>348</v>
      </c>
      <c r="G224" s="24">
        <v>1964071.04</v>
      </c>
      <c r="H224" s="24">
        <v>2098399.36</v>
      </c>
    </row>
    <row r="225" spans="1:8">
      <c r="A225" s="22">
        <v>255022</v>
      </c>
      <c r="B225" s="23" t="s">
        <v>314</v>
      </c>
      <c r="C225" s="36" t="str">
        <f t="shared" si="6"/>
        <v>208</v>
      </c>
      <c r="D225" s="36" t="str">
        <f t="shared" si="7"/>
        <v>20805</v>
      </c>
      <c r="E225" s="36">
        <f>IF(ISNA(VLOOKUP(F225,'2020功能科目'!A:B,2,FALSE)),"",VLOOKUP(F225,'2020功能科目'!A:B,2,FALSE))</f>
        <v>2080506</v>
      </c>
      <c r="F225" s="23" t="s">
        <v>349</v>
      </c>
      <c r="G225" s="24">
        <v>982035.52</v>
      </c>
      <c r="H225" s="24">
        <v>1049199.68</v>
      </c>
    </row>
    <row r="226" spans="1:8">
      <c r="A226" s="22">
        <v>255022</v>
      </c>
      <c r="B226" s="23" t="s">
        <v>314</v>
      </c>
      <c r="C226" s="36" t="str">
        <f t="shared" si="6"/>
        <v>210</v>
      </c>
      <c r="D226" s="36" t="str">
        <f t="shared" si="7"/>
        <v>21011</v>
      </c>
      <c r="E226" s="36">
        <f>IF(ISNA(VLOOKUP(F226,'2020功能科目'!A:B,2,FALSE)),"",VLOOKUP(F226,'2020功能科目'!A:B,2,FALSE))</f>
        <v>2101102</v>
      </c>
      <c r="F226" s="23" t="s">
        <v>351</v>
      </c>
      <c r="G226" s="24">
        <v>2132507.06</v>
      </c>
      <c r="H226" s="24">
        <v>1704949.48</v>
      </c>
    </row>
    <row r="227" spans="1:8">
      <c r="A227" s="22">
        <v>255022</v>
      </c>
      <c r="B227" s="23" t="s">
        <v>314</v>
      </c>
      <c r="C227" s="36" t="str">
        <f t="shared" si="6"/>
        <v>210</v>
      </c>
      <c r="D227" s="36" t="str">
        <f t="shared" si="7"/>
        <v>21011</v>
      </c>
      <c r="E227" s="36">
        <f>IF(ISNA(VLOOKUP(F227,'2020功能科目'!A:B,2,FALSE)),"",VLOOKUP(F227,'2020功能科目'!A:B,2,FALSE))</f>
        <v>2101199</v>
      </c>
      <c r="F227" s="23" t="s">
        <v>352</v>
      </c>
      <c r="G227" s="24">
        <v>180000</v>
      </c>
      <c r="H227" s="24">
        <v>360000</v>
      </c>
    </row>
    <row r="228" spans="1:8">
      <c r="A228" s="22">
        <v>255022</v>
      </c>
      <c r="B228" s="23" t="s">
        <v>314</v>
      </c>
      <c r="C228" s="36" t="str">
        <f t="shared" si="6"/>
        <v>221</v>
      </c>
      <c r="D228" s="36" t="str">
        <f t="shared" si="7"/>
        <v>22102</v>
      </c>
      <c r="E228" s="36">
        <f>IF(ISNA(VLOOKUP(F228,'2020功能科目'!A:B,2,FALSE)),"",VLOOKUP(F228,'2020功能科目'!A:B,2,FALSE))</f>
        <v>2210201</v>
      </c>
      <c r="F228" s="23" t="s">
        <v>353</v>
      </c>
      <c r="G228" s="24">
        <v>2537027</v>
      </c>
      <c r="H228" s="24">
        <v>2125799.52</v>
      </c>
    </row>
    <row r="229" spans="1:8">
      <c r="A229" s="22">
        <v>255022</v>
      </c>
      <c r="B229" s="23" t="s">
        <v>314</v>
      </c>
      <c r="C229" s="36" t="str">
        <f t="shared" si="6"/>
        <v>221</v>
      </c>
      <c r="D229" s="36" t="str">
        <f t="shared" si="7"/>
        <v>22102</v>
      </c>
      <c r="E229" s="36">
        <f>IF(ISNA(VLOOKUP(F229,'2020功能科目'!A:B,2,FALSE)),"",VLOOKUP(F229,'2020功能科目'!A:B,2,FALSE))</f>
        <v>2210202</v>
      </c>
      <c r="F229" s="23" t="s">
        <v>354</v>
      </c>
      <c r="G229" s="24">
        <v>215560</v>
      </c>
      <c r="H229" s="24">
        <v>217920</v>
      </c>
    </row>
    <row r="230" spans="1:8">
      <c r="A230" s="22">
        <v>255022</v>
      </c>
      <c r="B230" s="23" t="s">
        <v>314</v>
      </c>
      <c r="C230" s="36" t="str">
        <f t="shared" si="6"/>
        <v>221</v>
      </c>
      <c r="D230" s="36" t="str">
        <f t="shared" si="7"/>
        <v>22102</v>
      </c>
      <c r="E230" s="36">
        <f>IF(ISNA(VLOOKUP(F230,'2020功能科目'!A:B,2,FALSE)),"",VLOOKUP(F230,'2020功能科目'!A:B,2,FALSE))</f>
        <v>2210203</v>
      </c>
      <c r="F230" s="23" t="s">
        <v>355</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342</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343</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344</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345</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346</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347</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348</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349</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351</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352</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353</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354</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355</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356</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343</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344</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345</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346</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347</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348</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349</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351</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352</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353</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354</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355</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356</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343</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344</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345</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346</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347</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348</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349</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351</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352</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353</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354</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355</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356</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342</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343</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344</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346</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347</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348</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349</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351</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352</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353</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354</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355</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356</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343</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344</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345</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346</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347</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348</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349</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351</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352</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353</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354</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355</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357</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358</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344</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359</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347</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348</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349</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350</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351</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352</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353</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354</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355</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343</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357</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344</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346</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359</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347</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348</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349</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351</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352</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353</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354</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355</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341</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342</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343</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344</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346</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347</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348</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349</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350</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351</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352</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353</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354</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355</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341</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343</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344</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346</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347</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348</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349</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351</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352</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353</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354</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355</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341</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343</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344</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346</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347</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348</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349</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351</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353</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354</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355</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341</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343</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344</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346</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347</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348</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349</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351</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353</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354</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355</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341</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343</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344</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346</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347</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348</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349</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351</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353</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354</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355</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341</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343</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344</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345</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346</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347</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348</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349</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351</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353</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354</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355</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341</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343</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344</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345</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346</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347</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348</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349</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351</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353</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354</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355</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341</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343</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344</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346</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347</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348</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349</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351</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353</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354</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355</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341</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343</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344</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345</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346</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347</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348</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349</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351</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353</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354</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355</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341</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343</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344</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345</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346</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347</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348</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349</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351</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352</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353</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354</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355</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341</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343</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344</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346</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347</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348</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349</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351</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353</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354</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355</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341</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343</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344</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345</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346</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347</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348</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349</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351</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352</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353</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354</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355</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341</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343</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344</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346</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347</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348</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349</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351</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353</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354</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355</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341</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343</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344</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345</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346</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347</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348</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349</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351</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352</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353</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354</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355</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341</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343</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344</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345</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346</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347</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348</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349</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351</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352</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353</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354</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355</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341</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343</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344</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345</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346</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347</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348</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349</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351</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353</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354</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355</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341</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343</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344</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345</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346</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347</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348</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349</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351</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352</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353</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354</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355</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341</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343</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344</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345</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346</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347</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348</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349</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351</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353</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354</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355</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341</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343</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344</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346</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347</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348</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349</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351</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353</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354</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355</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341</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343</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344</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345</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346</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347</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348</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349</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351</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353</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354</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355</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341</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343</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344</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345</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346</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347</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348</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349</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351</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352</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353</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354</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355</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341</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343</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344</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345</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346</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347</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348</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349</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351</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353</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354</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355</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341</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343</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344</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345</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346</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347</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348</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349</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351</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352</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353</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354</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355</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341</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343</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344</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345</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346</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347</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348</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349</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351</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353</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354</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355</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341</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343</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344</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345</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346</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360</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347</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348</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349</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350</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351</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353</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354</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355</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341</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343</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344</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346</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347</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348</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349</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351</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352</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353</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354</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355</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341</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343</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344</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345</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346</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347</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348</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349</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351</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352</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353</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354</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355</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341</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343</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344</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345</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346</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347</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348</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349</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351</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352</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353</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354</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355</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341</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343</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344</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346</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347</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348</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349</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351</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352</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353</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354</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355</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341</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343</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344</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345</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346</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347</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348</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349</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351</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352</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353</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354</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355</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341</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343</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344</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345</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346</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347</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348</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349</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351</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352</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353</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354</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355</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341</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343</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344</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346</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347</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348</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349</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351</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353</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354</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355</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341</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343</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344</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345</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346</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347</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348</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349</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351</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352</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353</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354</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355</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341</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343</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344</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345</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346</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347</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348</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349</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351</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352</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353</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354</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355</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340</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344</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360</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347</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348</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349</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351</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352</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353</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354</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355</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340</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344</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360</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347</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348</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349</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351</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352</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353</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354</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355</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340</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344</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360</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347</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348</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349</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351</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352</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353</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354</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355</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340</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344</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360</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347</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348</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349</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351</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353</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354</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355</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340</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344</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360</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347</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348</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349</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351</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353</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354</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355</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340</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344</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360</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347</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348</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349</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351</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352</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353</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354</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355</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340</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344</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360</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347</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348</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349</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351</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353</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354</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355</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340</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344</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360</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347</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348</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349</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351</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353</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354</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355</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347</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354</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340</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342</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343</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361</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344</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345</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346</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347</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348</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349</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351</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353</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354</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355</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340</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343</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361</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362</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344</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345</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346</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347</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348</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349</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351</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353</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354</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355</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343</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363</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344</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346</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347</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348</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349</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350</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351</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353</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354</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355</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343</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344</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360</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347</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348</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349</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351</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352</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353</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354</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355</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343</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344</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360</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364</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347</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348</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349</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351</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352</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353</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354</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355</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343</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344</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360</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347</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348</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349</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351</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353</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354</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355</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343</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344</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360</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347</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348</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349</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351</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353</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354</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355</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343</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344</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360</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347</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348</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349</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351</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353</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354</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355</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343</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344</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360</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347</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348</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349</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351</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353</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354</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355</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343</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344</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360</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347</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348</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349</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351</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353</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354</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355</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343</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365</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344</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360</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347</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348</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349</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351</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352</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353</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354</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355</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343</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344</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360</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347</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348</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349</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351</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353</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354</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355</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343</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344</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360</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347</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348</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349</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350</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351</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353</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354</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355</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343</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365</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344</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360</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347</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348</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349</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351</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353</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354</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355</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343</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344</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360</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347</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348</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349</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351</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353</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354</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355</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343</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344</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347</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348</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349</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351</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353</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354</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355</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343</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344</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348</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349</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351</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353</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354</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355</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343</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344</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360</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347</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348</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349</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351</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353</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354</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355</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343</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360</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347</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348</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349</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351</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353</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354</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355</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340</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344</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360</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347</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348</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349</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351</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353</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354</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355</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341</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343</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344</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345</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346</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347</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348</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349</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351</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353</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354</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355</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343</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344</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347</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348</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349</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351</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353</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354</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355</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342</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343</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344</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345</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346</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347</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348</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349</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351</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352</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353</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354</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355</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342</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343</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344</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345</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346</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347</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348</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349</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351</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352</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353</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354</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355</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342</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343</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344</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346</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347</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348</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349</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351</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352</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353</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354</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355</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342</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344</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345</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346</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347</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348</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349</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351</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352</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353</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354</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355</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342</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343</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344</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345</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346</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347</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348</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349</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351</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352</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353</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354</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355</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343</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357</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358</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344</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359</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347</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348</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349</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351</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352</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366</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353</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354</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355</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342</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344</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347</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348</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349</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351</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352</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353</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354</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355</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342</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343</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344</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345</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346</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347</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348</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349</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351</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352</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353</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354</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355</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342</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343</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344</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346</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347</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348</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349</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351</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352</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353</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354</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355</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342</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343</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344</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345</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346</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347</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348</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349</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351</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352</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353</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354</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355</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341</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343</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344</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345</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346</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347</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348</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349</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351</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352</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353</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354</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355</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341</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343</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344</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345</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346</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347</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348</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349</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351</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352</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353</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354</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355</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341</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343</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344</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345</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346</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347</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348</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349</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351</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353</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354</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355</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341</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343</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344</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345</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346</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347</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348</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349</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351</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352</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353</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354</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355</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341</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343</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344</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345</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346</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347</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348</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349</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350</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351</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352</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353</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354</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355</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341</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343</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344</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345</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346</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347</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348</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349</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351</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353</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354</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355</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341</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343</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344</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346</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347</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348</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349</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351</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353</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354</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355</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341</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343</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344</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345</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346</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347</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348</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349</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351</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353</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354</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355</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341</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343</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344</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346</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347</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348</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349</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351</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352</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353</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354</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355</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341</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343</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344</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345</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346</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347</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348</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349</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351</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352</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353</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354</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355</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341</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344</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346</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347</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348</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349</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351</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352</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353</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354</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355</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341</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343</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344</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345</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346</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347</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348</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349</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350</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351</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353</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354</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355</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341</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343</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344</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345</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346</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347</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348</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349</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351</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352</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353</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354</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355</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341</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343</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344</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345</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346</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347</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348</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349</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351</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353</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354</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355</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341</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343</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344</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345</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346</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347</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348</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349</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351</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352</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353</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354</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355</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341</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343</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344</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345</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346</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347</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348</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349</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351</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353</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354</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355</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341</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344</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345</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346</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347</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348</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349</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351</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352</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353</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354</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355</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341</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343</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344</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345</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346</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347</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348</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349</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351</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353</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354</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355</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341</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344</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345</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346</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347</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348</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349</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351</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353</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354</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355</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341</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343</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344</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346</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347</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348</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349</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351</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353</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354</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355</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341</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343</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344</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345</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346</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347</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348</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349</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351</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353</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354</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355</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341</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343</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344</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345</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346</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347</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348</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349</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351</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353</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354</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355</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340</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344</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360</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347</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348</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349</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351</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353</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354</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355</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340</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344</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360</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347</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348</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349</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351</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352</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353</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354</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355</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340</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344</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360</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347</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348</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349</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351</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352</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353</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354</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355</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340</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344</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347</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348</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349</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351</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353</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354</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355</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340</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344</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360</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347</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348</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349</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351</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353</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354</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355</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340</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344</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360</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347</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348</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349</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351</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353</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354</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355</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340</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344</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360</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347</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348</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349</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351</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353</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354</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355</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340</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344</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347</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348</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349</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351</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353</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354</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355</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340</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344</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360</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347</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348</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349</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351</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353</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354</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355</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340</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344</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360</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347</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348</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349</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351</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352</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353</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354</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355</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340</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344</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360</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347</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348</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349</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351</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353</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354</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355</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340</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344</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360</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347</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348</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349</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351</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353</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354</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355</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340</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344</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360</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347</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348</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349</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351</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353</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354</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355</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367</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344</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360</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347</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348</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349</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351</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352</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353</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354</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355</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368</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344</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360</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347</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348</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349</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351</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353</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354</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355</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343</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365</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344</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360</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347</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348</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349</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351</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352</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353</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354</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355</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343</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344</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360</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347</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348</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349</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351</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352</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353</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354</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355</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343</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344</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360</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364</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347</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348</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349</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351</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353</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354</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355</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343</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344</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360</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347</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348</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349</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351</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353</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354</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355</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343</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344</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347</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348</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349</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350</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351</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353</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354</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355</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340</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341</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356</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342</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343</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344</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345</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360</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347</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348</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349</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350</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351</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352</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369</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353</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354</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355</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343</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357</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358</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344</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359</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347</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348</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349</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351</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352</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353</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354</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355</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342</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343</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344</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345</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346</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347</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348</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349</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351</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352</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353</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354</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355</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342</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343</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344</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345</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346</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347</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348</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349</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351</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353</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354</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355</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343</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344</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360</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347</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348</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349</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351</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353</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354</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355</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340</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344</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360</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348</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349</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351</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353</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354</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355</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340</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344</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360</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348</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349</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351</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353</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354</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355</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341</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343</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344</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345</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346</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348</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349</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351</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353</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354</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355</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340</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344</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360</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347</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348</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349</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351</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353</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354</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355</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340</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344</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360</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348</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349</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351</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353</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354</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355</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340</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344</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360</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348</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349</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351</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353</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354</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355</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340</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344</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360</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348</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349</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351</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353</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354</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355</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340</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344</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360</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348</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349</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351</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353</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354</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355</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343</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344</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348</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349</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351</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353</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354</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355</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343</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348</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349</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351</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353</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343</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344</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360</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348</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349</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351</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353</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354</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355</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341</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344</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346</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348</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349</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351</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353</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354</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355</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340</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341</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356</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342</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343</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357</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358</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367</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368</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361</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363</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362</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365</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344</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345</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346</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359</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360</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364</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347</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348</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349</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350</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351</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352</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369</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366</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353</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354</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355</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413</v>
      </c>
      <c r="B1" s="49" t="s">
        <v>414</v>
      </c>
    </row>
    <row r="2" spans="1:2">
      <c r="A2" s="51" t="s">
        <v>415</v>
      </c>
      <c r="B2" s="49">
        <v>2050101</v>
      </c>
    </row>
    <row r="3" spans="1:2">
      <c r="A3" s="51" t="s">
        <v>416</v>
      </c>
      <c r="B3" s="49">
        <v>2050102</v>
      </c>
    </row>
    <row r="4" spans="1:2">
      <c r="A4" s="51" t="s">
        <v>340</v>
      </c>
      <c r="B4" s="49">
        <v>2050201</v>
      </c>
    </row>
    <row r="5" spans="1:2">
      <c r="A5" s="51" t="s">
        <v>341</v>
      </c>
      <c r="B5" s="49">
        <v>2050202</v>
      </c>
    </row>
    <row r="6" spans="1:2">
      <c r="A6" s="51" t="s">
        <v>356</v>
      </c>
      <c r="B6" s="49">
        <v>2050203</v>
      </c>
    </row>
    <row r="7" spans="1:2">
      <c r="A7" s="51" t="s">
        <v>342</v>
      </c>
      <c r="B7" s="49">
        <v>2050204</v>
      </c>
    </row>
    <row r="8" spans="1:2">
      <c r="A8" s="51" t="s">
        <v>343</v>
      </c>
      <c r="B8" s="49">
        <v>2050299</v>
      </c>
    </row>
    <row r="9" spans="1:2">
      <c r="A9" s="51" t="s">
        <v>357</v>
      </c>
      <c r="B9" s="49">
        <v>2050302</v>
      </c>
    </row>
    <row r="10" spans="1:2">
      <c r="A10" s="51" t="s">
        <v>417</v>
      </c>
      <c r="B10" s="49">
        <v>2050304</v>
      </c>
    </row>
    <row r="11" spans="1:2">
      <c r="A11" s="51" t="s">
        <v>358</v>
      </c>
      <c r="B11" s="49">
        <v>2050399</v>
      </c>
    </row>
    <row r="12" spans="1:2">
      <c r="A12" s="51" t="s">
        <v>367</v>
      </c>
      <c r="B12" s="49">
        <v>2050403</v>
      </c>
    </row>
    <row r="13" spans="1:2">
      <c r="A13" s="51" t="s">
        <v>368</v>
      </c>
      <c r="B13" s="49">
        <v>2050404</v>
      </c>
    </row>
    <row r="14" spans="1:2">
      <c r="A14" s="51" t="s">
        <v>361</v>
      </c>
      <c r="B14" s="49">
        <v>2050701</v>
      </c>
    </row>
    <row r="15" spans="1:2">
      <c r="A15" s="51" t="s">
        <v>363</v>
      </c>
      <c r="B15" s="49">
        <v>2050702</v>
      </c>
    </row>
    <row r="16" spans="1:2">
      <c r="A16" s="51" t="s">
        <v>362</v>
      </c>
      <c r="B16" s="49">
        <v>2050799</v>
      </c>
    </row>
    <row r="17" spans="1:2">
      <c r="A17" s="51" t="s">
        <v>365</v>
      </c>
      <c r="B17" s="49">
        <v>2050801</v>
      </c>
    </row>
    <row r="18" spans="1:2">
      <c r="A18" s="51" t="s">
        <v>344</v>
      </c>
      <c r="B18" s="49">
        <v>2050803</v>
      </c>
    </row>
    <row r="19" spans="1:2">
      <c r="A19" s="51" t="s">
        <v>345</v>
      </c>
      <c r="B19" s="49">
        <v>2050903</v>
      </c>
    </row>
    <row r="20" spans="1:2">
      <c r="A20" s="51" t="s">
        <v>346</v>
      </c>
      <c r="B20" s="49">
        <v>2050904</v>
      </c>
    </row>
    <row r="21" spans="1:2">
      <c r="A21" s="51" t="s">
        <v>359</v>
      </c>
      <c r="B21" s="49">
        <v>2050905</v>
      </c>
    </row>
    <row r="22" spans="1:2">
      <c r="A22" s="51" t="s">
        <v>360</v>
      </c>
      <c r="B22" s="49">
        <v>2050999</v>
      </c>
    </row>
    <row r="23" spans="1:2">
      <c r="A23" s="51" t="s">
        <v>364</v>
      </c>
      <c r="B23" s="49">
        <v>2060702</v>
      </c>
    </row>
    <row r="24" spans="1:2">
      <c r="A24" s="51" t="s">
        <v>418</v>
      </c>
      <c r="B24" s="49">
        <v>2080501</v>
      </c>
    </row>
    <row r="25" spans="1:2">
      <c r="A25" s="51" t="s">
        <v>347</v>
      </c>
      <c r="B25" s="49">
        <v>2080502</v>
      </c>
    </row>
    <row r="26" spans="1:2">
      <c r="A26" s="51" t="s">
        <v>348</v>
      </c>
      <c r="B26" s="49">
        <v>2080505</v>
      </c>
    </row>
    <row r="27" spans="1:2">
      <c r="A27" s="51" t="s">
        <v>349</v>
      </c>
      <c r="B27" s="49">
        <v>2080506</v>
      </c>
    </row>
    <row r="28" spans="1:2">
      <c r="A28" s="51" t="s">
        <v>350</v>
      </c>
      <c r="B28" s="49">
        <v>2080801</v>
      </c>
    </row>
    <row r="29" spans="1:2">
      <c r="A29" s="51" t="s">
        <v>419</v>
      </c>
      <c r="B29" s="49">
        <v>2101101</v>
      </c>
    </row>
    <row r="30" spans="1:2">
      <c r="A30" s="51" t="s">
        <v>351</v>
      </c>
      <c r="B30" s="49">
        <v>2101102</v>
      </c>
    </row>
    <row r="31" spans="1:2">
      <c r="A31" s="51" t="s">
        <v>352</v>
      </c>
      <c r="B31" s="49">
        <v>2101199</v>
      </c>
    </row>
    <row r="32" spans="1:2">
      <c r="A32" s="51" t="s">
        <v>369</v>
      </c>
      <c r="B32" s="49">
        <v>2120399</v>
      </c>
    </row>
    <row r="33" spans="1:2">
      <c r="A33" s="51" t="s">
        <v>353</v>
      </c>
      <c r="B33" s="49">
        <v>2210201</v>
      </c>
    </row>
    <row r="34" spans="1:2">
      <c r="A34" s="51" t="s">
        <v>354</v>
      </c>
      <c r="B34" s="49">
        <v>2210202</v>
      </c>
    </row>
    <row r="35" spans="1:2">
      <c r="A35" s="51" t="s">
        <v>355</v>
      </c>
      <c r="B35" s="49">
        <v>2210203</v>
      </c>
    </row>
    <row r="36" spans="1:2">
      <c r="A36" s="51" t="s">
        <v>420</v>
      </c>
      <c r="B36" s="49">
        <v>2296003</v>
      </c>
    </row>
    <row r="37" spans="1:2">
      <c r="A37" s="51" t="s">
        <v>421</v>
      </c>
      <c r="B37" s="49">
        <v>2340201</v>
      </c>
    </row>
    <row r="38" spans="1:2">
      <c r="A38" s="51" t="s">
        <v>366</v>
      </c>
      <c r="B38" s="49">
        <v>2130506</v>
      </c>
    </row>
    <row r="39" spans="1:2">
      <c r="A39" s="51"/>
      <c r="B39" s="49"/>
    </row>
  </sheetData>
  <phoneticPr fontId="3"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424</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9"/>
  <sheetViews>
    <sheetView zoomScaleNormal="100" workbookViewId="0">
      <selection activeCell="Q23" sqref="Q23"/>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549999999999997" customHeight="1">
      <c r="A1" s="55" t="s">
        <v>180</v>
      </c>
      <c r="B1" s="55"/>
      <c r="C1" s="55"/>
      <c r="D1" s="55"/>
      <c r="E1" s="55"/>
      <c r="F1" s="55"/>
      <c r="G1" s="55"/>
      <c r="H1" s="55"/>
      <c r="I1" s="55"/>
      <c r="J1" s="55"/>
      <c r="K1" s="55"/>
      <c r="L1" s="55"/>
      <c r="M1" s="55"/>
      <c r="N1" s="52"/>
    </row>
    <row r="2" spans="1:14" ht="18" customHeight="1">
      <c r="A2" s="6" t="s">
        <v>437</v>
      </c>
    </row>
    <row r="3" spans="1:14" ht="17.399999999999999">
      <c r="A3" s="7" t="s">
        <v>181</v>
      </c>
    </row>
    <row r="4" spans="1:14" ht="369" customHeight="1">
      <c r="A4" s="58" t="s">
        <v>438</v>
      </c>
      <c r="B4" s="58"/>
      <c r="C4" s="58"/>
      <c r="D4" s="58"/>
      <c r="E4" s="58"/>
      <c r="F4" s="58"/>
      <c r="G4" s="58"/>
      <c r="H4" s="58"/>
      <c r="I4" s="58"/>
      <c r="J4" s="58"/>
      <c r="K4" s="58"/>
      <c r="L4" s="58"/>
      <c r="M4" s="58"/>
      <c r="N4" s="17"/>
    </row>
    <row r="5" spans="1:14" ht="18" customHeight="1">
      <c r="A5" s="7" t="s">
        <v>182</v>
      </c>
    </row>
    <row r="6" spans="1:14" ht="18" customHeight="1">
      <c r="A6" s="63" t="s">
        <v>256</v>
      </c>
      <c r="B6" s="63"/>
      <c r="C6" s="10">
        <v>18</v>
      </c>
      <c r="D6" s="10" t="s">
        <v>258</v>
      </c>
      <c r="E6" s="8">
        <f>_xlfn.IFNA(VLOOKUP(封面!B1,'2020决算导出'!A:C,3,FALSE),"")</f>
        <v>15</v>
      </c>
      <c r="F6" s="10" t="s">
        <v>259</v>
      </c>
      <c r="G6" s="10"/>
      <c r="H6" s="10"/>
      <c r="I6" s="10"/>
      <c r="J6" s="10"/>
      <c r="K6" s="10"/>
      <c r="L6" s="10"/>
      <c r="M6" s="10"/>
      <c r="N6" s="10"/>
    </row>
    <row r="7" spans="1:14" ht="18" customHeight="1">
      <c r="A7" s="6" t="s">
        <v>183</v>
      </c>
    </row>
    <row r="8" spans="1:14" ht="18" customHeight="1">
      <c r="A8" s="63" t="s">
        <v>184</v>
      </c>
      <c r="B8" s="63"/>
      <c r="C8" s="63"/>
      <c r="D8" s="13">
        <f>_xlfn.IFNA(VLOOKUP(封面!B1,'2020决算导出'!A:D,4,FALSE),"")</f>
        <v>7981625.6600000001</v>
      </c>
      <c r="E8" s="7" t="s">
        <v>186</v>
      </c>
      <c r="F8" s="18" t="s">
        <v>260</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1858368.7999999998</v>
      </c>
      <c r="I8" s="15" t="s">
        <v>186</v>
      </c>
      <c r="J8" s="28" t="str">
        <f>IF(ISNA(VLOOKUP(封面!B1,'2019决算导出'!A:C,3,FALSE)),"",IF(D8-VLOOKUP(封面!B1,'2019决算导出'!A:C,3,FALSE)&gt;0,"增长","下降"))</f>
        <v>增长</v>
      </c>
      <c r="K8" s="29">
        <f>IF(ISNA(VLOOKUP(封面!B1,'2019决算导出'!A:C,3,FALSE)),"",H8/VLOOKUP(封面!B1,'2019决算导出'!A:C,3,FALSE))</f>
        <v>0.30349352354295972</v>
      </c>
      <c r="L8" s="7" t="s">
        <v>324</v>
      </c>
    </row>
    <row r="9" spans="1:14" ht="18" customHeight="1">
      <c r="A9" s="7" t="s">
        <v>187</v>
      </c>
      <c r="G9" s="30"/>
      <c r="H9" s="30"/>
      <c r="I9" s="30"/>
      <c r="J9" s="30"/>
      <c r="K9" s="30"/>
    </row>
    <row r="10" spans="1:14" ht="18" customHeight="1">
      <c r="A10" s="63" t="s">
        <v>188</v>
      </c>
      <c r="B10" s="63"/>
      <c r="C10" s="63"/>
      <c r="D10" s="13">
        <f>_xlfn.IFNA(VLOOKUP(封面!B1,'2020决算导出'!A:E,5,FALSE),"")</f>
        <v>7931625.6600000001</v>
      </c>
      <c r="E10" s="7" t="s">
        <v>186</v>
      </c>
      <c r="F10" s="18" t="s">
        <v>260</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1808368.7999999998</v>
      </c>
      <c r="I10" s="15" t="s">
        <v>186</v>
      </c>
      <c r="J10" s="28" t="str">
        <f>IF(ISNA(VLOOKUP(封面!B1,'2019决算导出'!A:D,4,FALSE)),"",IF(D10-VLOOKUP(封面!B1,'2019决算导出'!A:D,4,FALSE)&gt;0,"增长","下降"))</f>
        <v>增长</v>
      </c>
      <c r="K10" s="29">
        <f>IF(ISNA(VLOOKUP(封面!B1,'2019决算导出'!A:D,4,FALSE)),"",H10/VLOOKUP(封面!B1,'2019决算导出'!A:D,4,FALSE))</f>
        <v>0.29532793435681542</v>
      </c>
      <c r="L10" s="7" t="s">
        <v>325</v>
      </c>
    </row>
    <row r="11" spans="1:14" ht="18" customHeight="1">
      <c r="A11" s="63" t="s">
        <v>189</v>
      </c>
      <c r="B11" s="63"/>
      <c r="C11" s="63"/>
      <c r="D11" s="13">
        <f>_xlfn.IFNA(VLOOKUP(封面!B1,'2020决算导出'!A:F,6,FALSE),"")</f>
        <v>7931625.6600000001</v>
      </c>
      <c r="E11" s="7" t="s">
        <v>186</v>
      </c>
      <c r="F11" s="63" t="s">
        <v>190</v>
      </c>
      <c r="G11" s="63"/>
      <c r="H11" s="27">
        <f>D11/$D$10</f>
        <v>1</v>
      </c>
      <c r="I11" s="7" t="s">
        <v>326</v>
      </c>
    </row>
    <row r="12" spans="1:14" ht="18" customHeight="1">
      <c r="A12" s="63" t="s">
        <v>191</v>
      </c>
      <c r="B12" s="63"/>
      <c r="C12" s="63"/>
      <c r="D12" s="13">
        <f>_xlfn.IFNA(VLOOKUP(封面!B1,'2020决算导出'!A:G,7,FALSE),"")</f>
        <v>0</v>
      </c>
      <c r="E12" s="7" t="s">
        <v>186</v>
      </c>
      <c r="F12" s="63" t="s">
        <v>190</v>
      </c>
      <c r="G12" s="63"/>
      <c r="H12" s="27">
        <f t="shared" ref="H12:H15" si="0">D12/$D$10</f>
        <v>0</v>
      </c>
      <c r="I12" s="7" t="s">
        <v>326</v>
      </c>
    </row>
    <row r="13" spans="1:14" ht="18" customHeight="1">
      <c r="A13" s="63" t="s">
        <v>192</v>
      </c>
      <c r="B13" s="63"/>
      <c r="C13" s="63"/>
      <c r="D13" s="13">
        <f>_xlfn.IFNA(VLOOKUP(封面!B1,'2020决算导出'!A:H,8,FALSE),"")</f>
        <v>0</v>
      </c>
      <c r="E13" s="7" t="s">
        <v>186</v>
      </c>
      <c r="F13" s="63" t="s">
        <v>190</v>
      </c>
      <c r="G13" s="63"/>
      <c r="H13" s="27">
        <f t="shared" si="0"/>
        <v>0</v>
      </c>
      <c r="I13" s="7" t="s">
        <v>326</v>
      </c>
    </row>
    <row r="14" spans="1:14" ht="18" customHeight="1">
      <c r="A14" s="63" t="s">
        <v>193</v>
      </c>
      <c r="B14" s="63"/>
      <c r="C14" s="63"/>
      <c r="D14" s="13">
        <f>_xlfn.IFNA(VLOOKUP(封面!B1,'2020决算导出'!A:I,9,FALSE),"")</f>
        <v>0</v>
      </c>
      <c r="E14" s="7" t="s">
        <v>186</v>
      </c>
      <c r="F14" s="63" t="s">
        <v>190</v>
      </c>
      <c r="G14" s="63"/>
      <c r="H14" s="27">
        <f t="shared" si="0"/>
        <v>0</v>
      </c>
      <c r="I14" s="7" t="s">
        <v>326</v>
      </c>
    </row>
    <row r="15" spans="1:14" ht="18" customHeight="1">
      <c r="A15" s="63" t="s">
        <v>194</v>
      </c>
      <c r="B15" s="63"/>
      <c r="C15" s="63"/>
      <c r="D15" s="13">
        <f>_xlfn.IFNA(VLOOKUP(封面!B1,'2020决算导出'!A:J,10,FALSE),"")</f>
        <v>0</v>
      </c>
      <c r="E15" s="7" t="s">
        <v>186</v>
      </c>
      <c r="F15" s="63" t="s">
        <v>190</v>
      </c>
      <c r="G15" s="63"/>
      <c r="H15" s="27">
        <f t="shared" si="0"/>
        <v>0</v>
      </c>
      <c r="I15" s="7" t="s">
        <v>327</v>
      </c>
    </row>
    <row r="16" spans="1:14" ht="18" customHeight="1">
      <c r="A16" s="7" t="s">
        <v>195</v>
      </c>
    </row>
    <row r="17" spans="1:13" ht="18" customHeight="1">
      <c r="A17" s="63" t="s">
        <v>196</v>
      </c>
      <c r="B17" s="63"/>
      <c r="C17" s="63"/>
      <c r="D17" s="13">
        <f>_xlfn.IFNA(VLOOKUP(封面!B1,'2020决算导出'!A:K,11,FALSE),"")</f>
        <v>7981625.6600000001</v>
      </c>
      <c r="E17" s="7" t="s">
        <v>186</v>
      </c>
      <c r="F17" s="18" t="s">
        <v>260</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1907084.5200000005</v>
      </c>
      <c r="I17" s="7" t="s">
        <v>186</v>
      </c>
      <c r="J17" s="28" t="str">
        <f>IF(ISNA(VLOOKUP(封面!B1,'2019决算导出'!A:E,5,FALSE)),"",IF(D17-VLOOKUP(封面!B1,'2019决算导出'!A:E,5,FALSE)&gt;0,"增长","下降"))</f>
        <v>增长</v>
      </c>
      <c r="K17" s="29">
        <f>IF(ISNA(VLOOKUP(封面!B1,'2019决算导出'!A:E,5,FALSE)),"",H17/VLOOKUP(封面!B1,'2019决算导出'!A:E,5,FALSE))</f>
        <v>0.31394709098965795</v>
      </c>
      <c r="L17" s="7" t="s">
        <v>328</v>
      </c>
    </row>
    <row r="18" spans="1:13" ht="18" customHeight="1">
      <c r="A18" s="63" t="s">
        <v>197</v>
      </c>
      <c r="B18" s="63"/>
      <c r="C18" s="63"/>
      <c r="D18" s="13">
        <f>_xlfn.IFNA(VLOOKUP(封面!B1,'2020决算导出'!A:L,12,FALSE),"")</f>
        <v>5632253.1399999997</v>
      </c>
      <c r="E18" s="7" t="s">
        <v>186</v>
      </c>
      <c r="F18" s="63" t="s">
        <v>198</v>
      </c>
      <c r="G18" s="63"/>
      <c r="H18" s="27">
        <f>D18/$D$17</f>
        <v>0.70565237959305638</v>
      </c>
      <c r="I18" s="7" t="s">
        <v>326</v>
      </c>
    </row>
    <row r="19" spans="1:13" ht="18" customHeight="1">
      <c r="A19" s="63" t="s">
        <v>199</v>
      </c>
      <c r="B19" s="63"/>
      <c r="C19" s="63"/>
      <c r="D19" s="13">
        <f>_xlfn.IFNA(VLOOKUP(封面!B1,'2020决算导出'!A:M,13,FALSE),"")</f>
        <v>2349372.52</v>
      </c>
      <c r="E19" s="7" t="s">
        <v>186</v>
      </c>
      <c r="F19" s="63" t="s">
        <v>198</v>
      </c>
      <c r="G19" s="63"/>
      <c r="H19" s="27">
        <f t="shared" ref="H19:H20" si="1">D19/$D$17</f>
        <v>0.29434762040694351</v>
      </c>
      <c r="I19" s="7" t="s">
        <v>326</v>
      </c>
    </row>
    <row r="20" spans="1:13" ht="18" customHeight="1">
      <c r="A20" s="63" t="s">
        <v>200</v>
      </c>
      <c r="B20" s="63"/>
      <c r="C20" s="63"/>
      <c r="D20" s="13">
        <f>_xlfn.IFNA(VLOOKUP(封面!B1,'2020决算导出'!A:N,14,FALSE),"")</f>
        <v>0</v>
      </c>
      <c r="E20" s="7" t="s">
        <v>186</v>
      </c>
      <c r="F20" s="63" t="s">
        <v>198</v>
      </c>
      <c r="G20" s="63"/>
      <c r="H20" s="27">
        <f t="shared" si="1"/>
        <v>0</v>
      </c>
      <c r="I20" s="7" t="s">
        <v>327</v>
      </c>
    </row>
    <row r="21" spans="1:13" ht="18" customHeight="1">
      <c r="A21" s="6" t="s">
        <v>201</v>
      </c>
    </row>
    <row r="22" spans="1:13" ht="18" customHeight="1">
      <c r="A22" s="63" t="s">
        <v>202</v>
      </c>
      <c r="B22" s="63"/>
      <c r="C22" s="63"/>
      <c r="D22" s="63"/>
      <c r="E22" s="57">
        <f>_xlfn.IFNA(VLOOKUP(封面!B1,'2020决算导出'!A:O,15,FALSE),"")</f>
        <v>7931625.6600000001</v>
      </c>
      <c r="F22" s="57"/>
      <c r="G22" s="14" t="s">
        <v>260</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2176173.7999999998</v>
      </c>
      <c r="J22" s="7" t="s">
        <v>186</v>
      </c>
      <c r="K22" s="28" t="str">
        <f>IF(ISNA(VLOOKUP(封面!B1,'2019决算导出'!A:F,6,FALSE)),"",IF(E22-VLOOKUP(封面!B1,'2019决算导出'!A:F,6,FALSE)&gt;0,"增长","下降"))</f>
        <v>增长</v>
      </c>
      <c r="L22" s="29">
        <f>IF(ISNA(VLOOKUP(封面!B1,'2019决算导出'!A:F,6,FALSE)),"",I22/VLOOKUP(封面!B1,'2019决算导出'!A:F,6,FALSE))</f>
        <v>0.378106507175268</v>
      </c>
      <c r="M22" s="7" t="s">
        <v>324</v>
      </c>
    </row>
    <row r="23" spans="1:13" ht="63.6" customHeight="1">
      <c r="B23" s="64" t="s">
        <v>439</v>
      </c>
      <c r="C23" s="64"/>
      <c r="D23" s="64"/>
      <c r="E23" s="64"/>
      <c r="F23" s="64"/>
      <c r="G23" s="64"/>
      <c r="H23" s="64"/>
      <c r="I23" s="64"/>
      <c r="J23" s="64"/>
      <c r="K23" s="64"/>
      <c r="L23" s="64"/>
      <c r="M23" s="64"/>
    </row>
    <row r="24" spans="1:13" ht="18" customHeight="1">
      <c r="A24" s="6" t="s">
        <v>203</v>
      </c>
    </row>
    <row r="25" spans="1:13" ht="18" customHeight="1">
      <c r="A25" s="7" t="s">
        <v>204</v>
      </c>
    </row>
    <row r="26" spans="1:13" ht="18" customHeight="1">
      <c r="A26" s="63" t="s">
        <v>205</v>
      </c>
      <c r="B26" s="63"/>
      <c r="C26" s="63"/>
      <c r="D26" s="63"/>
      <c r="E26" s="63"/>
      <c r="F26" s="57">
        <f>_xlfn.IFNA(VLOOKUP(封面!B1,'2020决算导出'!A:P,16,FALSE),"")</f>
        <v>7931625.6600000001</v>
      </c>
      <c r="G26" s="57"/>
      <c r="H26" s="7" t="s">
        <v>186</v>
      </c>
      <c r="I26" s="10" t="s">
        <v>206</v>
      </c>
      <c r="J26" s="10"/>
      <c r="K26" s="10"/>
      <c r="L26" s="10"/>
      <c r="M26" s="10"/>
    </row>
    <row r="27" spans="1:13" ht="18" customHeight="1">
      <c r="A27" s="63" t="s">
        <v>209</v>
      </c>
      <c r="B27" s="63"/>
      <c r="C27" s="63"/>
      <c r="D27" s="57">
        <f>_xlfn.IFNA(VLOOKUP(封面!B1,'2020决算导出'!A:Q,17,FALSE),"")</f>
        <v>6246264.9100000001</v>
      </c>
      <c r="E27" s="57"/>
      <c r="F27" s="7" t="s">
        <v>186</v>
      </c>
      <c r="G27" s="60" t="s">
        <v>208</v>
      </c>
      <c r="H27" s="60"/>
      <c r="I27" s="27">
        <f>D27/$F$26</f>
        <v>0.78751383105490635</v>
      </c>
      <c r="J27" s="7" t="s">
        <v>326</v>
      </c>
      <c r="K27" s="9"/>
      <c r="L27" s="9"/>
      <c r="M27" s="9"/>
    </row>
    <row r="28" spans="1:13" ht="18" customHeight="1">
      <c r="A28" s="63" t="s">
        <v>210</v>
      </c>
      <c r="B28" s="63"/>
      <c r="C28" s="63"/>
      <c r="D28" s="57">
        <f>_xlfn.IFNA(VLOOKUP(封面!B1,'2020决算导出'!A:R,18,FALSE),"")</f>
        <v>0</v>
      </c>
      <c r="E28" s="57"/>
      <c r="F28" s="7" t="s">
        <v>186</v>
      </c>
      <c r="G28" s="60" t="s">
        <v>208</v>
      </c>
      <c r="H28" s="60"/>
      <c r="I28" s="27">
        <f t="shared" ref="I28:I33" si="2">D28/$F$26</f>
        <v>0</v>
      </c>
      <c r="J28" s="7" t="s">
        <v>326</v>
      </c>
      <c r="K28" s="9"/>
      <c r="L28" s="9"/>
      <c r="M28" s="9"/>
    </row>
    <row r="29" spans="1:13" ht="18" customHeight="1">
      <c r="A29" s="63" t="s">
        <v>207</v>
      </c>
      <c r="B29" s="63"/>
      <c r="C29" s="63"/>
      <c r="D29" s="57">
        <f>_xlfn.IFNA(VLOOKUP(封面!B1,'2020决算导出'!A:S,19,FALSE),"")</f>
        <v>518253.84</v>
      </c>
      <c r="E29" s="57"/>
      <c r="F29" s="7" t="s">
        <v>186</v>
      </c>
      <c r="G29" s="60" t="s">
        <v>208</v>
      </c>
      <c r="H29" s="60"/>
      <c r="I29" s="27">
        <f t="shared" si="2"/>
        <v>6.5340178951410574E-2</v>
      </c>
      <c r="J29" s="7" t="s">
        <v>326</v>
      </c>
    </row>
    <row r="30" spans="1:13" ht="18" customHeight="1">
      <c r="A30" s="63" t="s">
        <v>211</v>
      </c>
      <c r="B30" s="63"/>
      <c r="C30" s="63"/>
      <c r="D30" s="57">
        <f>_xlfn.IFNA(VLOOKUP(封面!B1,'2020决算导出'!A:T,20,FALSE),"")</f>
        <v>339691.91</v>
      </c>
      <c r="E30" s="57"/>
      <c r="F30" s="7" t="s">
        <v>186</v>
      </c>
      <c r="G30" s="60" t="s">
        <v>208</v>
      </c>
      <c r="H30" s="60"/>
      <c r="I30" s="27">
        <f t="shared" si="2"/>
        <v>4.2827526734286143E-2</v>
      </c>
      <c r="J30" s="7" t="s">
        <v>326</v>
      </c>
    </row>
    <row r="31" spans="1:13" ht="18" customHeight="1">
      <c r="A31" s="63" t="s">
        <v>212</v>
      </c>
      <c r="B31" s="63"/>
      <c r="C31" s="63"/>
      <c r="D31" s="57">
        <f>_xlfn.IFNA(VLOOKUP(封面!B1,'2020决算导出'!A:U,21,FALSE),"")</f>
        <v>0</v>
      </c>
      <c r="E31" s="57"/>
      <c r="F31" s="7" t="s">
        <v>186</v>
      </c>
      <c r="G31" s="60" t="s">
        <v>208</v>
      </c>
      <c r="H31" s="60"/>
      <c r="I31" s="27">
        <f t="shared" si="2"/>
        <v>0</v>
      </c>
      <c r="J31" s="7" t="s">
        <v>326</v>
      </c>
    </row>
    <row r="32" spans="1:13" ht="18" customHeight="1">
      <c r="A32" s="63" t="s">
        <v>213</v>
      </c>
      <c r="B32" s="63"/>
      <c r="C32" s="63"/>
      <c r="D32" s="57">
        <f>_xlfn.IFNA(VLOOKUP(封面!B1,'2020决算导出'!A:V,22,FALSE),"")</f>
        <v>0</v>
      </c>
      <c r="E32" s="57"/>
      <c r="F32" s="7" t="s">
        <v>186</v>
      </c>
      <c r="G32" s="60" t="s">
        <v>208</v>
      </c>
      <c r="H32" s="60"/>
      <c r="I32" s="27">
        <f t="shared" si="2"/>
        <v>0</v>
      </c>
      <c r="J32" s="7" t="s">
        <v>326</v>
      </c>
    </row>
    <row r="33" spans="1:12" ht="18" customHeight="1">
      <c r="A33" s="63" t="s">
        <v>214</v>
      </c>
      <c r="B33" s="63"/>
      <c r="C33" s="63"/>
      <c r="D33" s="57">
        <f>_xlfn.IFNA(VLOOKUP(封面!B1,'2020决算导出'!A:W,23,FALSE),"")</f>
        <v>827415</v>
      </c>
      <c r="E33" s="57"/>
      <c r="F33" s="7" t="s">
        <v>186</v>
      </c>
      <c r="G33" s="60" t="s">
        <v>208</v>
      </c>
      <c r="H33" s="60"/>
      <c r="I33" s="27">
        <f t="shared" si="2"/>
        <v>0.10431846325939693</v>
      </c>
      <c r="J33" s="7" t="s">
        <v>327</v>
      </c>
    </row>
    <row r="34" spans="1:12" ht="18" customHeight="1">
      <c r="A34" s="7" t="s">
        <v>215</v>
      </c>
    </row>
    <row r="35" spans="1:12" ht="18" customHeight="1">
      <c r="A35" s="62" t="s">
        <v>425</v>
      </c>
      <c r="B35" s="62"/>
      <c r="C35" s="62"/>
      <c r="D35" s="62"/>
      <c r="E35" s="57">
        <f>_xlfn.IFNA(VLOOKUP(封面!B1,一般公共预算财政拨款支出决算具体情况!A:C,3,FALSE),"")</f>
        <v>6246264.9100000001</v>
      </c>
      <c r="F35" s="57"/>
      <c r="G35" s="7" t="s">
        <v>186</v>
      </c>
      <c r="H35" s="60" t="s">
        <v>216</v>
      </c>
      <c r="I35" s="60"/>
      <c r="J35" s="57">
        <f>_xlfn.IFNA(VLOOKUP(封面!B1,一般公共预算财政拨款支出决算具体情况!A:D,4,FALSE),"")</f>
        <v>4595995.51</v>
      </c>
      <c r="K35" s="57"/>
      <c r="L35" s="11" t="s">
        <v>185</v>
      </c>
    </row>
    <row r="36" spans="1:12" ht="18" customHeight="1">
      <c r="B36" s="14" t="str">
        <f>IF(E35&gt;J35,"增加","减少")</f>
        <v>增加</v>
      </c>
      <c r="C36" s="57">
        <f>ABS(E35-J35)</f>
        <v>1650269.4000000004</v>
      </c>
      <c r="D36" s="57"/>
      <c r="E36" s="7" t="s">
        <v>186</v>
      </c>
      <c r="F36" s="14" t="str">
        <f>IF(E35&gt;J35,"增长","下降")</f>
        <v>增长</v>
      </c>
      <c r="G36" s="32">
        <f>C36/J35</f>
        <v>0.35906679987161266</v>
      </c>
      <c r="H36" s="7" t="s">
        <v>327</v>
      </c>
      <c r="I36" s="11" t="s">
        <v>217</v>
      </c>
    </row>
    <row r="37" spans="1:12" ht="18" customHeight="1">
      <c r="A37" s="63" t="s">
        <v>218</v>
      </c>
      <c r="B37" s="63"/>
      <c r="C37" s="63"/>
      <c r="D37" s="63"/>
      <c r="E37" s="57">
        <f>_xlfn.IFNA(VLOOKUP(封面!B1,一般公共预算财政拨款支出决算具体情况!A:E,5,FALSE),"")</f>
        <v>6246264.9100000001</v>
      </c>
      <c r="F37" s="57"/>
      <c r="G37" s="7" t="s">
        <v>186</v>
      </c>
      <c r="H37" s="60" t="s">
        <v>216</v>
      </c>
      <c r="I37" s="60"/>
      <c r="J37" s="57">
        <f>_xlfn.IFNA(VLOOKUP(封面!B1,一般公共预算财政拨款支出决算具体情况!A:F,6,FALSE),"")</f>
        <v>4583995.51</v>
      </c>
      <c r="K37" s="57"/>
      <c r="L37" s="11" t="s">
        <v>185</v>
      </c>
    </row>
    <row r="38" spans="1:12" ht="18" customHeight="1">
      <c r="A38" s="14"/>
      <c r="B38" s="14" t="str">
        <f>IF(E37&gt;J37,"增加","减少")</f>
        <v>增加</v>
      </c>
      <c r="C38" s="57">
        <f>ABS(E37-J37)</f>
        <v>1662269.4000000004</v>
      </c>
      <c r="D38" s="57"/>
      <c r="E38" s="7" t="s">
        <v>186</v>
      </c>
      <c r="F38" s="14" t="str">
        <f>IF(E37&gt;J37,"增长","下降")</f>
        <v>增长</v>
      </c>
      <c r="G38" s="32">
        <f>C38/J37</f>
        <v>0.36262456984823715</v>
      </c>
      <c r="H38" s="7" t="s">
        <v>327</v>
      </c>
    </row>
    <row r="39" spans="1:12" ht="36" customHeight="1">
      <c r="B39" s="58" t="s">
        <v>439</v>
      </c>
      <c r="C39" s="58"/>
      <c r="D39" s="58"/>
      <c r="E39" s="58"/>
      <c r="F39" s="58"/>
      <c r="G39" s="58"/>
      <c r="H39" s="58"/>
      <c r="I39" s="58"/>
      <c r="J39" s="58"/>
      <c r="K39" s="58"/>
      <c r="L39" s="58"/>
    </row>
    <row r="40" spans="1:12" ht="18" customHeight="1">
      <c r="A40" s="63" t="s">
        <v>219</v>
      </c>
      <c r="B40" s="63"/>
      <c r="C40" s="63"/>
      <c r="D40" s="63"/>
      <c r="E40" s="57">
        <f>_xlfn.IFNA(VLOOKUP(封面!B1,一般公共预算财政拨款支出决算具体情况!A:M,13,FALSE),"")</f>
        <v>0</v>
      </c>
      <c r="F40" s="57"/>
      <c r="G40" s="7" t="s">
        <v>186</v>
      </c>
      <c r="H40" s="60" t="s">
        <v>216</v>
      </c>
      <c r="I40" s="60"/>
      <c r="J40" s="57">
        <f>_xlfn.IFNA(VLOOKUP(封面!B1,一般公共预算财政拨款支出决算具体情况!A:N,14,FALSE),"")</f>
        <v>12000</v>
      </c>
      <c r="K40" s="57"/>
      <c r="L40" s="11" t="s">
        <v>185</v>
      </c>
    </row>
    <row r="41" spans="1:12" ht="18" customHeight="1">
      <c r="A41" s="14"/>
      <c r="B41" s="14" t="str">
        <f>IF(E40&gt;J40,"增加","减少")</f>
        <v>减少</v>
      </c>
      <c r="C41" s="57">
        <f>ABS(E40-J40)</f>
        <v>12000</v>
      </c>
      <c r="D41" s="57"/>
      <c r="E41" s="7" t="s">
        <v>186</v>
      </c>
      <c r="F41" s="14" t="str">
        <f>IF(E40&gt;J40,"增长","下降")</f>
        <v>下降</v>
      </c>
      <c r="G41" s="32">
        <f>C41/J40</f>
        <v>1</v>
      </c>
      <c r="H41" s="7" t="s">
        <v>327</v>
      </c>
    </row>
    <row r="42" spans="1:12" ht="36" customHeight="1">
      <c r="B42" s="58" t="s">
        <v>435</v>
      </c>
      <c r="C42" s="58"/>
      <c r="D42" s="58"/>
      <c r="E42" s="58"/>
      <c r="F42" s="58"/>
      <c r="G42" s="58"/>
      <c r="H42" s="58"/>
      <c r="I42" s="58"/>
      <c r="J42" s="58"/>
      <c r="K42" s="58"/>
      <c r="L42" s="58"/>
    </row>
    <row r="43" spans="1:12" ht="18" customHeight="1">
      <c r="A43" s="61" t="s">
        <v>426</v>
      </c>
      <c r="B43" s="61"/>
      <c r="C43" s="61"/>
      <c r="D43" s="61"/>
      <c r="E43" s="57">
        <f>_xlfn.IFNA(VLOOKUP(封面!B1,一般公共预算财政拨款支出决算具体情况!A:Q,17,FALSE),"")</f>
        <v>0</v>
      </c>
      <c r="F43" s="57"/>
      <c r="G43" s="7" t="s">
        <v>186</v>
      </c>
      <c r="H43" s="62" t="s">
        <v>433</v>
      </c>
      <c r="I43" s="62"/>
      <c r="J43" s="62"/>
      <c r="K43" s="62"/>
      <c r="L43" s="11"/>
    </row>
    <row r="44" spans="1:12" ht="18" customHeight="1">
      <c r="A44" s="61" t="s">
        <v>427</v>
      </c>
      <c r="B44" s="61"/>
      <c r="C44" s="61"/>
      <c r="D44" s="61"/>
      <c r="E44" s="57">
        <f>_xlfn.IFNA(VLOOKUP(封面!B1,一般公共预算财政拨款支出决算具体情况!A:U,21,FALSE),"")</f>
        <v>518253.83999999997</v>
      </c>
      <c r="F44" s="57"/>
      <c r="G44" s="7" t="s">
        <v>186</v>
      </c>
      <c r="H44" s="60" t="s">
        <v>216</v>
      </c>
      <c r="I44" s="60"/>
      <c r="J44" s="57">
        <f>_xlfn.IFNA(VLOOKUP(封面!B1,一般公共预算财政拨款支出决算具体情况!A:V,22,FALSE),"")</f>
        <v>546976.24</v>
      </c>
      <c r="K44" s="57"/>
      <c r="L44" s="11" t="s">
        <v>185</v>
      </c>
    </row>
    <row r="45" spans="1:12" ht="18" customHeight="1">
      <c r="B45" s="14" t="str">
        <f>IF(E44&gt;J44,"增加","减少")</f>
        <v>减少</v>
      </c>
      <c r="C45" s="57">
        <f>ABS(E44-J44)</f>
        <v>28722.400000000023</v>
      </c>
      <c r="D45" s="57"/>
      <c r="E45" s="7" t="s">
        <v>186</v>
      </c>
      <c r="F45" s="14" t="str">
        <f>IF(E44&gt;J44,"增长","下降")</f>
        <v>下降</v>
      </c>
      <c r="G45" s="32">
        <f>C45/J44</f>
        <v>5.2511238879407313E-2</v>
      </c>
      <c r="H45" s="7" t="s">
        <v>327</v>
      </c>
      <c r="I45" s="11" t="s">
        <v>217</v>
      </c>
    </row>
    <row r="46" spans="1:12" ht="18" customHeight="1">
      <c r="A46" s="59" t="s">
        <v>221</v>
      </c>
      <c r="B46" s="59"/>
      <c r="C46" s="59"/>
      <c r="D46" s="59"/>
      <c r="E46" s="57">
        <f>_xlfn.IFNA(VLOOKUP(封面!B1,一般公共预算财政拨款支出决算具体情况!A:W,23,FALSE),"")</f>
        <v>518253.83999999997</v>
      </c>
      <c r="F46" s="57"/>
      <c r="G46" s="7" t="s">
        <v>186</v>
      </c>
      <c r="H46" s="60" t="s">
        <v>216</v>
      </c>
      <c r="I46" s="60"/>
      <c r="J46" s="57">
        <f>_xlfn.IFNA(VLOOKUP(封面!B1,一般公共预算财政拨款支出决算具体情况!A:X,24,FALSE),"")</f>
        <v>546976.24</v>
      </c>
      <c r="K46" s="57"/>
      <c r="L46" s="11" t="s">
        <v>185</v>
      </c>
    </row>
    <row r="47" spans="1:12" ht="18" customHeight="1">
      <c r="A47" s="14"/>
      <c r="B47" s="14" t="str">
        <f>IF(E46&gt;J46,"增加","减少")</f>
        <v>减少</v>
      </c>
      <c r="C47" s="57">
        <f>ABS(E46-J46)</f>
        <v>28722.400000000023</v>
      </c>
      <c r="D47" s="57"/>
      <c r="E47" s="7" t="s">
        <v>186</v>
      </c>
      <c r="F47" s="14" t="str">
        <f>IF(E46&gt;J46,"增长","下降")</f>
        <v>下降</v>
      </c>
      <c r="G47" s="32">
        <f>C47/J46</f>
        <v>5.2511238879407313E-2</v>
      </c>
      <c r="H47" s="7" t="s">
        <v>327</v>
      </c>
    </row>
    <row r="48" spans="1:12" ht="36" customHeight="1">
      <c r="B48" s="58" t="s">
        <v>432</v>
      </c>
      <c r="C48" s="58"/>
      <c r="D48" s="58"/>
      <c r="E48" s="58"/>
      <c r="F48" s="58"/>
      <c r="G48" s="58"/>
      <c r="H48" s="58"/>
      <c r="I48" s="58"/>
      <c r="J48" s="58"/>
      <c r="K48" s="58"/>
      <c r="L48" s="58"/>
    </row>
    <row r="49" spans="1:12" ht="18" customHeight="1">
      <c r="A49" s="61" t="s">
        <v>428</v>
      </c>
      <c r="B49" s="61"/>
      <c r="C49" s="61"/>
      <c r="D49" s="61"/>
      <c r="E49" s="57">
        <f>_xlfn.IFNA(VLOOKUP(封面!B1,一般公共预算财政拨款支出决算具体情况!A:AA,27,FALSE),"")</f>
        <v>339691.91</v>
      </c>
      <c r="F49" s="57"/>
      <c r="G49" s="7" t="s">
        <v>186</v>
      </c>
      <c r="H49" s="60" t="s">
        <v>216</v>
      </c>
      <c r="I49" s="60"/>
      <c r="J49" s="57">
        <f>_xlfn.IFNA(VLOOKUP(封面!B1,一般公共预算财政拨款支出决算具体情况!A:AB,28,FALSE),"")</f>
        <v>283565.88</v>
      </c>
      <c r="K49" s="57"/>
      <c r="L49" s="11" t="s">
        <v>185</v>
      </c>
    </row>
    <row r="50" spans="1:12" ht="18" customHeight="1">
      <c r="B50" s="14" t="str">
        <f>IF(E49&gt;J49,"增加","减少")</f>
        <v>增加</v>
      </c>
      <c r="C50" s="57">
        <f>ABS(E49-J49)</f>
        <v>56126.02999999997</v>
      </c>
      <c r="D50" s="57"/>
      <c r="E50" s="7" t="s">
        <v>186</v>
      </c>
      <c r="F50" s="14" t="str">
        <f>IF(E49&gt;J49,"增长","下降")</f>
        <v>增长</v>
      </c>
      <c r="G50" s="32">
        <f>C50/J49</f>
        <v>0.19792941943508849</v>
      </c>
      <c r="H50" s="7" t="s">
        <v>327</v>
      </c>
      <c r="I50" s="11" t="s">
        <v>217</v>
      </c>
    </row>
    <row r="51" spans="1:12" ht="18" customHeight="1">
      <c r="A51" s="59" t="s">
        <v>222</v>
      </c>
      <c r="B51" s="59"/>
      <c r="C51" s="59"/>
      <c r="D51" s="59"/>
      <c r="E51" s="57">
        <f>_xlfn.IFNA(VLOOKUP(封面!B1,一般公共预算财政拨款支出决算具体情况!A:AC,29,FALSE),"")</f>
        <v>339691.91</v>
      </c>
      <c r="F51" s="57"/>
      <c r="G51" s="7" t="s">
        <v>186</v>
      </c>
      <c r="H51" s="60" t="s">
        <v>216</v>
      </c>
      <c r="I51" s="60"/>
      <c r="J51" s="57">
        <f>_xlfn.IFNA(VLOOKUP(封面!B1,一般公共预算财政拨款支出决算具体情况!A:AD,30,FALSE),"")</f>
        <v>283565.88</v>
      </c>
      <c r="K51" s="57"/>
      <c r="L51" s="11" t="s">
        <v>185</v>
      </c>
    </row>
    <row r="52" spans="1:12" ht="18" customHeight="1">
      <c r="A52" s="14"/>
      <c r="B52" s="14" t="str">
        <f>IF(E51&gt;J51,"增加","减少")</f>
        <v>增加</v>
      </c>
      <c r="C52" s="57">
        <f>ABS(E51-J51)</f>
        <v>56126.02999999997</v>
      </c>
      <c r="D52" s="57"/>
      <c r="E52" s="7" t="s">
        <v>186</v>
      </c>
      <c r="F52" s="14" t="str">
        <f>IF(E51&gt;J51,"增长","下降")</f>
        <v>增长</v>
      </c>
      <c r="G52" s="32">
        <f>C52/J51</f>
        <v>0.19792941943508849</v>
      </c>
      <c r="H52" s="7" t="s">
        <v>327</v>
      </c>
    </row>
    <row r="53" spans="1:12" ht="36" customHeight="1">
      <c r="B53" s="58" t="s">
        <v>434</v>
      </c>
      <c r="C53" s="58"/>
      <c r="D53" s="58"/>
      <c r="E53" s="58"/>
      <c r="F53" s="58"/>
      <c r="G53" s="58"/>
      <c r="H53" s="58"/>
      <c r="I53" s="58"/>
      <c r="J53" s="58"/>
      <c r="K53" s="58"/>
      <c r="L53" s="58"/>
    </row>
    <row r="54" spans="1:12" ht="18" customHeight="1">
      <c r="A54" s="61" t="s">
        <v>429</v>
      </c>
      <c r="B54" s="61"/>
      <c r="C54" s="61"/>
      <c r="D54" s="61"/>
      <c r="E54" s="57">
        <f>_xlfn.IFNA(VLOOKUP(封面!B1,一般公共预算财政拨款支出决算具体情况!A:AE,31,FALSE),"")</f>
        <v>0</v>
      </c>
      <c r="F54" s="57"/>
      <c r="G54" s="7" t="s">
        <v>186</v>
      </c>
      <c r="H54" s="62" t="s">
        <v>220</v>
      </c>
      <c r="I54" s="62"/>
      <c r="J54" s="62"/>
      <c r="K54" s="62"/>
      <c r="L54" s="11"/>
    </row>
    <row r="55" spans="1:12" ht="18" customHeight="1">
      <c r="A55" s="61" t="s">
        <v>430</v>
      </c>
      <c r="B55" s="61"/>
      <c r="C55" s="61"/>
      <c r="D55" s="61"/>
      <c r="E55" s="57">
        <f>_xlfn.IFNA(VLOOKUP(封面!B1,一般公共预算财政拨款支出决算具体情况!A:AI,35,FALSE),"")</f>
        <v>0</v>
      </c>
      <c r="F55" s="57"/>
      <c r="G55" s="7" t="s">
        <v>186</v>
      </c>
      <c r="H55" s="62" t="s">
        <v>220</v>
      </c>
      <c r="I55" s="62"/>
      <c r="J55" s="62"/>
      <c r="K55" s="62"/>
      <c r="L55" s="11"/>
    </row>
    <row r="56" spans="1:12" ht="18" customHeight="1">
      <c r="A56" s="61" t="s">
        <v>431</v>
      </c>
      <c r="B56" s="61"/>
      <c r="C56" s="61"/>
      <c r="D56" s="61"/>
      <c r="E56" s="57">
        <f>_xlfn.IFNA(VLOOKUP(封面!B1,一般公共预算财政拨款支出决算具体情况!A:AM,39,FALSE),"")</f>
        <v>827415</v>
      </c>
      <c r="F56" s="57"/>
      <c r="G56" s="7" t="s">
        <v>186</v>
      </c>
      <c r="H56" s="60" t="s">
        <v>216</v>
      </c>
      <c r="I56" s="60"/>
      <c r="J56" s="57">
        <f>_xlfn.IFNA(VLOOKUP(封面!B1,一般公共预算财政拨款支出决算具体情况!A:AN,40,FALSE),"")</f>
        <v>756297.12</v>
      </c>
      <c r="K56" s="57"/>
      <c r="L56" s="11" t="s">
        <v>185</v>
      </c>
    </row>
    <row r="57" spans="1:12" ht="18" customHeight="1">
      <c r="B57" s="14" t="str">
        <f>IF(E56&gt;J56,"增加","减少")</f>
        <v>增加</v>
      </c>
      <c r="C57" s="57">
        <f>ABS(E56-J56)</f>
        <v>71117.88</v>
      </c>
      <c r="D57" s="57"/>
      <c r="E57" s="7" t="s">
        <v>186</v>
      </c>
      <c r="F57" s="14" t="str">
        <f>IF(E56&gt;J56,"增长","下降")</f>
        <v>增长</v>
      </c>
      <c r="G57" s="32">
        <f>C57/J56</f>
        <v>9.4034312863706268E-2</v>
      </c>
      <c r="H57" s="7" t="s">
        <v>327</v>
      </c>
      <c r="I57" s="11" t="s">
        <v>217</v>
      </c>
    </row>
    <row r="58" spans="1:12" ht="18" customHeight="1">
      <c r="A58" s="59" t="s">
        <v>223</v>
      </c>
      <c r="B58" s="59"/>
      <c r="C58" s="59"/>
      <c r="D58" s="59"/>
      <c r="E58" s="57">
        <f>_xlfn.IFNA(VLOOKUP(封面!B1,一般公共预算财政拨款支出决算具体情况!A:AO,41,FALSE),"")</f>
        <v>827415</v>
      </c>
      <c r="F58" s="57"/>
      <c r="G58" s="7" t="s">
        <v>186</v>
      </c>
      <c r="H58" s="60" t="s">
        <v>216</v>
      </c>
      <c r="I58" s="60"/>
      <c r="J58" s="57">
        <f>_xlfn.IFNA(VLOOKUP(封面!B1,一般公共预算财政拨款支出决算具体情况!A:AP,42,FALSE),"")</f>
        <v>756297.12</v>
      </c>
      <c r="K58" s="57"/>
      <c r="L58" s="11" t="s">
        <v>185</v>
      </c>
    </row>
    <row r="59" spans="1:12" ht="18" customHeight="1">
      <c r="A59" s="14"/>
      <c r="B59" s="14" t="str">
        <f>IF(E58&gt;J58,"增加","减少")</f>
        <v>增加</v>
      </c>
      <c r="C59" s="57">
        <f>ABS(E58-J58)</f>
        <v>71117.88</v>
      </c>
      <c r="D59" s="57"/>
      <c r="E59" s="7" t="s">
        <v>186</v>
      </c>
      <c r="F59" s="14" t="str">
        <f>IF(E58&gt;J58,"增长","下降")</f>
        <v>增长</v>
      </c>
      <c r="G59" s="32">
        <f>C59/J58</f>
        <v>9.4034312863706268E-2</v>
      </c>
      <c r="H59" s="7" t="s">
        <v>327</v>
      </c>
    </row>
    <row r="60" spans="1:12" ht="36" customHeight="1">
      <c r="B60" s="58" t="s">
        <v>434</v>
      </c>
      <c r="C60" s="58"/>
      <c r="D60" s="58"/>
      <c r="E60" s="58"/>
      <c r="F60" s="58"/>
      <c r="G60" s="58"/>
      <c r="H60" s="58"/>
      <c r="I60" s="58"/>
      <c r="J60" s="58"/>
      <c r="K60" s="58"/>
      <c r="L60" s="58"/>
    </row>
    <row r="61" spans="1:12" ht="18" customHeight="1">
      <c r="A61" s="6" t="s">
        <v>224</v>
      </c>
    </row>
    <row r="62" spans="1:12" ht="18" customHeight="1">
      <c r="A62" s="7" t="str">
        <f>IF(_xlfn.IFNA(VLOOKUP(封面!B1,'2020决算导出'!A:X,24,FALSE),"")=0,"本年度无此项支出。","")</f>
        <v>本年度无此项支出。</v>
      </c>
    </row>
    <row r="63" spans="1:12" ht="18" customHeight="1">
      <c r="A63" s="6" t="s">
        <v>225</v>
      </c>
    </row>
    <row r="64" spans="1:12" ht="18" customHeight="1">
      <c r="A64" s="7" t="s">
        <v>226</v>
      </c>
    </row>
    <row r="65" spans="1:13" ht="18" customHeight="1">
      <c r="A65" s="6" t="s">
        <v>227</v>
      </c>
    </row>
    <row r="66" spans="1:13" ht="18" customHeight="1">
      <c r="A66" s="7" t="s">
        <v>228</v>
      </c>
      <c r="G66" s="57">
        <f>_xlfn.IFNA(VLOOKUP(封面!B1,'2020决算导出'!A:AA,27,FALSE),"")</f>
        <v>5632253.1399999997</v>
      </c>
      <c r="H66" s="57"/>
      <c r="I66" s="11" t="s">
        <v>186</v>
      </c>
    </row>
    <row r="67" spans="1:13" ht="130.19999999999999" customHeight="1">
      <c r="A67" s="58" t="s">
        <v>229</v>
      </c>
      <c r="B67" s="58"/>
      <c r="C67" s="58"/>
      <c r="D67" s="58"/>
      <c r="E67" s="58"/>
      <c r="F67" s="58"/>
      <c r="G67" s="58"/>
      <c r="H67" s="58"/>
      <c r="I67" s="58"/>
      <c r="J67" s="58"/>
      <c r="K67" s="58"/>
      <c r="L67" s="58"/>
      <c r="M67" s="58"/>
    </row>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sheetData>
  <mergeCells count="109">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2:C32"/>
    <mergeCell ref="D32:E32"/>
    <mergeCell ref="G32:H32"/>
    <mergeCell ref="A33:C33"/>
    <mergeCell ref="D33:E33"/>
    <mergeCell ref="G33:H33"/>
    <mergeCell ref="A31:C31"/>
    <mergeCell ref="D31:E31"/>
    <mergeCell ref="G31:H31"/>
    <mergeCell ref="B39:L39"/>
    <mergeCell ref="C36:D36"/>
    <mergeCell ref="C38:D38"/>
    <mergeCell ref="A37:D37"/>
    <mergeCell ref="E37:F37"/>
    <mergeCell ref="H37:I37"/>
    <mergeCell ref="J37:K37"/>
    <mergeCell ref="A35:D35"/>
    <mergeCell ref="E35:F35"/>
    <mergeCell ref="H35:I35"/>
    <mergeCell ref="J35:K35"/>
    <mergeCell ref="C47:D47"/>
    <mergeCell ref="A43:D43"/>
    <mergeCell ref="E43:F43"/>
    <mergeCell ref="C41:D41"/>
    <mergeCell ref="B42:L42"/>
    <mergeCell ref="A40:D40"/>
    <mergeCell ref="E40:F40"/>
    <mergeCell ref="H40:I40"/>
    <mergeCell ref="J40:K40"/>
    <mergeCell ref="A44:D44"/>
    <mergeCell ref="E44:F44"/>
    <mergeCell ref="H44:I44"/>
    <mergeCell ref="J44:K44"/>
    <mergeCell ref="C45:D45"/>
    <mergeCell ref="A46:D46"/>
    <mergeCell ref="E46:F46"/>
    <mergeCell ref="H46:I46"/>
    <mergeCell ref="J46:K46"/>
    <mergeCell ref="J51:K51"/>
    <mergeCell ref="C52:D52"/>
    <mergeCell ref="B53:L53"/>
    <mergeCell ref="A49:D49"/>
    <mergeCell ref="E49:F49"/>
    <mergeCell ref="H49:I49"/>
    <mergeCell ref="J49:K49"/>
    <mergeCell ref="C50:D50"/>
    <mergeCell ref="B48:L48"/>
    <mergeCell ref="G66:H66"/>
    <mergeCell ref="A67:M67"/>
    <mergeCell ref="A4:M4"/>
    <mergeCell ref="B60:L60"/>
    <mergeCell ref="C57:D57"/>
    <mergeCell ref="A58:D58"/>
    <mergeCell ref="E58:F58"/>
    <mergeCell ref="H58:I58"/>
    <mergeCell ref="J58:K58"/>
    <mergeCell ref="C59:D59"/>
    <mergeCell ref="A56:D56"/>
    <mergeCell ref="E56:F56"/>
    <mergeCell ref="H56:I56"/>
    <mergeCell ref="J56:K56"/>
    <mergeCell ref="H54:K54"/>
    <mergeCell ref="H43:K43"/>
    <mergeCell ref="A55:D55"/>
    <mergeCell ref="E55:F55"/>
    <mergeCell ref="H55:K55"/>
    <mergeCell ref="A54:D54"/>
    <mergeCell ref="E54:F54"/>
    <mergeCell ref="A51:D51"/>
    <mergeCell ref="E51:F51"/>
    <mergeCell ref="H51:I5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N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549999999999997" customHeight="1">
      <c r="A1" s="55" t="s">
        <v>254</v>
      </c>
      <c r="B1" s="55"/>
      <c r="C1" s="55"/>
      <c r="D1" s="55"/>
      <c r="E1" s="55"/>
      <c r="F1" s="55"/>
      <c r="G1" s="55"/>
      <c r="H1" s="55"/>
      <c r="I1" s="55"/>
      <c r="J1" s="55"/>
      <c r="K1" s="55"/>
      <c r="L1" s="55"/>
      <c r="M1" s="55"/>
      <c r="N1" s="55"/>
    </row>
    <row r="2" spans="1:14" ht="18" customHeight="1">
      <c r="A2" s="6" t="s">
        <v>230</v>
      </c>
    </row>
    <row r="3" spans="1:14" ht="18" customHeight="1">
      <c r="A3" s="15" t="str">
        <f>IF(_xlfn.IFNA(VLOOKUP(封面!B1,'2020决算导出'!A:AB,28,FALSE),"")=0,"本年度无此项支出。","")</f>
        <v>本年度无此项支出。</v>
      </c>
    </row>
    <row r="4" spans="1:14" ht="18" customHeight="1">
      <c r="A4" s="6" t="s">
        <v>232</v>
      </c>
    </row>
    <row r="5" spans="1:14" ht="18" customHeight="1">
      <c r="A5" s="7" t="s">
        <v>233</v>
      </c>
    </row>
    <row r="6" spans="1:14" ht="18" customHeight="1">
      <c r="A6" s="6" t="s">
        <v>234</v>
      </c>
    </row>
    <row r="7" spans="1:14" ht="18" customHeight="1">
      <c r="A7" s="63" t="s">
        <v>235</v>
      </c>
      <c r="B7" s="63"/>
      <c r="C7" s="63"/>
      <c r="D7" s="63"/>
      <c r="E7" s="57">
        <f>_xlfn.IFNA(VLOOKUP(封面!B1,'2020决算导出'!A:AW,49,FALSE),"")</f>
        <v>1199501.29</v>
      </c>
      <c r="F7" s="57"/>
      <c r="G7" s="7" t="s">
        <v>186</v>
      </c>
      <c r="H7" s="63" t="s">
        <v>236</v>
      </c>
      <c r="I7" s="63"/>
      <c r="J7" s="63"/>
      <c r="K7" s="63"/>
      <c r="L7" s="57">
        <f>_xlfn.IFNA(VLOOKUP(封面!B1,'2020决算导出'!A:AX,50,FALSE),"")</f>
        <v>1141901.29</v>
      </c>
      <c r="M7" s="57" t="s">
        <v>186</v>
      </c>
      <c r="N7" s="7" t="s">
        <v>186</v>
      </c>
    </row>
    <row r="8" spans="1:14" ht="18" customHeight="1">
      <c r="A8" s="63" t="s">
        <v>237</v>
      </c>
      <c r="B8" s="63"/>
      <c r="C8" s="63"/>
      <c r="D8" s="57">
        <f>_xlfn.IFNA(VLOOKUP(封面!B1,'2020决算导出'!A:AY,51,FALSE),"")</f>
        <v>0</v>
      </c>
      <c r="E8" s="57" t="s">
        <v>186</v>
      </c>
      <c r="F8" s="7" t="s">
        <v>186</v>
      </c>
      <c r="G8" s="63" t="s">
        <v>238</v>
      </c>
      <c r="H8" s="63"/>
      <c r="I8" s="63"/>
      <c r="J8" s="57">
        <f>_xlfn.IFNA(VLOOKUP(封面!B1,'2020决算导出'!A:AZ,52,FALSE),"")</f>
        <v>57600</v>
      </c>
      <c r="K8" s="57" t="s">
        <v>186</v>
      </c>
      <c r="L8" s="7" t="s">
        <v>231</v>
      </c>
    </row>
    <row r="9" spans="1:14" ht="18" customHeight="1">
      <c r="A9" s="63" t="s">
        <v>239</v>
      </c>
      <c r="B9" s="63"/>
      <c r="C9" s="63"/>
      <c r="D9" s="63"/>
      <c r="E9" s="57">
        <f>_xlfn.IFNA(VLOOKUP(封面!B1,'2020决算导出'!A:BA,53,FALSE),"")</f>
        <v>0</v>
      </c>
      <c r="F9" s="57" t="s">
        <v>186</v>
      </c>
      <c r="G9" s="7" t="s">
        <v>186</v>
      </c>
      <c r="H9" s="60" t="s">
        <v>240</v>
      </c>
      <c r="I9" s="60"/>
      <c r="J9" s="60"/>
      <c r="K9" s="27">
        <f>E9/$E$7</f>
        <v>0</v>
      </c>
      <c r="L9" s="16" t="s">
        <v>325</v>
      </c>
      <c r="M9" s="7" t="s">
        <v>422</v>
      </c>
    </row>
    <row r="10" spans="1:14" ht="18" customHeight="1">
      <c r="A10" s="63" t="s">
        <v>241</v>
      </c>
      <c r="B10" s="63"/>
      <c r="C10" s="63"/>
      <c r="D10" s="63"/>
      <c r="E10" s="57">
        <f>_xlfn.IFNA(VLOOKUP(封面!B1,'2020决算导出'!A:BB,54,FALSE),"")</f>
        <v>0</v>
      </c>
      <c r="F10" s="57" t="s">
        <v>186</v>
      </c>
      <c r="G10" s="7" t="s">
        <v>186</v>
      </c>
      <c r="H10" s="60" t="s">
        <v>240</v>
      </c>
      <c r="I10" s="60"/>
      <c r="J10" s="60"/>
      <c r="K10" s="27">
        <f>E10/$E$7</f>
        <v>0</v>
      </c>
      <c r="L10" s="16" t="s">
        <v>327</v>
      </c>
    </row>
    <row r="11" spans="1:14" ht="18" customHeight="1">
      <c r="A11" s="6" t="s">
        <v>242</v>
      </c>
    </row>
    <row r="12" spans="1:14" ht="18" customHeight="1">
      <c r="A12" s="63" t="s">
        <v>243</v>
      </c>
      <c r="B12" s="63"/>
      <c r="C12" s="8">
        <f>_xlfn.IFNA(VLOOKUP(封面!B1,'2020决算导出'!A:BC,55,FALSE),"")</f>
        <v>0</v>
      </c>
      <c r="D12" s="7" t="s">
        <v>244</v>
      </c>
      <c r="M12" s="65">
        <f>_xlfn.IFNA(VLOOKUP(封面!B1,'2020决算导出'!A:BD,56,FALSE),"")</f>
        <v>0</v>
      </c>
      <c r="N12" s="65" t="s">
        <v>186</v>
      </c>
    </row>
    <row r="13" spans="1:14" ht="18" customHeight="1">
      <c r="A13" s="12" t="s">
        <v>245</v>
      </c>
      <c r="B13" s="63" t="s">
        <v>246</v>
      </c>
      <c r="C13" s="63"/>
      <c r="D13" s="63"/>
      <c r="E13" s="63"/>
      <c r="F13" s="63"/>
      <c r="G13" s="8">
        <f>_xlfn.IFNA(VLOOKUP(封面!B1,'2020决算导出'!A:BE,57,FALSE),"")</f>
        <v>0</v>
      </c>
      <c r="H13" s="7" t="s">
        <v>247</v>
      </c>
      <c r="J13" s="7" t="s">
        <v>248</v>
      </c>
    </row>
    <row r="14" spans="1:14" ht="18" customHeight="1">
      <c r="A14" s="12">
        <f>_xlfn.IFNA(VLOOKUP(封面!B1,'2020决算导出'!A:BF,58,FALSE),"")</f>
        <v>0</v>
      </c>
      <c r="B14" s="7" t="s">
        <v>249</v>
      </c>
    </row>
    <row r="15" spans="1:14" ht="18" customHeight="1">
      <c r="A15" s="6" t="s">
        <v>250</v>
      </c>
    </row>
    <row r="16" spans="1:14" ht="18" customHeight="1">
      <c r="A16" s="7" t="s">
        <v>251</v>
      </c>
    </row>
    <row r="17" spans="1:14" ht="18" customHeight="1">
      <c r="A17" s="6" t="s">
        <v>252</v>
      </c>
    </row>
    <row r="18" spans="1:14" ht="304.2" customHeight="1">
      <c r="A18" s="58" t="s">
        <v>253</v>
      </c>
      <c r="B18" s="58"/>
      <c r="C18" s="58"/>
      <c r="D18" s="58"/>
      <c r="E18" s="58"/>
      <c r="F18" s="58"/>
      <c r="G18" s="58"/>
      <c r="H18" s="58"/>
      <c r="I18" s="58"/>
      <c r="J18" s="58"/>
      <c r="K18" s="58"/>
      <c r="L18" s="58"/>
      <c r="M18" s="58"/>
      <c r="N18" s="58"/>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Q2" sqref="Q2"/>
    </sheetView>
  </sheetViews>
  <sheetFormatPr defaultRowHeight="13.8"/>
  <sheetData>
    <row r="1" spans="1:14" s="7" customFormat="1" ht="35.549999999999997" customHeight="1">
      <c r="A1" s="55" t="s">
        <v>255</v>
      </c>
      <c r="B1" s="55"/>
      <c r="C1" s="55"/>
      <c r="D1" s="55"/>
      <c r="E1" s="55"/>
      <c r="F1" s="55"/>
      <c r="G1" s="55"/>
      <c r="H1" s="55"/>
      <c r="I1" s="55"/>
      <c r="J1" s="55"/>
      <c r="K1" s="55"/>
      <c r="L1" s="55"/>
      <c r="M1" s="55"/>
      <c r="N1" s="55"/>
    </row>
    <row r="2" spans="1:14" ht="281.55" customHeight="1">
      <c r="A2" s="58" t="s">
        <v>436</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261</v>
      </c>
      <c r="B1" s="20" t="s">
        <v>262</v>
      </c>
      <c r="C1" s="20" t="s">
        <v>257</v>
      </c>
      <c r="D1" s="20" t="s">
        <v>263</v>
      </c>
      <c r="E1" s="20" t="s">
        <v>264</v>
      </c>
      <c r="F1" s="20" t="s">
        <v>265</v>
      </c>
      <c r="G1" s="20" t="s">
        <v>266</v>
      </c>
      <c r="H1" s="20" t="s">
        <v>267</v>
      </c>
      <c r="I1" s="20" t="s">
        <v>268</v>
      </c>
      <c r="J1" s="20" t="s">
        <v>269</v>
      </c>
      <c r="K1" s="20" t="s">
        <v>270</v>
      </c>
      <c r="L1" s="20" t="s">
        <v>271</v>
      </c>
      <c r="M1" s="20" t="s">
        <v>272</v>
      </c>
      <c r="N1" s="20" t="s">
        <v>273</v>
      </c>
      <c r="O1" s="20" t="s">
        <v>274</v>
      </c>
      <c r="P1" s="20" t="s">
        <v>275</v>
      </c>
      <c r="Q1" s="20" t="s">
        <v>276</v>
      </c>
      <c r="R1" s="20" t="s">
        <v>277</v>
      </c>
      <c r="S1" s="20" t="s">
        <v>278</v>
      </c>
      <c r="T1" s="20" t="s">
        <v>279</v>
      </c>
      <c r="U1" s="20" t="s">
        <v>280</v>
      </c>
      <c r="V1" s="20" t="s">
        <v>281</v>
      </c>
      <c r="W1" s="20" t="s">
        <v>282</v>
      </c>
      <c r="X1" s="20" t="s">
        <v>283</v>
      </c>
      <c r="Y1" s="20" t="s">
        <v>284</v>
      </c>
      <c r="Z1" s="20" t="s">
        <v>329</v>
      </c>
      <c r="AA1" s="20" t="s">
        <v>285</v>
      </c>
      <c r="AB1" s="20" t="s">
        <v>286</v>
      </c>
      <c r="AC1" s="20" t="s">
        <v>287</v>
      </c>
      <c r="AD1" s="20" t="s">
        <v>288</v>
      </c>
      <c r="AE1" s="20" t="s">
        <v>289</v>
      </c>
      <c r="AF1" s="20" t="s">
        <v>290</v>
      </c>
      <c r="AG1" s="20" t="s">
        <v>291</v>
      </c>
      <c r="AH1" s="20" t="s">
        <v>292</v>
      </c>
      <c r="AI1" s="20" t="s">
        <v>293</v>
      </c>
      <c r="AJ1" s="20" t="s">
        <v>294</v>
      </c>
      <c r="AK1" s="20" t="s">
        <v>295</v>
      </c>
      <c r="AL1" s="20" t="s">
        <v>296</v>
      </c>
      <c r="AM1" s="20" t="s">
        <v>330</v>
      </c>
      <c r="AN1" s="20" t="s">
        <v>331</v>
      </c>
      <c r="AO1" s="20" t="s">
        <v>297</v>
      </c>
      <c r="AP1" s="20" t="s">
        <v>298</v>
      </c>
      <c r="AQ1" s="20" t="s">
        <v>299</v>
      </c>
      <c r="AR1" s="20" t="s">
        <v>300</v>
      </c>
      <c r="AS1" s="20" t="s">
        <v>301</v>
      </c>
      <c r="AT1" s="20" t="s">
        <v>302</v>
      </c>
      <c r="AU1" s="20" t="s">
        <v>303</v>
      </c>
      <c r="AV1" s="20" t="s">
        <v>332</v>
      </c>
      <c r="AW1" s="20" t="s">
        <v>304</v>
      </c>
      <c r="AX1" s="20" t="s">
        <v>305</v>
      </c>
      <c r="AY1" s="20" t="s">
        <v>306</v>
      </c>
      <c r="AZ1" s="20" t="s">
        <v>307</v>
      </c>
      <c r="BA1" s="20" t="s">
        <v>308</v>
      </c>
      <c r="BB1" s="20" t="s">
        <v>309</v>
      </c>
      <c r="BC1" s="20" t="s">
        <v>310</v>
      </c>
      <c r="BD1" s="20" t="s">
        <v>423</v>
      </c>
      <c r="BE1" s="20" t="s">
        <v>311</v>
      </c>
      <c r="BF1" s="20" t="s">
        <v>312</v>
      </c>
    </row>
    <row r="2" spans="1:58">
      <c r="A2" s="22">
        <v>255001</v>
      </c>
      <c r="B2" s="23" t="s">
        <v>313</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314</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315</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261</v>
      </c>
      <c r="B1" s="20" t="s">
        <v>262</v>
      </c>
      <c r="C1" s="20" t="s">
        <v>316</v>
      </c>
      <c r="D1" s="20" t="s">
        <v>317</v>
      </c>
      <c r="E1" s="20" t="s">
        <v>318</v>
      </c>
      <c r="F1" s="20" t="s">
        <v>319</v>
      </c>
    </row>
    <row r="2" spans="1:6">
      <c r="A2" s="22">
        <v>255001</v>
      </c>
      <c r="B2" s="23" t="s">
        <v>313</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320</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321</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322</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323</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333</v>
      </c>
      <c r="B1" s="39" t="s">
        <v>370</v>
      </c>
      <c r="C1" s="39" t="s">
        <v>371</v>
      </c>
      <c r="D1" s="39" t="s">
        <v>372</v>
      </c>
      <c r="E1" s="39" t="s">
        <v>373</v>
      </c>
      <c r="F1" s="39" t="s">
        <v>374</v>
      </c>
      <c r="G1" s="39" t="s">
        <v>375</v>
      </c>
      <c r="H1" s="39" t="s">
        <v>376</v>
      </c>
      <c r="I1" s="39" t="s">
        <v>377</v>
      </c>
      <c r="J1" s="39" t="s">
        <v>378</v>
      </c>
      <c r="K1" s="39" t="s">
        <v>379</v>
      </c>
      <c r="L1" s="39" t="s">
        <v>380</v>
      </c>
      <c r="M1" s="39" t="s">
        <v>381</v>
      </c>
      <c r="N1" s="39" t="s">
        <v>382</v>
      </c>
      <c r="O1" s="39" t="s">
        <v>383</v>
      </c>
      <c r="P1" s="39" t="s">
        <v>384</v>
      </c>
      <c r="Q1" s="39" t="s">
        <v>385</v>
      </c>
      <c r="R1" s="39" t="s">
        <v>386</v>
      </c>
      <c r="S1" s="39" t="s">
        <v>387</v>
      </c>
      <c r="T1" s="39" t="s">
        <v>388</v>
      </c>
      <c r="U1" s="39" t="s">
        <v>389</v>
      </c>
      <c r="V1" s="39" t="s">
        <v>390</v>
      </c>
      <c r="W1" s="39" t="s">
        <v>391</v>
      </c>
      <c r="X1" s="39" t="s">
        <v>392</v>
      </c>
      <c r="Y1" s="39" t="s">
        <v>393</v>
      </c>
      <c r="Z1" s="39" t="s">
        <v>394</v>
      </c>
      <c r="AA1" s="39" t="s">
        <v>395</v>
      </c>
      <c r="AB1" s="39" t="s">
        <v>396</v>
      </c>
      <c r="AC1" s="39" t="s">
        <v>397</v>
      </c>
      <c r="AD1" s="39" t="s">
        <v>398</v>
      </c>
      <c r="AE1" s="39" t="s">
        <v>399</v>
      </c>
      <c r="AF1" s="39" t="s">
        <v>400</v>
      </c>
      <c r="AG1" s="39" t="s">
        <v>401</v>
      </c>
      <c r="AH1" s="39" t="s">
        <v>402</v>
      </c>
      <c r="AI1" s="39" t="s">
        <v>403</v>
      </c>
      <c r="AJ1" s="39" t="s">
        <v>404</v>
      </c>
      <c r="AK1" s="39" t="s">
        <v>405</v>
      </c>
      <c r="AL1" s="39" t="s">
        <v>406</v>
      </c>
      <c r="AM1" s="39" t="s">
        <v>407</v>
      </c>
      <c r="AN1" s="39" t="s">
        <v>408</v>
      </c>
      <c r="AO1" s="39" t="s">
        <v>409</v>
      </c>
      <c r="AP1" s="39" t="s">
        <v>410</v>
      </c>
    </row>
    <row r="2" spans="1:42">
      <c r="A2" s="40">
        <v>255001</v>
      </c>
      <c r="B2" s="41" t="s">
        <v>313</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314</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411</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412</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2021-09-07T07:44:34Z</dcterms:modified>
</cp:coreProperties>
</file>