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119 北京市第六十六中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9" i="5" l="1"/>
  <c r="A3" i="6"/>
  <c r="J65" i="5" l="1"/>
  <c r="E65" i="5"/>
  <c r="J63" i="5"/>
  <c r="E63" i="5"/>
  <c r="E62" i="5"/>
  <c r="E61" i="5"/>
  <c r="E60" i="5"/>
  <c r="E59" i="5"/>
  <c r="J56" i="5"/>
  <c r="E56" i="5"/>
  <c r="J54" i="5"/>
  <c r="E54" i="5"/>
  <c r="E53" i="5"/>
  <c r="J50" i="5"/>
  <c r="E50" i="5"/>
  <c r="J48" i="5"/>
  <c r="E48" i="5"/>
  <c r="E47" i="5"/>
  <c r="E46" i="5"/>
  <c r="J43" i="5"/>
  <c r="E43" i="5"/>
  <c r="J40" i="5"/>
  <c r="E40" i="5"/>
  <c r="J37" i="5"/>
  <c r="E37" i="5"/>
  <c r="J35" i="5"/>
  <c r="E35" i="5"/>
  <c r="D33" i="5"/>
  <c r="A32" i="6"/>
  <c r="G31" i="6"/>
  <c r="M30" i="6"/>
  <c r="C30" i="6"/>
  <c r="B66" i="5" l="1"/>
  <c r="F51" i="5"/>
  <c r="C55" i="5"/>
  <c r="G55" i="5" s="1"/>
  <c r="C64" i="5"/>
  <c r="G64" i="5" s="1"/>
  <c r="F36" i="5"/>
  <c r="F57" i="5"/>
  <c r="C66" i="5"/>
  <c r="G66" i="5" s="1"/>
  <c r="F66" i="5"/>
  <c r="F64" i="5"/>
  <c r="B64" i="5"/>
  <c r="B57" i="5"/>
  <c r="C57" i="5"/>
  <c r="G57" i="5" s="1"/>
  <c r="F55" i="5"/>
  <c r="B55" i="5"/>
  <c r="C51" i="5"/>
  <c r="G51" i="5" s="1"/>
  <c r="F38" i="5"/>
  <c r="F41" i="5"/>
  <c r="F49" i="5"/>
  <c r="B51" i="5"/>
  <c r="B49" i="5"/>
  <c r="C49" i="5"/>
  <c r="G49" i="5" s="1"/>
  <c r="C44" i="5"/>
  <c r="G44" i="5" s="1"/>
  <c r="C36" i="5"/>
  <c r="G36" i="5" s="1"/>
  <c r="B44" i="5"/>
  <c r="F44" i="5"/>
  <c r="B41" i="5"/>
  <c r="C41" i="5"/>
  <c r="G41" i="5" s="1"/>
  <c r="B38" i="5"/>
  <c r="C38" i="5"/>
  <c r="G38" i="5" s="1"/>
  <c r="B36" i="5"/>
  <c r="E28" i="6"/>
  <c r="E27" i="6"/>
  <c r="J26" i="6"/>
  <c r="D26" i="6"/>
  <c r="L25" i="6"/>
  <c r="E25" i="6"/>
  <c r="D21" i="6"/>
  <c r="I20" i="6"/>
  <c r="C20" i="6"/>
  <c r="L19" i="6"/>
  <c r="G19" i="6"/>
  <c r="L16" i="6"/>
  <c r="F16" i="6"/>
  <c r="D15" i="6"/>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H15" i="6" l="1"/>
  <c r="K27" i="6"/>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73" i="5"/>
  <c r="F26" i="5"/>
  <c r="D32" i="5"/>
  <c r="D31" i="5"/>
  <c r="D30" i="5"/>
  <c r="D29" i="5"/>
  <c r="D28" i="5"/>
  <c r="D27" i="5"/>
  <c r="E22" i="5"/>
  <c r="K22" i="5" s="1"/>
  <c r="D20" i="5"/>
  <c r="D19" i="5"/>
  <c r="D18" i="5"/>
  <c r="D17" i="5"/>
  <c r="J17" i="5" s="1"/>
  <c r="D15" i="5"/>
  <c r="D14" i="5"/>
  <c r="D13" i="5"/>
  <c r="D12" i="5"/>
  <c r="D11" i="5"/>
  <c r="D10" i="5"/>
  <c r="D8" i="5"/>
  <c r="J8" i="5" s="1"/>
  <c r="K11" i="6" l="1"/>
  <c r="I31" i="5"/>
  <c r="L11" i="6"/>
  <c r="H10" i="5"/>
  <c r="K10" i="5" s="1"/>
  <c r="J10" i="5"/>
  <c r="E5" i="6"/>
  <c r="D5" i="6"/>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<sst xmlns="http://schemas.openxmlformats.org/spreadsheetml/2006/main" count="4664" uniqueCount="472">
  <si>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</si>
  <si>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</si>
  <si>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</si>
  <si>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</si>
  <si>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</si>
  <si>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</si>
  <si>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</si>
  <si>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</si>
  <si>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</si>
  <si>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</si>
  <si>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</si>
  <si>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</si>
  <si>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</si>
  <si>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</si>
  <si>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</si>
  <si>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</si>
  <si>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</si>
  <si>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</si>
  <si>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</si>
  <si>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</si>
  <si>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</si>
  <si>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</si>
  <si>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</si>
  <si>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</si>
  <si>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</si>
  <si>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</si>
  <si>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</si>
  <si>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</si>
  <si>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</si>
  <si>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</si>
  <si>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</si>
  <si>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</si>
  <si>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</si>
  <si>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</si>
  <si>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</si>
  <si>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</si>
  <si>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</si>
  <si>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</si>
  <si>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</si>
  <si>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</si>
  <si>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</si>
  <si>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</si>
  <si>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</si>
  <si>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</si>
  <si>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</si>
  <si>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</si>
  <si>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</si>
  <si>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</si>
  <si>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</si>
  <si>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</si>
  <si>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</si>
  <si>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</si>
  <si>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</si>
  <si>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</si>
  <si>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</si>
  <si>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</si>
  <si>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</si>
  <si>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</si>
  <si>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</si>
  <si>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</si>
  <si>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</si>
  <si>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</si>
  <si>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</si>
  <si>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</si>
  <si>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</si>
  <si>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</si>
  <si>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</si>
  <si>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</si>
  <si>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</si>
  <si>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</si>
  <si>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</si>
  <si>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</si>
  <si>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</si>
  <si>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</si>
  <si>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</si>
  <si>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</si>
  <si>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</si>
  <si>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</si>
  <si>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</si>
  <si>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</si>
  <si>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</si>
  <si>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</si>
  <si>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</si>
  <si>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</si>
  <si>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</si>
  <si>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</si>
  <si>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</si>
  <si>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</si>
  <si>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</si>
  <si>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</si>
  <si>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</si>
  <si>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</si>
  <si>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</si>
  <si>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</si>
  <si>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</si>
  <si>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</si>
  <si>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</si>
  <si>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</si>
  <si>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</si>
  <si>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</si>
  <si>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</si>
  <si>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</si>
  <si>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</si>
  <si>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</si>
  <si>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</si>
  <si>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</si>
  <si>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</si>
  <si>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</si>
  <si>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</si>
  <si>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</si>
  <si>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</si>
  <si>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</si>
  <si>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</si>
  <si>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</si>
  <si>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</si>
  <si>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</si>
  <si>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</si>
  <si>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</si>
  <si>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</si>
  <si>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</si>
  <si>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</si>
  <si>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</si>
  <si>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</si>
  <si>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</si>
  <si>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</si>
  <si>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</si>
  <si>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</si>
  <si>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</si>
  <si>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</si>
  <si>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</si>
  <si>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</si>
  <si>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</si>
  <si>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</si>
  <si>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</si>
  <si>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</si>
  <si>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</si>
  <si>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</si>
  <si>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</si>
  <si>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</si>
  <si>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</si>
  <si>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</si>
  <si>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</si>
  <si>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</si>
  <si>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</si>
  <si>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</si>
  <si>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</si>
  <si>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</si>
  <si>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</si>
  <si>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</si>
  <si>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</si>
  <si>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</si>
  <si>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</si>
  <si>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</si>
  <si>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</si>
  <si>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</si>
  <si>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</si>
  <si>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</si>
  <si>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</si>
  <si>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</si>
  <si>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</si>
  <si>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</si>
  <si>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</si>
  <si>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</si>
  <si>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</si>
  <si>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</si>
  <si>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</si>
  <si>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</si>
  <si>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</si>
  <si>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</si>
  <si>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</si>
  <si>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</si>
  <si>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</si>
  <si>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</si>
  <si>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</si>
  <si>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</si>
  <si>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</si>
  <si>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</si>
  <si>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</si>
  <si>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</si>
  <si>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</si>
  <si>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</si>
  <si>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</si>
  <si>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</si>
  <si>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</si>
  <si>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</si>
  <si>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</si>
  <si>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</si>
  <si>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</si>
  <si>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</si>
  <si>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</si>
  <si>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</si>
  <si>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</si>
  <si>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</si>
  <si>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</si>
  <si>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</si>
  <si>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</si>
  <si>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</si>
  <si>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</si>
  <si>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</si>
  <si>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</si>
  <si>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</si>
  <si>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</si>
  <si>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</si>
  <si>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</si>
  <si>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</si>
  <si>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</si>
  <si>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</si>
  <si>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</si>
  <si>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</si>
  <si>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</si>
  <si>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</si>
  <si>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</si>
  <si>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</si>
  <si>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</si>
  <si>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</si>
  <si>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</si>
  <si>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</si>
  <si>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</si>
  <si>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</si>
  <si>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</si>
  <si>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</si>
  <si>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</si>
  <si>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</si>
  <si>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</si>
  <si>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</si>
  <si>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</si>
  <si>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</si>
  <si>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</si>
  <si>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</si>
  <si>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</si>
  <si>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</si>
  <si>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</si>
  <si>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</si>
  <si>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</si>
  <si>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</si>
  <si>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</si>
  <si>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</si>
  <si>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</si>
  <si>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</si>
  <si>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</si>
  <si>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</si>
  <si>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</si>
  <si>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</si>
  <si>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</si>
  <si>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</si>
  <si>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</si>
  <si>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</si>
  <si>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</si>
  <si>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</si>
  <si>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</si>
  <si>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</si>
  <si>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</si>
  <si>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</si>
  <si>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</si>
  <si>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</si>
  <si>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</si>
  <si>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</si>
  <si>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</si>
  <si>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</si>
  <si>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</si>
  <si>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</si>
  <si>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</si>
  <si>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</si>
  <si>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</si>
  <si>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</si>
  <si>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</si>
  <si>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</si>
  <si>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</si>
  <si>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</si>
  <si>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</si>
  <si>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</si>
  <si>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</si>
  <si>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</si>
  <si>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</si>
  <si>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</si>
  <si>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</si>
  <si>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</si>
  <si>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</si>
  <si>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</si>
  <si>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</si>
  <si>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</si>
  <si>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</si>
  <si>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</si>
  <si>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</si>
  <si>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</si>
  <si>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</si>
  <si>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</si>
  <si>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</si>
  <si>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</si>
  <si>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</si>
  <si>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</si>
  <si>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</si>
  <si>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</si>
  <si>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</si>
  <si>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</si>
  <si>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</si>
  <si>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</si>
  <si>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</si>
  <si>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</si>
  <si>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</si>
  <si>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</si>
  <si>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</si>
  <si>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</si>
  <si>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</si>
  <si>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</si>
  <si>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</si>
  <si>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</si>
  <si>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</si>
  <si>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</si>
  <si>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</si>
  <si>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</si>
  <si>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</si>
  <si>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</si>
  <si>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</si>
  <si>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</si>
  <si>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</si>
  <si>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</si>
  <si>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</si>
  <si>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</si>
  <si>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</si>
  <si>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</si>
  <si>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</si>
  <si>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</si>
  <si>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</si>
  <si>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</si>
  <si>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</si>
  <si>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</si>
  <si>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</si>
  <si>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</si>
  <si>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</si>
  <si>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</si>
  <si>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</si>
  <si>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</si>
  <si>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</si>
  <si>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</si>
  <si>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</si>
  <si>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</si>
  <si>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</si>
  <si>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</si>
  <si>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</si>
  <si>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</si>
  <si>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</si>
  <si>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</si>
  <si>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</si>
  <si>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</si>
  <si>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</si>
  <si>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</si>
  <si>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</si>
  <si>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</si>
  <si>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</si>
  <si>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</si>
  <si>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</si>
  <si>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</si>
  <si>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</si>
  <si>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</si>
  <si>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</si>
  <si>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</si>
  <si>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</si>
  <si>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</si>
  <si>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</si>
  <si>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</si>
  <si>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</si>
  <si>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</si>
  <si>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</si>
  <si>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</si>
  <si>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</si>
  <si>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</si>
  <si>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</si>
  <si>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</si>
  <si>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</si>
  <si>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</si>
  <si>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</si>
  <si>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</si>
  <si>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</si>
  <si>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</si>
  <si>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</si>
  <si>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</si>
  <si>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</si>
  <si>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</si>
  <si>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</si>
  <si>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</si>
  <si>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</si>
  <si>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</si>
  <si>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</si>
  <si>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</si>
  <si>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</si>
  <si>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</si>
  <si>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</si>
  <si>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</si>
  <si>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</si>
  <si>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</si>
  <si>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</si>
  <si>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</si>
  <si>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</si>
  <si>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</si>
  <si>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</si>
  <si>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</si>
  <si>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</si>
  <si>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</si>
  <si>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</si>
  <si>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</si>
  <si>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</si>
  <si>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</si>
  <si>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</si>
  <si>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</si>
  <si>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</si>
  <si>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</si>
  <si>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</si>
  <si>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</si>
  <si>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</si>
  <si>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</si>
  <si>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</si>
  <si>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</si>
  <si>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</si>
  <si>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</si>
  <si>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</si>
  <si>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</si>
  <si>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</si>
  <si>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</si>
  <si>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</si>
  <si>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</si>
  <si>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</si>
  <si>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</si>
  <si>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</si>
  <si>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</si>
  <si>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</si>
  <si>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</si>
  <si>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</si>
  <si>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</si>
  <si>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</si>
  <si>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</si>
  <si>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</si>
  <si>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</si>
  <si>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</si>
  <si>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</si>
  <si>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</si>
  <si>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</si>
  <si>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</si>
  <si>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</si>
  <si>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</si>
  <si>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</si>
  <si>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</si>
  <si>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</si>
  <si>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</si>
  <si>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</si>
  <si>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</si>
  <si>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</si>
  <si>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</si>
  <si>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</si>
  <si>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</si>
  <si>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</si>
  <si>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</si>
  <si>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2020年年初无预算。</t>
  </si>
  <si>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</si>
  <si>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</si>
  <si>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</si>
  <si>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</si>
  <si>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</si>
  <si>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</si>
  <si>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</si>
  <si>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</si>
  <si>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</si>
  <si>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主要原因是因为疫情原因，减少了培训专项的支出。</t>
    <phoneticPr fontId="3" type="noConversion"/>
  </si>
  <si>
    <t>主要原因是因为疫情原因，减少了教育费附加安排的项目支出。</t>
    <phoneticPr fontId="3" type="noConversion"/>
  </si>
  <si>
    <t>主要原因是：因疫情原因，项目的金额有所减少但总体变动不大。社保经费有较大增长，所以总体经费同去年同期相比略有增加。</t>
    <phoneticPr fontId="3" type="noConversion"/>
  </si>
  <si>
    <t>主要原因是人员经费及社保经费增长。</t>
    <phoneticPr fontId="3" type="noConversion"/>
  </si>
  <si>
    <t>主要原因是增加了退休人员及养老支出经费。</t>
    <phoneticPr fontId="3" type="noConversion"/>
  </si>
  <si>
    <t>主要原因是增加了卫生医疗经费。</t>
    <phoneticPr fontId="3" type="noConversion"/>
  </si>
  <si>
    <t>主要原因是增加了住房保障经费。</t>
    <phoneticPr fontId="3" type="noConversion"/>
  </si>
  <si>
    <t>主要原因是按照三公经费逐年递减的要求，进一步落实中央、北京市的有关厉行节约、压缩财政成本等规定，把勤俭节约落实到实处，坚决杜绝各种铺张浪费。</t>
  </si>
  <si>
    <t>我单位机构数1个，为全额拨款财政补助收入单位。主要机构设置：教务处、德育处、总务处、党政办公室。                                                                               教务处职责：
认真落实上级教育行政部门和学校制定的各项有关教学工作的规章制度，科学地编排作息时间和课程表，维护正常的教学秩序，做好学生学习常规管理工作。其主要职责是：
教师和教务处职员的考查考核工作；编制全校课表，为请假老师调课工作；组织好各阶段的考试；学生报到注册及学习考勤、成绩评定、学籍登记管理工作；教科书和学生教材的预订与发放工作；负责组织招生、新生入学和编班工作；完成校领导交办的其他临时性工作。                                                                                                                                       德育处职责：
在主管校长领导下全面负责学校学生思想政治教育和教育活动的组织与管理工作，其主要职责是：
协助主管校长贯彻执行党的教育方针，制定学校教育工作计划，按照教育规律组织开展教育活动，并经常进行检查、总结，认真、全面完成学校的教育任务。定期召开班主任会，组织班主任进行思想政治和业务理论学习，不断提高班主任工作水平和能力。注意掌握学生的思想动态，认真检查学生执行《中学生守则》和《中学生行为规范》的情况，针对学生的实际，及时提出改进学生思想政治工作的意见，认真落实《守则》和《规范》提出的要求。组织班主任做好学生的操行评定和各级“三好学生”的评选工作；做好后进学生的转化工作。指导共青团、少先队和学生会的工作，积极开展有益于学生身心健康的教育活动。努力培养学生干部和学生骨干，不断提高他们的思想觉悟和工作能力。协助体育组抓好学校的体育课和课间操，开展好群众性的体育活动。保证学生每天一小时的体育锻炼时间。通过组织各种运动队和小型单项体育竞赛，培养学校体育骨干。协助卫生室建立健全卫生保健制度，抓好学生的卫生常识教育，做好卫生扫除和眼保健操，培养良好的卫生习惯，保护学生视力健康。完成校领导交办的其他临时性工作。                                                                                                                                      总务处职责：
领导和组织总务处的全体工作人员努力做好工作,定期向主管校长和行政会报告工作。管理好财物，适时制定预决算,严格执行财会制度,合理使用各项经费,贯彻民主理财,定期审核公布财务收支情况。管好校产,负责安排基建和校舍的使用、各种校产的登记、管理、添置、维修,督促师生执行校产的使用和保管制度。负责有计划地组织办公、教学、维修、生活劳保和清洁卫生等各种设备用品的采购、保管和供应。搞好师生生活福利,抓好师生食堂和供水、供电、供暖工作。负责组织学校的校园绿化美化,校容整建。负责总务处所属部门的职工管理和临时工管理,安排他们的工作, 并注意加强教育。建立和健全总务处各项规章制度,并检查督促各方面认真执行。 适时提出总务处年度、学期、每月、每周的工作计划,并检查督促执行,及时向主管校长汇报。做好学校临时分配的其它工作。                                                                                                                                          党政办公室职责：
在校长领导下全面负责学校办公室的日常行政工作和学校有关事宜的协调工作。负责组织、研究、布置、落实和总结办公室工作。贯彻执行校长的工作指令，协助校长处理学校部分具体工作事宜。配合校长、副校长催办、落实校务行政会议决议的执行和完成。调查、收集并向领导提供有关学校工作的信息、意见和建议。协助校领导召集全校性的各种会议，做好参会人员的考勤登记工作。负责学校各种文件的规范行文，打印、复印的复核和审批等工作。对各种来文、文件资料按程序进行编号、登记、整理，及时送领导传阅并收回。负责学校印鉴和介绍信的保管和使用。安排、落实有关学校的信息，宣传和计划生育工作。车辆服务以及传达收发、门卫工作完成。校领导交办的其他临时性工作。</t>
    <phoneticPr fontId="3" type="noConversion"/>
  </si>
  <si>
    <t>北京市第六十六中学对2020年度部门项目支出实施绩效评价，评价项目5个，占项目总数的30.08%，涉及金额194.73万元。2020年基本公用经费继续采用计划支出管理模式，并做了合理化改进，保证计划制定时间，定期反馈执行进度等，做到了年度收支平衡，有效的提高了资金使用效率。                                                                                              因疫情原因中小学生课外活动经费、体育特色校经费、金帆团、金奥运动队经费等项目调整到下半年支出使用，修缮类项目等待基建管理中心通知后实施，设备类项目按照签订合同执行，项目的落实将极大的提升学校办学条件，为学生提供多维的教学环境；提高了学校的教学硬件水平，得到了社区及家长的认可。总体上有效保障了师生在校学习生活的安全性和舒适性。                                                                                                                                                 1、校园保障经费：
校园保障经费用于配备保安人员。保安人员严格执行外来人员身份登记制度，上课时间严禁闲杂人员进入校园，可以很直接的把一些闲杂人等挡在学校之外，是保护学生的第一道铁闸；可以规范学生的行为。保安人员的配备杜绝校园安全事故的发生，为打造平安校园起了积极的推动作用。为青少年学生提供平安的学习，成长环境，这也是全社会对教育系统最基础的要求。从宏观上说，做好学校内部的安保工作也是是维护社会稳定，构建和谐社会的一个方面。                                                                         
2、京财教育指【2019】2173号基础教育综合改革专项-中小学生实践活动：
此项目的实施，确保了北京六十六中学各项学生课外活动的开展，有利于完善学校课程体系，开阔学生视野，提高学校的服务能力；引导学生继承优秀中华传统文化，培养创新精神和实践能力，进而促进学生综合素质提升，同时保证了践行社会主义核心价值观系列活动的实效性，有利于学生正确价值观、人生观的形成，有利于为中国特色社会主义事业培养合格的建设者和接班人。充分利用校内外教育资源，开展丰富的学生课外活动，通过兴趣小组、学生社团、课后服务，参观博物馆、参观爱国主义教育基地、欣赏文艺演出、观看电影、外出游学等活动形式，开拓学生视野，引导学生继承优秀传统文化，践行社会主义核心价值观，争做文明中学生。                                                                                                                                    3、修缮经费—北京市第六十六中学（北址）新征收操场改造工程：
为解决我校学生多，体育场地不够，体育课拥挤，课表不好安排等难题。政府为我校征收一块学生活动的体育用地（605㎡），解决了上课体育场地不够的难题。在教委基建管理中心的支持下，有学校项目领导小组的协调，有具体施工人员的监督机制，保质保量完成此项目。让学生早日用上这块体育场地。让学生在一个体育设施完善、安全的环境中健康成长。为保证项目顺利进行，北京市第六十六中学有相当的技术人员和管理经验做好技术保障工作。本项目建设符合国家有关政策法规、和技术标准规范的要求，建设目标明确、设计规范，建设内容、进度安排和资金安排合理，实施方案和项目组织机构落实到位。                                                                                                                                                                                                                                                           4、2020年财政下达了京财教育指[2019]2172号一般性转移支付-支持集团化办学、学区制改革、九年一贯制办学调整—防疫项目10万元，主要用于在2020年开学后的校园防疫消杀工作，购买了口罩、消毒液、酒精、消毒湿巾、防疫服、护目镜等必要物资，我单位严格按照上级财政和教委要求，做到专款专用，此笔资金给我校解决了实际问题，保障了我单位防疫工作的顺利进行。                                                                                                                                    5、扶贫工作在2020年也顺利开展，根据上级要求，我单位严格按照下达的额度在指定网站及供应商处进行购买，分别由食堂和工会负责相关采购事宜，圆满完成了扶贫任务，为扶贫工程作出了应有的贡献！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</si>
</sst>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5">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4"/>
      <color theme="1"/>
      <name val="FangSong"/>
      <charset val="134"/>
    </font>
    <font>
      <sz val="10"/>
      <color theme="1"/>
      <name val="FangSong"/>
      <charset val="134"/>
    </font>
    <font>
      <sz val="11"/>
      <color theme="1"/>
      <name val="宋体"/>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5">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24"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22" fillId="0" borderId="0" xfId="0" applyFont="1" applyAlignment="1">
      <alignment horizontal="left" vertical="top" wrapText="1"/>
    </xf>
    <xf numFmtId="0" fontId="10" fillId="0" borderId="0" xfId="0" applyFont="1" applyAlignment="1">
      <alignment horizontal="left" vertical="center" wrapText="1"/>
    </xf>
    <xf numFmtId="0" fontId="16" fillId="0" borderId="0" xfId="0" applyFont="1" applyAlignment="1">
      <alignment horizontal="left" vertical="top" wrapText="1"/>
    </xf>
    <xf numFmtId="0" fontId="23" fillId="0" borderId="0" xfId="0" applyFont="1" applyAlignment="1">
      <alignment horizontal="left" vertical="top"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J7" sqref="J7"/>
    </sheetView>
  </sheetViews>
  <sheetFormatPr defaultRowHeight="13.8"/>
  <cols>
    <col min="1" max="1" width="16.44140625" customWidth="1"/>
    <col min="2" max="2" width="12.77734375" bestFit="1" customWidth="1"/>
  </cols>
  <sheetData>
    <row r="1" spans="1:14" ht="37.950000000000003" customHeight="1">
      <c r="A1" s="26" t="s">
        <v>0</v>
      </c>
      <c r="B1" s="27">
        <v>255119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北京市第六十六中学</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453</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zoomScaleNormal="100" workbookViewId="0">
      <selection activeCell="D75" sqref="D75"/>
    </sheetView>
  </sheetViews>
  <sheetFormatPr defaultRowHeight="13.8"/>
  <cols>
    <col min="1" max="2" width="9.109375" customWidth="1"/>
    <col min="3" max="3" width="14" customWidth="1"/>
    <col min="4" max="4" width="15.33203125" bestFit="1" customWidth="1"/>
    <col min="5" max="5" width="13.44140625" customWidth="1"/>
    <col min="6" max="6" width="8.33203125" customWidth="1"/>
    <col min="7" max="7" width="10.21875" customWidth="1"/>
    <col min="8" max="8" width="14.109375" customWidth="1"/>
    <col min="9" max="9" width="10.6640625" customWidth="1"/>
    <col min="11" max="11" width="14.77734375" customWidth="1"/>
    <col min="12" max="12" width="14.21875" customWidth="1"/>
    <col min="13" max="13" width="12.6640625" customWidth="1"/>
  </cols>
  <sheetData>
    <row r="1" spans="1:14" ht="35.4"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352.2" customHeight="1">
      <c r="A4" s="63" t="s">
        <v>470</v>
      </c>
      <c r="B4" s="63"/>
      <c r="C4" s="63"/>
      <c r="D4" s="63"/>
      <c r="E4" s="63"/>
      <c r="F4" s="63"/>
      <c r="G4" s="63"/>
      <c r="H4" s="63"/>
      <c r="I4" s="63"/>
      <c r="J4" s="63"/>
      <c r="K4" s="63"/>
      <c r="L4" s="63"/>
      <c r="M4" s="63"/>
    </row>
    <row r="5" spans="1:14" ht="18" customHeight="1">
      <c r="A5" s="7" t="s">
        <v>183</v>
      </c>
    </row>
    <row r="6" spans="1:14" ht="18" customHeight="1">
      <c r="A6" s="67" t="s">
        <v>282</v>
      </c>
      <c r="B6" s="67"/>
      <c r="C6" s="10">
        <v>277</v>
      </c>
      <c r="D6" s="10" t="s">
        <v>284</v>
      </c>
      <c r="E6" s="8">
        <f>_xlfn.IFNA(VLOOKUP(封面!B1,'2020决算导出'!A:C,3,FALSE),"")</f>
        <v>260</v>
      </c>
      <c r="F6" s="10" t="s">
        <v>285</v>
      </c>
      <c r="G6" s="10"/>
      <c r="H6" s="10"/>
      <c r="I6" s="10"/>
      <c r="J6" s="10"/>
      <c r="K6" s="10"/>
      <c r="L6" s="10"/>
      <c r="M6" s="10"/>
      <c r="N6" s="10"/>
    </row>
    <row r="7" spans="1:14" ht="18" customHeight="1">
      <c r="A7" s="6" t="s">
        <v>184</v>
      </c>
    </row>
    <row r="8" spans="1:14" ht="18" customHeight="1">
      <c r="A8" s="67" t="s">
        <v>185</v>
      </c>
      <c r="B8" s="67"/>
      <c r="C8" s="67"/>
      <c r="D8" s="13">
        <f>_xlfn.IFNA(VLOOKUP(封面!B1,'2020决算导出'!A:D,4,FALSE),"")</f>
        <v>119740390.65000001</v>
      </c>
      <c r="E8" s="7" t="s">
        <v>187</v>
      </c>
      <c r="F8" s="19" t="s">
        <v>286</v>
      </c>
      <c r="G8" s="29" t="str">
        <f>IF(ISNA(VLOOKUP(封面!B1,'2019决算导出'!A:C,3,FALSE)),"",IF(D8-VLOOKUP(封面!B1,'2019决算导出'!A:C,3,FALSE)&gt;0,"增加","减少"))</f>
        <v>减少</v>
      </c>
      <c r="H8" s="32">
        <f>IF(ISNA(VLOOKUP(封面!B1,'2019决算导出'!A:C,3,FALSE)),"",IF(D8-VLOOKUP(封面!B1,'2019决算导出'!A:C,3,FALSE)&gt;0,D8-VLOOKUP(封面!B1,'2019决算导出'!A:C,3,FALSE),VLOOKUP(封面!B1,'2019决算导出'!A:C,3,FALSE)-D8))</f>
        <v>1618231.6999999881</v>
      </c>
      <c r="I8" s="15" t="s">
        <v>187</v>
      </c>
      <c r="J8" s="29" t="str">
        <f>IF(ISNA(VLOOKUP(封面!B1,'2019决算导出'!A:C,3,FALSE)),"",IF(D8-VLOOKUP(封面!B1,'2019决算导出'!A:C,3,FALSE)&gt;0,"增长","下降"))</f>
        <v>下降</v>
      </c>
      <c r="K8" s="30">
        <f>IF(ISNA(VLOOKUP(封面!B1,'2019决算导出'!A:C,3,FALSE)),"",H8/VLOOKUP(封面!B1,'2019决算导出'!A:C,3,FALSE))</f>
        <v>1.3334295237243093E-2</v>
      </c>
      <c r="L8" s="7" t="s">
        <v>350</v>
      </c>
    </row>
    <row r="9" spans="1:14" ht="18" customHeight="1">
      <c r="A9" s="7" t="s">
        <v>188</v>
      </c>
      <c r="G9" s="31"/>
      <c r="H9" s="31"/>
      <c r="I9" s="31"/>
      <c r="J9" s="31"/>
      <c r="K9" s="31"/>
    </row>
    <row r="10" spans="1:14" ht="18" customHeight="1">
      <c r="A10" s="67" t="s">
        <v>189</v>
      </c>
      <c r="B10" s="67"/>
      <c r="C10" s="67"/>
      <c r="D10" s="13">
        <f>_xlfn.IFNA(VLOOKUP(封面!B1,'2020决算导出'!A:E,5,FALSE),"")</f>
        <v>119420495.95999999</v>
      </c>
      <c r="E10" s="7" t="s">
        <v>187</v>
      </c>
      <c r="F10" s="19" t="s">
        <v>286</v>
      </c>
      <c r="G10" s="29" t="str">
        <f>IF(ISNA(VLOOKUP(封面!B1,'2019决算导出'!A:D,4,FALSE)),"",IF(D10-VLOOKUP(封面!B1,'2019决算导出'!A:D,4,FALSE)&gt;0,"增加","减少"))</f>
        <v>减少</v>
      </c>
      <c r="H10" s="32">
        <f>IF(ISNA(VLOOKUP(封面!B1,'2019决算导出'!A:D,4,FALSE)),"",IF(D10-VLOOKUP(封面!B1,'2019决算导出'!A:D,4,FALSE)&gt;0,D10-VLOOKUP(封面!B1,'2019决算导出'!A:D,4,FALSE),VLOOKUP(封面!B1,'2019决算导出'!A:D,4,FALSE)-D10))</f>
        <v>1641413</v>
      </c>
      <c r="I10" s="15" t="s">
        <v>187</v>
      </c>
      <c r="J10" s="29" t="str">
        <f>IF(ISNA(VLOOKUP(封面!B1,'2019决算导出'!A:D,4,FALSE)),"",IF(D10-VLOOKUP(封面!B1,'2019决算导出'!A:D,4,FALSE)&gt;0,"增长","下降"))</f>
        <v>下降</v>
      </c>
      <c r="K10" s="30">
        <f>IF(ISNA(VLOOKUP(封面!B1,'2019决算导出'!A:D,4,FALSE)),"",H10/VLOOKUP(封面!B1,'2019决算导出'!A:D,4,FALSE))</f>
        <v>1.3558459585684697E-2</v>
      </c>
      <c r="L10" s="7" t="s">
        <v>351</v>
      </c>
    </row>
    <row r="11" spans="1:14" ht="18" customHeight="1">
      <c r="A11" s="67" t="s">
        <v>190</v>
      </c>
      <c r="B11" s="67"/>
      <c r="C11" s="67"/>
      <c r="D11" s="13">
        <f>_xlfn.IFNA(VLOOKUP(封面!B1,'2020决算导出'!A:F,6,FALSE),"")</f>
        <v>118513223.95999999</v>
      </c>
      <c r="E11" s="7" t="s">
        <v>187</v>
      </c>
      <c r="F11" s="67" t="s">
        <v>191</v>
      </c>
      <c r="G11" s="67"/>
      <c r="H11" s="28">
        <f>D11/$D$10</f>
        <v>0.99240271117025092</v>
      </c>
      <c r="I11" s="7" t="s">
        <v>352</v>
      </c>
    </row>
    <row r="12" spans="1:14" ht="18" customHeight="1">
      <c r="A12" s="67" t="s">
        <v>192</v>
      </c>
      <c r="B12" s="67"/>
      <c r="C12" s="67"/>
      <c r="D12" s="13">
        <f>_xlfn.IFNA(VLOOKUP(封面!B1,'2020决算导出'!A:G,7,FALSE),"")</f>
        <v>907272</v>
      </c>
      <c r="E12" s="7" t="s">
        <v>187</v>
      </c>
      <c r="F12" s="67" t="s">
        <v>191</v>
      </c>
      <c r="G12" s="67"/>
      <c r="H12" s="28">
        <f t="shared" ref="H12:H15" si="0">D12/$D$10</f>
        <v>7.597288829749054E-3</v>
      </c>
      <c r="I12" s="7" t="s">
        <v>352</v>
      </c>
    </row>
    <row r="13" spans="1:14" ht="18" customHeight="1">
      <c r="A13" s="67" t="s">
        <v>193</v>
      </c>
      <c r="B13" s="67"/>
      <c r="C13" s="67"/>
      <c r="D13" s="13">
        <f>_xlfn.IFNA(VLOOKUP(封面!B1,'2020决算导出'!A:H,8,FALSE),"")</f>
        <v>0</v>
      </c>
      <c r="E13" s="7" t="s">
        <v>187</v>
      </c>
      <c r="F13" s="67" t="s">
        <v>191</v>
      </c>
      <c r="G13" s="67"/>
      <c r="H13" s="28">
        <f t="shared" si="0"/>
        <v>0</v>
      </c>
      <c r="I13" s="7" t="s">
        <v>352</v>
      </c>
    </row>
    <row r="14" spans="1:14" ht="18" customHeight="1">
      <c r="A14" s="67" t="s">
        <v>194</v>
      </c>
      <c r="B14" s="67"/>
      <c r="C14" s="67"/>
      <c r="D14" s="13">
        <f>_xlfn.IFNA(VLOOKUP(封面!B1,'2020决算导出'!A:I,9,FALSE),"")</f>
        <v>0</v>
      </c>
      <c r="E14" s="7" t="s">
        <v>187</v>
      </c>
      <c r="F14" s="67" t="s">
        <v>191</v>
      </c>
      <c r="G14" s="67"/>
      <c r="H14" s="28">
        <f t="shared" si="0"/>
        <v>0</v>
      </c>
      <c r="I14" s="7" t="s">
        <v>352</v>
      </c>
    </row>
    <row r="15" spans="1:14" ht="18" customHeight="1">
      <c r="A15" s="67" t="s">
        <v>195</v>
      </c>
      <c r="B15" s="67"/>
      <c r="C15" s="67"/>
      <c r="D15" s="13">
        <f>_xlfn.IFNA(VLOOKUP(封面!B1,'2020决算导出'!A:J,10,FALSE),"")</f>
        <v>0</v>
      </c>
      <c r="E15" s="7" t="s">
        <v>187</v>
      </c>
      <c r="F15" s="67" t="s">
        <v>191</v>
      </c>
      <c r="G15" s="67"/>
      <c r="H15" s="28">
        <f t="shared" si="0"/>
        <v>0</v>
      </c>
      <c r="I15" s="7" t="s">
        <v>353</v>
      </c>
    </row>
    <row r="16" spans="1:14" ht="18" customHeight="1">
      <c r="A16" s="7" t="s">
        <v>196</v>
      </c>
    </row>
    <row r="17" spans="1:13" ht="18" customHeight="1">
      <c r="A17" s="67" t="s">
        <v>197</v>
      </c>
      <c r="B17" s="67"/>
      <c r="C17" s="67"/>
      <c r="D17" s="13">
        <f>_xlfn.IFNA(VLOOKUP(封面!B1,'2020决算导出'!A:K,11,FALSE),"")</f>
        <v>119348290.65000001</v>
      </c>
      <c r="E17" s="7" t="s">
        <v>187</v>
      </c>
      <c r="F17" s="19" t="s">
        <v>286</v>
      </c>
      <c r="G17" s="29" t="str">
        <f>IF(ISNA(VLOOKUP(封面!B1,'2019决算导出'!A:E,5,FALSE)),"",IF(D17-VLOOKUP(封面!B1,'2019决算导出'!A:E,5,FALSE)&gt;0,"增加","减少"))</f>
        <v>减少</v>
      </c>
      <c r="H17" s="32">
        <f>IF(ISNA(VLOOKUP(封面!B1,'2019决算导出'!A:E,5,FALSE)),"",IF(D17-VLOOKUP(封面!B1,'2019决算导出'!A:E,5,FALSE)&gt;0,D17-VLOOKUP(封面!B1,'2019决算导出'!A:E,5,FALSE),VLOOKUP(封面!B1,'2019决算导出'!A:E,5,FALSE)-D17))</f>
        <v>1632227.2199999988</v>
      </c>
      <c r="I17" s="7" t="s">
        <v>187</v>
      </c>
      <c r="J17" s="29" t="str">
        <f>IF(ISNA(VLOOKUP(封面!B1,'2019决算导出'!A:E,5,FALSE)),"",IF(D17-VLOOKUP(封面!B1,'2019决算导出'!A:E,5,FALSE)&gt;0,"增长","下降"))</f>
        <v>下降</v>
      </c>
      <c r="K17" s="30">
        <f>IF(ISNA(VLOOKUP(封面!B1,'2019决算导出'!A:E,5,FALSE)),"",H17/VLOOKUP(封面!B1,'2019决算导出'!A:E,5,FALSE))</f>
        <v>1.3491653439224932E-2</v>
      </c>
      <c r="L17" s="7" t="s">
        <v>354</v>
      </c>
    </row>
    <row r="18" spans="1:13" ht="18" customHeight="1">
      <c r="A18" s="67" t="s">
        <v>198</v>
      </c>
      <c r="B18" s="67"/>
      <c r="C18" s="67"/>
      <c r="D18" s="13">
        <f>_xlfn.IFNA(VLOOKUP(封面!B1,'2020决算导出'!A:L,12,FALSE),"")</f>
        <v>113096549.8</v>
      </c>
      <c r="E18" s="7" t="s">
        <v>187</v>
      </c>
      <c r="F18" s="67" t="s">
        <v>199</v>
      </c>
      <c r="G18" s="67"/>
      <c r="H18" s="28">
        <f>D18/$D$17</f>
        <v>0.94761767582969558</v>
      </c>
      <c r="I18" s="7" t="s">
        <v>352</v>
      </c>
    </row>
    <row r="19" spans="1:13" ht="18" customHeight="1">
      <c r="A19" s="67" t="s">
        <v>200</v>
      </c>
      <c r="B19" s="67"/>
      <c r="C19" s="67"/>
      <c r="D19" s="13">
        <f>_xlfn.IFNA(VLOOKUP(封面!B1,'2020决算导出'!A:M,13,FALSE),"")</f>
        <v>6251740.8499999996</v>
      </c>
      <c r="E19" s="7" t="s">
        <v>187</v>
      </c>
      <c r="F19" s="67" t="s">
        <v>199</v>
      </c>
      <c r="G19" s="67"/>
      <c r="H19" s="28">
        <f t="shared" ref="H19:H20" si="1">D19/$D$17</f>
        <v>5.2382324170304313E-2</v>
      </c>
      <c r="I19" s="7" t="s">
        <v>352</v>
      </c>
    </row>
    <row r="20" spans="1:13" ht="18" customHeight="1">
      <c r="A20" s="67" t="s">
        <v>201</v>
      </c>
      <c r="B20" s="67"/>
      <c r="C20" s="67"/>
      <c r="D20" s="13">
        <f>_xlfn.IFNA(VLOOKUP(封面!B1,'2020决算导出'!A:N,14,FALSE),"")</f>
        <v>0</v>
      </c>
      <c r="E20" s="7" t="s">
        <v>187</v>
      </c>
      <c r="F20" s="67" t="s">
        <v>199</v>
      </c>
      <c r="G20" s="67"/>
      <c r="H20" s="28">
        <f t="shared" si="1"/>
        <v>0</v>
      </c>
      <c r="I20" s="7" t="s">
        <v>353</v>
      </c>
    </row>
    <row r="21" spans="1:13" ht="18" customHeight="1">
      <c r="A21" s="6" t="s">
        <v>202</v>
      </c>
    </row>
    <row r="22" spans="1:13" ht="18" customHeight="1">
      <c r="A22" s="67" t="s">
        <v>203</v>
      </c>
      <c r="B22" s="67"/>
      <c r="C22" s="67"/>
      <c r="D22" s="67"/>
      <c r="E22" s="61">
        <f>_xlfn.IFNA(VLOOKUP(封面!B1,'2020决算导出'!A:O,15,FALSE),"")</f>
        <v>118781143.15000001</v>
      </c>
      <c r="F22" s="61"/>
      <c r="G22" s="14" t="s">
        <v>286</v>
      </c>
      <c r="H22" s="29" t="str">
        <f>IF(ISNA(VLOOKUP(封面!B1,'2019决算导出'!A:F,6,FALSE)),"",IF(E22-VLOOKUP(封面!B1,'2019决算导出'!A:F,6,FALSE)&gt;0,"增加","减少"))</f>
        <v>减少</v>
      </c>
      <c r="I22" s="32">
        <f>IF(ISNA(VLOOKUP(封面!B1,'2019决算导出'!A:F,6,FALSE)),"",IF(E22-VLOOKUP(封面!B1,'2019决算导出'!A:F,6,FALSE)&gt;0,E22-VLOOKUP(封面!B1,'2019决算导出'!A:F,6,FALSE),VLOOKUP(封面!B1,'2019决算导出'!A:F,6,FALSE)-E22))</f>
        <v>1621337.8900000006</v>
      </c>
      <c r="J22" s="7" t="s">
        <v>187</v>
      </c>
      <c r="K22" s="29" t="str">
        <f>IF(ISNA(VLOOKUP(封面!B1,'2019决算导出'!A:F,6,FALSE)),"",IF(E22-VLOOKUP(封面!B1,'2019决算导出'!A:F,6,FALSE)&gt;0,"增长","下降"))</f>
        <v>下降</v>
      </c>
      <c r="L22" s="30">
        <f>IF(ISNA(VLOOKUP(封面!B1,'2019决算导出'!A:F,6,FALSE)),"",I22/VLOOKUP(封面!B1,'2019决算导出'!A:F,6,FALSE))</f>
        <v>1.3465984056103969E-2</v>
      </c>
      <c r="M22" s="7" t="s">
        <v>350</v>
      </c>
    </row>
    <row r="23" spans="1:13" ht="40.5" customHeight="1">
      <c r="B23" s="69" t="s">
        <v>464</v>
      </c>
      <c r="C23" s="69"/>
      <c r="D23" s="69"/>
      <c r="E23" s="69"/>
      <c r="F23" s="69"/>
      <c r="G23" s="69"/>
      <c r="H23" s="69"/>
      <c r="I23" s="69"/>
      <c r="J23" s="69"/>
      <c r="K23" s="69"/>
      <c r="L23" s="69"/>
      <c r="M23" s="69"/>
    </row>
    <row r="24" spans="1:13" ht="18" customHeight="1">
      <c r="A24" s="6" t="s">
        <v>204</v>
      </c>
    </row>
    <row r="25" spans="1:13" ht="18" customHeight="1">
      <c r="A25" s="7" t="s">
        <v>205</v>
      </c>
    </row>
    <row r="26" spans="1:13" ht="18" customHeight="1">
      <c r="A26" s="67" t="s">
        <v>206</v>
      </c>
      <c r="B26" s="67"/>
      <c r="C26" s="67"/>
      <c r="D26" s="67"/>
      <c r="E26" s="67"/>
      <c r="F26" s="61">
        <f>_xlfn.IFNA(VLOOKUP(封面!B1,'2020决算导出'!A:P,16,FALSE),"")</f>
        <v>118389043.15000001</v>
      </c>
      <c r="G26" s="61"/>
      <c r="H26" s="7" t="s">
        <v>187</v>
      </c>
      <c r="I26" s="10" t="s">
        <v>207</v>
      </c>
      <c r="J26" s="10"/>
      <c r="K26" s="10"/>
      <c r="L26" s="10"/>
      <c r="M26" s="10"/>
    </row>
    <row r="27" spans="1:13" ht="18" customHeight="1">
      <c r="A27" s="67" t="s">
        <v>210</v>
      </c>
      <c r="B27" s="67"/>
      <c r="C27" s="67"/>
      <c r="D27" s="61">
        <f>_xlfn.IFNA(VLOOKUP(封面!B1,'2020决算导出'!A:Q,17,FALSE),"")</f>
        <v>80560971.549999997</v>
      </c>
      <c r="E27" s="61"/>
      <c r="F27" s="7" t="s">
        <v>187</v>
      </c>
      <c r="G27" s="65" t="s">
        <v>209</v>
      </c>
      <c r="H27" s="65"/>
      <c r="I27" s="28">
        <f>D27/$F$26</f>
        <v>0.68047658302237057</v>
      </c>
      <c r="J27" s="7" t="s">
        <v>352</v>
      </c>
      <c r="K27" s="9"/>
      <c r="L27" s="9"/>
      <c r="M27" s="9"/>
    </row>
    <row r="28" spans="1:13" ht="18" customHeight="1">
      <c r="A28" s="67" t="s">
        <v>211</v>
      </c>
      <c r="B28" s="67"/>
      <c r="C28" s="67"/>
      <c r="D28" s="61">
        <f>_xlfn.IFNA(VLOOKUP(封面!B1,'2020决算导出'!A:R,18,FALSE),"")</f>
        <v>0</v>
      </c>
      <c r="E28" s="61"/>
      <c r="F28" s="7" t="s">
        <v>187</v>
      </c>
      <c r="G28" s="65" t="s">
        <v>209</v>
      </c>
      <c r="H28" s="65"/>
      <c r="I28" s="28">
        <f t="shared" ref="I28:I33" si="2">D28/$F$26</f>
        <v>0</v>
      </c>
      <c r="J28" s="7" t="s">
        <v>352</v>
      </c>
      <c r="K28" s="9"/>
      <c r="L28" s="9"/>
      <c r="M28" s="9"/>
    </row>
    <row r="29" spans="1:13" ht="18" customHeight="1">
      <c r="A29" s="67" t="s">
        <v>208</v>
      </c>
      <c r="B29" s="67"/>
      <c r="C29" s="67"/>
      <c r="D29" s="61">
        <f>_xlfn.IFNA(VLOOKUP(封面!B1,'2020决算导出'!A:S,19,FALSE),"")</f>
        <v>15256608.800000001</v>
      </c>
      <c r="E29" s="61"/>
      <c r="F29" s="7" t="s">
        <v>187</v>
      </c>
      <c r="G29" s="65" t="s">
        <v>209</v>
      </c>
      <c r="H29" s="65"/>
      <c r="I29" s="28">
        <f t="shared" si="2"/>
        <v>0.12886841885080308</v>
      </c>
      <c r="J29" s="7" t="s">
        <v>352</v>
      </c>
    </row>
    <row r="30" spans="1:13" ht="18" customHeight="1">
      <c r="A30" s="67" t="s">
        <v>212</v>
      </c>
      <c r="B30" s="67"/>
      <c r="C30" s="67"/>
      <c r="D30" s="61">
        <f>_xlfn.IFNA(VLOOKUP(封面!B1,'2020决算导出'!A:T,20,FALSE),"")</f>
        <v>7001797.4800000004</v>
      </c>
      <c r="E30" s="61"/>
      <c r="F30" s="7" t="s">
        <v>187</v>
      </c>
      <c r="G30" s="65" t="s">
        <v>209</v>
      </c>
      <c r="H30" s="65"/>
      <c r="I30" s="28">
        <f t="shared" si="2"/>
        <v>5.9142276123717454E-2</v>
      </c>
      <c r="J30" s="7" t="s">
        <v>352</v>
      </c>
    </row>
    <row r="31" spans="1:13" ht="18" customHeight="1">
      <c r="A31" s="67" t="s">
        <v>213</v>
      </c>
      <c r="B31" s="67"/>
      <c r="C31" s="67"/>
      <c r="D31" s="61">
        <f>_xlfn.IFNA(VLOOKUP(封面!B1,'2020决算导出'!A:U,21,FALSE),"")</f>
        <v>0</v>
      </c>
      <c r="E31" s="61"/>
      <c r="F31" s="7" t="s">
        <v>187</v>
      </c>
      <c r="G31" s="65" t="s">
        <v>209</v>
      </c>
      <c r="H31" s="65"/>
      <c r="I31" s="28">
        <f t="shared" si="2"/>
        <v>0</v>
      </c>
      <c r="J31" s="7" t="s">
        <v>352</v>
      </c>
    </row>
    <row r="32" spans="1:13" ht="18" customHeight="1">
      <c r="A32" s="67" t="s">
        <v>214</v>
      </c>
      <c r="B32" s="67"/>
      <c r="C32" s="67"/>
      <c r="D32" s="61">
        <f>_xlfn.IFNA(VLOOKUP(封面!B1,'2020决算导出'!A:V,22,FALSE),"")</f>
        <v>0</v>
      </c>
      <c r="E32" s="61"/>
      <c r="F32" s="7" t="s">
        <v>187</v>
      </c>
      <c r="G32" s="65" t="s">
        <v>209</v>
      </c>
      <c r="H32" s="65"/>
      <c r="I32" s="28">
        <f t="shared" si="2"/>
        <v>0</v>
      </c>
      <c r="J32" s="7" t="s">
        <v>352</v>
      </c>
    </row>
    <row r="33" spans="1:12" ht="18" customHeight="1">
      <c r="A33" s="67" t="s">
        <v>215</v>
      </c>
      <c r="B33" s="67"/>
      <c r="C33" s="67"/>
      <c r="D33" s="61">
        <f>_xlfn.IFNA(VLOOKUP(封面!B1,'2020决算导出'!A:W,23,FALSE),"")</f>
        <v>15569665.32</v>
      </c>
      <c r="E33" s="61"/>
      <c r="F33" s="7" t="s">
        <v>187</v>
      </c>
      <c r="G33" s="65" t="s">
        <v>209</v>
      </c>
      <c r="H33" s="65"/>
      <c r="I33" s="28">
        <f t="shared" si="2"/>
        <v>0.13151272200310879</v>
      </c>
      <c r="J33" s="7" t="s">
        <v>353</v>
      </c>
    </row>
    <row r="34" spans="1:12" ht="18" customHeight="1">
      <c r="A34" s="7" t="s">
        <v>216</v>
      </c>
    </row>
    <row r="35" spans="1:12" ht="18" customHeight="1">
      <c r="A35" s="64" t="s">
        <v>455</v>
      </c>
      <c r="B35" s="64"/>
      <c r="C35" s="64"/>
      <c r="D35" s="64"/>
      <c r="E35" s="61">
        <f>_xlfn.IFNA(VLOOKUP(封面!B1,一般公共预算财政拨款支出决算具体情况!A:C,3,FALSE),"")</f>
        <v>80560971.549999997</v>
      </c>
      <c r="F35" s="61"/>
      <c r="G35" s="7" t="s">
        <v>187</v>
      </c>
      <c r="H35" s="65" t="s">
        <v>217</v>
      </c>
      <c r="I35" s="65"/>
      <c r="J35" s="61">
        <f>_xlfn.IFNA(VLOOKUP(封面!B1,一般公共预算财政拨款支出决算具体情况!A:D,4,FALSE),"")</f>
        <v>69005085.799999997</v>
      </c>
      <c r="K35" s="61"/>
      <c r="L35" s="11" t="s">
        <v>186</v>
      </c>
    </row>
    <row r="36" spans="1:12" ht="18" customHeight="1">
      <c r="B36" s="14" t="str">
        <f>IF(E35&gt;J35,"增加","减少")</f>
        <v>增加</v>
      </c>
      <c r="C36" s="61">
        <f>ABS(E35-J35)</f>
        <v>11555885.75</v>
      </c>
      <c r="D36" s="61"/>
      <c r="E36" s="7" t="s">
        <v>187</v>
      </c>
      <c r="F36" s="14" t="str">
        <f>IF(E35&gt;J35,"增长","下降")</f>
        <v>增长</v>
      </c>
      <c r="G36" s="33">
        <f>C36/J35</f>
        <v>0.16746426174286419</v>
      </c>
      <c r="H36" s="7" t="s">
        <v>353</v>
      </c>
      <c r="I36" s="11" t="s">
        <v>218</v>
      </c>
    </row>
    <row r="37" spans="1:12" ht="18" customHeight="1">
      <c r="A37" s="67" t="s">
        <v>219</v>
      </c>
      <c r="B37" s="67"/>
      <c r="C37" s="67"/>
      <c r="D37" s="67"/>
      <c r="E37" s="61">
        <f>_xlfn.IFNA(VLOOKUP(封面!B1,一般公共预算财政拨款支出决算具体情况!A:E,5,FALSE),"")</f>
        <v>78791691.219999999</v>
      </c>
      <c r="F37" s="61"/>
      <c r="G37" s="7" t="s">
        <v>187</v>
      </c>
      <c r="H37" s="65" t="s">
        <v>217</v>
      </c>
      <c r="I37" s="65"/>
      <c r="J37" s="61">
        <f>_xlfn.IFNA(VLOOKUP(封面!B1,一般公共预算财政拨款支出决算具体情况!A:F,6,FALSE),"")</f>
        <v>66695512.600000001</v>
      </c>
      <c r="K37" s="61"/>
      <c r="L37" s="11" t="s">
        <v>186</v>
      </c>
    </row>
    <row r="38" spans="1:12" ht="18" customHeight="1">
      <c r="A38" s="14"/>
      <c r="B38" s="14" t="str">
        <f>IF(E37&gt;J37,"增加","减少")</f>
        <v>增加</v>
      </c>
      <c r="C38" s="61">
        <f>ABS(E37-J37)</f>
        <v>12096178.619999997</v>
      </c>
      <c r="D38" s="61"/>
      <c r="E38" s="7" t="s">
        <v>187</v>
      </c>
      <c r="F38" s="14" t="str">
        <f>IF(E37&gt;J37,"增长","下降")</f>
        <v>增长</v>
      </c>
      <c r="G38" s="33">
        <f>C38/J37</f>
        <v>0.1813642050035012</v>
      </c>
      <c r="H38" s="7" t="s">
        <v>353</v>
      </c>
    </row>
    <row r="39" spans="1:12" ht="36" customHeight="1">
      <c r="B39" s="62" t="s">
        <v>465</v>
      </c>
      <c r="C39" s="62"/>
      <c r="D39" s="62"/>
      <c r="E39" s="62"/>
      <c r="F39" s="62"/>
      <c r="G39" s="62"/>
      <c r="H39" s="62"/>
      <c r="I39" s="62"/>
      <c r="J39" s="62"/>
      <c r="K39" s="62"/>
      <c r="L39" s="62"/>
    </row>
    <row r="40" spans="1:12" ht="18" customHeight="1">
      <c r="A40" s="67" t="s">
        <v>220</v>
      </c>
      <c r="B40" s="67"/>
      <c r="C40" s="67"/>
      <c r="D40" s="67"/>
      <c r="E40" s="61">
        <f>_xlfn.IFNA(VLOOKUP(封面!B1,一般公共预算财政拨款支出决算具体情况!A:M,13,FALSE),"")</f>
        <v>11177.38</v>
      </c>
      <c r="F40" s="61"/>
      <c r="G40" s="7" t="s">
        <v>187</v>
      </c>
      <c r="H40" s="65" t="s">
        <v>217</v>
      </c>
      <c r="I40" s="65"/>
      <c r="J40" s="61">
        <f>_xlfn.IFNA(VLOOKUP(封面!B1,一般公共预算财政拨款支出决算具体情况!A:N,14,FALSE),"")</f>
        <v>212800</v>
      </c>
      <c r="K40" s="61"/>
      <c r="L40" s="11" t="s">
        <v>186</v>
      </c>
    </row>
    <row r="41" spans="1:12" ht="18" customHeight="1">
      <c r="A41" s="14"/>
      <c r="B41" s="14" t="str">
        <f>IF(E40&gt;J40,"增加","减少")</f>
        <v>减少</v>
      </c>
      <c r="C41" s="61">
        <f>ABS(E40-J40)</f>
        <v>201622.62</v>
      </c>
      <c r="D41" s="61"/>
      <c r="E41" s="7" t="s">
        <v>187</v>
      </c>
      <c r="F41" s="14" t="str">
        <f>IF(E40&gt;J40,"增长","下降")</f>
        <v>下降</v>
      </c>
      <c r="G41" s="33">
        <f>C41/J40</f>
        <v>0.94747471804511274</v>
      </c>
      <c r="H41" s="7" t="s">
        <v>353</v>
      </c>
    </row>
    <row r="42" spans="1:12" ht="36" customHeight="1">
      <c r="B42" s="62" t="s">
        <v>462</v>
      </c>
      <c r="C42" s="62"/>
      <c r="D42" s="62"/>
      <c r="E42" s="62"/>
      <c r="F42" s="62"/>
      <c r="G42" s="62"/>
      <c r="H42" s="62"/>
      <c r="I42" s="62"/>
      <c r="J42" s="62"/>
      <c r="K42" s="62"/>
      <c r="L42" s="62"/>
    </row>
    <row r="43" spans="1:12" ht="18" customHeight="1">
      <c r="A43" s="66" t="s">
        <v>221</v>
      </c>
      <c r="B43" s="66"/>
      <c r="C43" s="66"/>
      <c r="D43" s="66"/>
      <c r="E43" s="61">
        <f>_xlfn.IFNA(VLOOKUP(封面!B1,一般公共预算财政拨款支出决算具体情况!A:O,15,FALSE),"")</f>
        <v>1758102.95</v>
      </c>
      <c r="F43" s="61"/>
      <c r="G43" s="7" t="s">
        <v>187</v>
      </c>
      <c r="H43" s="65" t="s">
        <v>217</v>
      </c>
      <c r="I43" s="65"/>
      <c r="J43" s="61">
        <f>_xlfn.IFNA(VLOOKUP(封面!B1,一般公共预算财政拨款支出决算具体情况!A:P,16,FALSE),"")</f>
        <v>2096773.2</v>
      </c>
      <c r="K43" s="61"/>
      <c r="L43" s="11" t="s">
        <v>186</v>
      </c>
    </row>
    <row r="44" spans="1:12" ht="18" customHeight="1">
      <c r="A44" s="14"/>
      <c r="B44" s="14" t="str">
        <f>IF(E43&gt;J43,"增加","减少")</f>
        <v>减少</v>
      </c>
      <c r="C44" s="61">
        <f>ABS(E43-J43)</f>
        <v>338670.25</v>
      </c>
      <c r="D44" s="61"/>
      <c r="E44" s="7" t="s">
        <v>187</v>
      </c>
      <c r="F44" s="14" t="str">
        <f>IF(E43&gt;J43,"增长","下降")</f>
        <v>下降</v>
      </c>
      <c r="G44" s="33">
        <f>C44/J43</f>
        <v>0.16151973422781252</v>
      </c>
      <c r="H44" s="7" t="s">
        <v>353</v>
      </c>
    </row>
    <row r="45" spans="1:12" ht="36" customHeight="1">
      <c r="B45" s="62" t="s">
        <v>463</v>
      </c>
      <c r="C45" s="62"/>
      <c r="D45" s="62"/>
      <c r="E45" s="62"/>
      <c r="F45" s="62"/>
      <c r="G45" s="62"/>
      <c r="H45" s="62"/>
      <c r="I45" s="62"/>
      <c r="J45" s="62"/>
      <c r="K45" s="62"/>
      <c r="L45" s="62"/>
    </row>
    <row r="46" spans="1:12" ht="18" customHeight="1">
      <c r="A46" s="68" t="s">
        <v>456</v>
      </c>
      <c r="B46" s="68"/>
      <c r="C46" s="68"/>
      <c r="D46" s="68"/>
      <c r="E46" s="61">
        <f>_xlfn.IFNA(VLOOKUP(封面!B1,一般公共预算财政拨款支出决算具体情况!A:Q,17,FALSE),"")</f>
        <v>0</v>
      </c>
      <c r="F46" s="61"/>
      <c r="G46" s="7" t="s">
        <v>187</v>
      </c>
      <c r="H46" s="64" t="s">
        <v>451</v>
      </c>
      <c r="I46" s="64"/>
      <c r="J46" s="64"/>
      <c r="K46" s="64"/>
      <c r="L46" s="11"/>
    </row>
    <row r="47" spans="1:12" ht="18" customHeight="1">
      <c r="A47" s="67" t="s">
        <v>222</v>
      </c>
      <c r="B47" s="67"/>
      <c r="C47" s="67"/>
      <c r="D47" s="67"/>
      <c r="E47" s="61">
        <f>_xlfn.IFNA(VLOOKUP(封面!B1,一般公共预算财政拨款支出决算具体情况!A:S,19,FALSE),"")</f>
        <v>0</v>
      </c>
      <c r="F47" s="61"/>
      <c r="G47" s="7" t="s">
        <v>187</v>
      </c>
      <c r="H47" s="64" t="s">
        <v>223</v>
      </c>
      <c r="I47" s="64"/>
      <c r="J47" s="64"/>
      <c r="K47" s="64"/>
      <c r="L47" s="11"/>
    </row>
    <row r="48" spans="1:12" ht="18" customHeight="1">
      <c r="A48" s="68" t="s">
        <v>457</v>
      </c>
      <c r="B48" s="68"/>
      <c r="C48" s="68"/>
      <c r="D48" s="68"/>
      <c r="E48" s="61">
        <f>_xlfn.IFNA(VLOOKUP(封面!B1,一般公共预算财政拨款支出决算具体情况!A:U,21,FALSE),"")</f>
        <v>15256608.799999999</v>
      </c>
      <c r="F48" s="61"/>
      <c r="G48" s="7" t="s">
        <v>187</v>
      </c>
      <c r="H48" s="65" t="s">
        <v>217</v>
      </c>
      <c r="I48" s="65"/>
      <c r="J48" s="61">
        <f>_xlfn.IFNA(VLOOKUP(封面!B1,一般公共预算财政拨款支出决算具体情况!A:V,22,FALSE),"")</f>
        <v>14752293.279999999</v>
      </c>
      <c r="K48" s="61"/>
      <c r="L48" s="11" t="s">
        <v>186</v>
      </c>
    </row>
    <row r="49" spans="1:12" ht="18" customHeight="1">
      <c r="B49" s="14" t="str">
        <f>IF(E48&gt;J48,"增加","减少")</f>
        <v>增加</v>
      </c>
      <c r="C49" s="61">
        <f>ABS(E48-J48)</f>
        <v>504315.51999999955</v>
      </c>
      <c r="D49" s="61"/>
      <c r="E49" s="7" t="s">
        <v>187</v>
      </c>
      <c r="F49" s="14" t="str">
        <f>IF(E48&gt;J48,"增长","下降")</f>
        <v>增长</v>
      </c>
      <c r="G49" s="33">
        <f>C49/J48</f>
        <v>3.4185567655688552E-2</v>
      </c>
      <c r="H49" s="7" t="s">
        <v>353</v>
      </c>
      <c r="I49" s="11" t="s">
        <v>218</v>
      </c>
    </row>
    <row r="50" spans="1:12" ht="18" customHeight="1">
      <c r="A50" s="66" t="s">
        <v>224</v>
      </c>
      <c r="B50" s="66"/>
      <c r="C50" s="66"/>
      <c r="D50" s="66"/>
      <c r="E50" s="61">
        <f>_xlfn.IFNA(VLOOKUP(封面!B1,一般公共预算财政拨款支出决算具体情况!A:W,23,FALSE),"")</f>
        <v>15256608.799999999</v>
      </c>
      <c r="F50" s="61"/>
      <c r="G50" s="7" t="s">
        <v>187</v>
      </c>
      <c r="H50" s="65" t="s">
        <v>217</v>
      </c>
      <c r="I50" s="65"/>
      <c r="J50" s="61">
        <f>_xlfn.IFNA(VLOOKUP(封面!B1,一般公共预算财政拨款支出决算具体情况!A:X,24,FALSE),"")</f>
        <v>14752293.279999999</v>
      </c>
      <c r="K50" s="61"/>
      <c r="L50" s="11" t="s">
        <v>186</v>
      </c>
    </row>
    <row r="51" spans="1:12" ht="18" customHeight="1">
      <c r="A51" s="14"/>
      <c r="B51" s="14" t="str">
        <f>IF(E50&gt;J50,"增加","减少")</f>
        <v>增加</v>
      </c>
      <c r="C51" s="61">
        <f>ABS(E50-J50)</f>
        <v>504315.51999999955</v>
      </c>
      <c r="D51" s="61"/>
      <c r="E51" s="7" t="s">
        <v>187</v>
      </c>
      <c r="F51" s="14" t="str">
        <f>IF(E50&gt;J50,"增长","下降")</f>
        <v>增长</v>
      </c>
      <c r="G51" s="33">
        <f>C51/J50</f>
        <v>3.4185567655688552E-2</v>
      </c>
      <c r="H51" s="7" t="s">
        <v>353</v>
      </c>
    </row>
    <row r="52" spans="1:12" ht="36" customHeight="1">
      <c r="B52" s="62" t="s">
        <v>466</v>
      </c>
      <c r="C52" s="62"/>
      <c r="D52" s="62"/>
      <c r="E52" s="62"/>
      <c r="F52" s="62"/>
      <c r="G52" s="62"/>
      <c r="H52" s="62"/>
      <c r="I52" s="62"/>
      <c r="J52" s="62"/>
      <c r="K52" s="62"/>
      <c r="L52" s="62"/>
    </row>
    <row r="53" spans="1:12" ht="18" customHeight="1">
      <c r="A53" s="66" t="s">
        <v>225</v>
      </c>
      <c r="B53" s="66"/>
      <c r="C53" s="66"/>
      <c r="D53" s="66"/>
      <c r="E53" s="61">
        <f>_xlfn.IFNA(VLOOKUP(封面!B1,一般公共预算财政拨款支出决算具体情况!A:Y,25,FALSE),"")</f>
        <v>0</v>
      </c>
      <c r="F53" s="61"/>
      <c r="G53" s="7" t="s">
        <v>187</v>
      </c>
      <c r="H53" s="65" t="s">
        <v>452</v>
      </c>
      <c r="I53" s="65"/>
      <c r="J53" s="61"/>
      <c r="K53" s="61"/>
      <c r="L53" s="11"/>
    </row>
    <row r="54" spans="1:12" ht="18" customHeight="1">
      <c r="A54" s="68" t="s">
        <v>458</v>
      </c>
      <c r="B54" s="68"/>
      <c r="C54" s="68"/>
      <c r="D54" s="68"/>
      <c r="E54" s="61">
        <f>_xlfn.IFNA(VLOOKUP(封面!B1,一般公共预算财政拨款支出决算具体情况!A:AA,27,FALSE),"")</f>
        <v>7001797.4800000004</v>
      </c>
      <c r="F54" s="61"/>
      <c r="G54" s="7" t="s">
        <v>187</v>
      </c>
      <c r="H54" s="65" t="s">
        <v>217</v>
      </c>
      <c r="I54" s="65"/>
      <c r="J54" s="61">
        <f>_xlfn.IFNA(VLOOKUP(封面!B1,一般公共预算财政拨款支出决算具体情况!A:AB,28,FALSE),"")</f>
        <v>5846451.3600000003</v>
      </c>
      <c r="K54" s="61"/>
      <c r="L54" s="11" t="s">
        <v>186</v>
      </c>
    </row>
    <row r="55" spans="1:12" ht="18" customHeight="1">
      <c r="B55" s="14" t="str">
        <f>IF(E54&gt;J54,"增加","减少")</f>
        <v>增加</v>
      </c>
      <c r="C55" s="61">
        <f>ABS(E54-J54)</f>
        <v>1155346.1200000001</v>
      </c>
      <c r="D55" s="61"/>
      <c r="E55" s="7" t="s">
        <v>187</v>
      </c>
      <c r="F55" s="14" t="str">
        <f>IF(E54&gt;J54,"增长","下降")</f>
        <v>增长</v>
      </c>
      <c r="G55" s="33">
        <f>C55/J54</f>
        <v>0.19761493748234998</v>
      </c>
      <c r="H55" s="7" t="s">
        <v>353</v>
      </c>
      <c r="I55" s="11" t="s">
        <v>218</v>
      </c>
    </row>
    <row r="56" spans="1:12" ht="18" customHeight="1">
      <c r="A56" s="66" t="s">
        <v>226</v>
      </c>
      <c r="B56" s="66"/>
      <c r="C56" s="66"/>
      <c r="D56" s="66"/>
      <c r="E56" s="61">
        <f>_xlfn.IFNA(VLOOKUP(封面!B1,一般公共预算财政拨款支出决算具体情况!A:AC,29,FALSE),"")</f>
        <v>7001797.4800000004</v>
      </c>
      <c r="F56" s="61"/>
      <c r="G56" s="7" t="s">
        <v>187</v>
      </c>
      <c r="H56" s="65" t="s">
        <v>217</v>
      </c>
      <c r="I56" s="65"/>
      <c r="J56" s="61">
        <f>_xlfn.IFNA(VLOOKUP(封面!B1,一般公共预算财政拨款支出决算具体情况!A:AD,30,FALSE),"")</f>
        <v>5846451.3600000003</v>
      </c>
      <c r="K56" s="61"/>
      <c r="L56" s="11" t="s">
        <v>186</v>
      </c>
    </row>
    <row r="57" spans="1:12" ht="18" customHeight="1">
      <c r="A57" s="14"/>
      <c r="B57" s="14" t="str">
        <f>IF(E56&gt;J56,"增加","减少")</f>
        <v>增加</v>
      </c>
      <c r="C57" s="61">
        <f>ABS(E56-J56)</f>
        <v>1155346.1200000001</v>
      </c>
      <c r="D57" s="61"/>
      <c r="E57" s="7" t="s">
        <v>187</v>
      </c>
      <c r="F57" s="14" t="str">
        <f>IF(E56&gt;J56,"增长","下降")</f>
        <v>增长</v>
      </c>
      <c r="G57" s="33">
        <f>C57/J56</f>
        <v>0.19761493748234998</v>
      </c>
      <c r="H57" s="7" t="s">
        <v>353</v>
      </c>
    </row>
    <row r="58" spans="1:12" ht="36" customHeight="1">
      <c r="B58" s="62" t="s">
        <v>467</v>
      </c>
      <c r="C58" s="62"/>
      <c r="D58" s="62"/>
      <c r="E58" s="62"/>
      <c r="F58" s="62"/>
      <c r="G58" s="62"/>
      <c r="H58" s="62"/>
      <c r="I58" s="62"/>
      <c r="J58" s="62"/>
      <c r="K58" s="62"/>
      <c r="L58" s="62"/>
    </row>
    <row r="59" spans="1:12" ht="18" customHeight="1">
      <c r="A59" s="68" t="s">
        <v>459</v>
      </c>
      <c r="B59" s="68"/>
      <c r="C59" s="68"/>
      <c r="D59" s="68"/>
      <c r="E59" s="61">
        <f>_xlfn.IFNA(VLOOKUP(封面!B1,一般公共预算财政拨款支出决算具体情况!A:AE,31,FALSE),"")</f>
        <v>0</v>
      </c>
      <c r="F59" s="61"/>
      <c r="G59" s="7" t="s">
        <v>187</v>
      </c>
      <c r="H59" s="64" t="s">
        <v>223</v>
      </c>
      <c r="I59" s="64"/>
      <c r="J59" s="64"/>
      <c r="K59" s="64"/>
      <c r="L59" s="11"/>
    </row>
    <row r="60" spans="1:12" ht="18" customHeight="1">
      <c r="A60" s="66" t="s">
        <v>227</v>
      </c>
      <c r="B60" s="66"/>
      <c r="C60" s="66"/>
      <c r="D60" s="66"/>
      <c r="E60" s="61">
        <f>_xlfn.IFNA(VLOOKUP(封面!B1,一般公共预算财政拨款支出决算具体情况!A:AG,33,FALSE),"")</f>
        <v>0</v>
      </c>
      <c r="F60" s="61"/>
      <c r="G60" s="7" t="s">
        <v>187</v>
      </c>
      <c r="H60" s="64" t="s">
        <v>223</v>
      </c>
      <c r="I60" s="64"/>
      <c r="J60" s="64"/>
      <c r="K60" s="64"/>
      <c r="L60" s="11"/>
    </row>
    <row r="61" spans="1:12" ht="18" customHeight="1">
      <c r="A61" s="68" t="s">
        <v>460</v>
      </c>
      <c r="B61" s="68"/>
      <c r="C61" s="68"/>
      <c r="D61" s="68"/>
      <c r="E61" s="61">
        <f>_xlfn.IFNA(VLOOKUP(封面!B1,一般公共预算财政拨款支出决算具体情况!A:AI,35,FALSE),"")</f>
        <v>0</v>
      </c>
      <c r="F61" s="61"/>
      <c r="G61" s="7" t="s">
        <v>187</v>
      </c>
      <c r="H61" s="64" t="s">
        <v>223</v>
      </c>
      <c r="I61" s="64"/>
      <c r="J61" s="64"/>
      <c r="K61" s="64"/>
      <c r="L61" s="11"/>
    </row>
    <row r="62" spans="1:12" ht="18" customHeight="1">
      <c r="A62" s="66" t="s">
        <v>228</v>
      </c>
      <c r="B62" s="66"/>
      <c r="C62" s="66"/>
      <c r="D62" s="66"/>
      <c r="E62" s="61">
        <f>_xlfn.IFNA(VLOOKUP(封面!B1,一般公共预算财政拨款支出决算具体情况!A:AK,37,FALSE),"")</f>
        <v>0</v>
      </c>
      <c r="F62" s="61"/>
      <c r="G62" s="7" t="s">
        <v>187</v>
      </c>
      <c r="H62" s="64" t="s">
        <v>223</v>
      </c>
      <c r="I62" s="64"/>
      <c r="J62" s="64"/>
      <c r="K62" s="64"/>
      <c r="L62" s="11"/>
    </row>
    <row r="63" spans="1:12" ht="18" customHeight="1">
      <c r="A63" s="68" t="s">
        <v>461</v>
      </c>
      <c r="B63" s="68"/>
      <c r="C63" s="68"/>
      <c r="D63" s="68"/>
      <c r="E63" s="61">
        <f>_xlfn.IFNA(VLOOKUP(封面!B1,一般公共预算财政拨款支出决算具体情况!A:AM,39,FALSE),"")</f>
        <v>15569665.32</v>
      </c>
      <c r="F63" s="61"/>
      <c r="G63" s="7" t="s">
        <v>187</v>
      </c>
      <c r="H63" s="65" t="s">
        <v>217</v>
      </c>
      <c r="I63" s="65"/>
      <c r="J63" s="61">
        <f>_xlfn.IFNA(VLOOKUP(封面!B1,一般公共预算财政拨款支出决算具体情况!A:AN,40,FALSE),"")</f>
        <v>14846233.68</v>
      </c>
      <c r="K63" s="61"/>
      <c r="L63" s="11" t="s">
        <v>186</v>
      </c>
    </row>
    <row r="64" spans="1:12" ht="18" customHeight="1">
      <c r="B64" s="14" t="str">
        <f>IF(E63&gt;J63,"增加","减少")</f>
        <v>增加</v>
      </c>
      <c r="C64" s="61">
        <f>ABS(E63-J63)</f>
        <v>723431.6400000006</v>
      </c>
      <c r="D64" s="61"/>
      <c r="E64" s="7" t="s">
        <v>187</v>
      </c>
      <c r="F64" s="14" t="str">
        <f>IF(E63&gt;J63,"增长","下降")</f>
        <v>增长</v>
      </c>
      <c r="G64" s="33">
        <f>C64/J63</f>
        <v>4.8728294030193429E-2</v>
      </c>
      <c r="H64" s="7" t="s">
        <v>353</v>
      </c>
      <c r="I64" s="11" t="s">
        <v>218</v>
      </c>
    </row>
    <row r="65" spans="1:13" ht="18" customHeight="1">
      <c r="A65" s="66" t="s">
        <v>229</v>
      </c>
      <c r="B65" s="66"/>
      <c r="C65" s="66"/>
      <c r="D65" s="66"/>
      <c r="E65" s="61">
        <f>_xlfn.IFNA(VLOOKUP(封面!B1,一般公共预算财政拨款支出决算具体情况!A:AO,41,FALSE),"")</f>
        <v>15569665.32</v>
      </c>
      <c r="F65" s="61"/>
      <c r="G65" s="7" t="s">
        <v>187</v>
      </c>
      <c r="H65" s="65" t="s">
        <v>217</v>
      </c>
      <c r="I65" s="65"/>
      <c r="J65" s="61">
        <f>_xlfn.IFNA(VLOOKUP(封面!B1,一般公共预算财政拨款支出决算具体情况!A:AP,42,FALSE),"")</f>
        <v>14846233.68</v>
      </c>
      <c r="K65" s="61"/>
      <c r="L65" s="11" t="s">
        <v>186</v>
      </c>
    </row>
    <row r="66" spans="1:13" ht="18" customHeight="1">
      <c r="A66" s="14"/>
      <c r="B66" s="14" t="str">
        <f>IF(E65&gt;J65,"增加","减少")</f>
        <v>增加</v>
      </c>
      <c r="C66" s="61">
        <f>ABS(E65-J65)</f>
        <v>723431.6400000006</v>
      </c>
      <c r="D66" s="61"/>
      <c r="E66" s="7" t="s">
        <v>187</v>
      </c>
      <c r="F66" s="14" t="str">
        <f>IF(E65&gt;J65,"增长","下降")</f>
        <v>增长</v>
      </c>
      <c r="G66" s="33">
        <f>C66/J65</f>
        <v>4.8728294030193429E-2</v>
      </c>
      <c r="H66" s="7" t="s">
        <v>353</v>
      </c>
    </row>
    <row r="67" spans="1:13" ht="36" customHeight="1">
      <c r="B67" s="62" t="s">
        <v>468</v>
      </c>
      <c r="C67" s="62"/>
      <c r="D67" s="62"/>
      <c r="E67" s="62"/>
      <c r="F67" s="62"/>
      <c r="G67" s="62"/>
      <c r="H67" s="62"/>
      <c r="I67" s="62"/>
      <c r="J67" s="62"/>
      <c r="K67" s="62"/>
      <c r="L67" s="62"/>
    </row>
    <row r="68" spans="1:13" ht="18" customHeight="1">
      <c r="A68" s="6" t="s">
        <v>230</v>
      </c>
    </row>
    <row r="69" spans="1:13" ht="18" customHeight="1">
      <c r="A69" s="7" t="str">
        <f>IF(_xlfn.IFNA(VLOOKUP(封面!B1,'2020决算导出'!A:X,24,FALSE),"")=0,"本年度无此项支出。","")</f>
        <v>本年度无此项支出。</v>
      </c>
    </row>
    <row r="70" spans="1:13" ht="18" customHeight="1">
      <c r="A70" s="6" t="s">
        <v>231</v>
      </c>
    </row>
    <row r="71" spans="1:13" ht="18" customHeight="1">
      <c r="A71" s="7" t="s">
        <v>232</v>
      </c>
    </row>
    <row r="72" spans="1:13" ht="18" customHeight="1">
      <c r="A72" s="6" t="s">
        <v>233</v>
      </c>
    </row>
    <row r="73" spans="1:13" ht="18" customHeight="1">
      <c r="A73" s="7" t="s">
        <v>234</v>
      </c>
      <c r="G73" s="61">
        <f>_xlfn.IFNA(VLOOKUP(封面!B1,'2020决算导出'!A:AA,27,FALSE),"")</f>
        <v>113044574.3</v>
      </c>
      <c r="H73" s="61"/>
      <c r="I73" s="11" t="s">
        <v>187</v>
      </c>
    </row>
    <row r="74" spans="1:13" ht="130.19999999999999" customHeight="1">
      <c r="A74" s="62" t="s">
        <v>235</v>
      </c>
      <c r="B74" s="62"/>
      <c r="C74" s="62"/>
      <c r="D74" s="62"/>
      <c r="E74" s="62"/>
      <c r="F74" s="62"/>
      <c r="G74" s="62"/>
      <c r="H74" s="62"/>
      <c r="I74" s="62"/>
      <c r="J74" s="62"/>
      <c r="K74" s="62"/>
      <c r="L74" s="62"/>
      <c r="M74" s="62"/>
    </row>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128">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B39:L39"/>
    <mergeCell ref="C36:D36"/>
    <mergeCell ref="C38:D38"/>
    <mergeCell ref="A37:D37"/>
    <mergeCell ref="E37:F37"/>
    <mergeCell ref="H37:I37"/>
    <mergeCell ref="J37:K37"/>
    <mergeCell ref="A40:D40"/>
    <mergeCell ref="E40:F40"/>
    <mergeCell ref="H40:I40"/>
    <mergeCell ref="J40:K40"/>
    <mergeCell ref="C44:D44"/>
    <mergeCell ref="B45:L45"/>
    <mergeCell ref="A46:D46"/>
    <mergeCell ref="E46:F46"/>
    <mergeCell ref="C41:D41"/>
    <mergeCell ref="B42:L42"/>
    <mergeCell ref="A43:D43"/>
    <mergeCell ref="E43:F43"/>
    <mergeCell ref="H43:I43"/>
    <mergeCell ref="J43:K43"/>
    <mergeCell ref="E48:F48"/>
    <mergeCell ref="H48:I48"/>
    <mergeCell ref="J48:K48"/>
    <mergeCell ref="A47:D47"/>
    <mergeCell ref="E47:F47"/>
    <mergeCell ref="A53:D53"/>
    <mergeCell ref="E53:F53"/>
    <mergeCell ref="H53:I53"/>
    <mergeCell ref="J53:K53"/>
    <mergeCell ref="C49:D49"/>
    <mergeCell ref="A50:D50"/>
    <mergeCell ref="E50:F50"/>
    <mergeCell ref="H50:I50"/>
    <mergeCell ref="J50:K50"/>
    <mergeCell ref="C51:D51"/>
    <mergeCell ref="H59:K59"/>
    <mergeCell ref="H46:K46"/>
    <mergeCell ref="H60:K60"/>
    <mergeCell ref="A61:D61"/>
    <mergeCell ref="E61:F61"/>
    <mergeCell ref="H61:K61"/>
    <mergeCell ref="A59:D59"/>
    <mergeCell ref="E59:F59"/>
    <mergeCell ref="A60:D60"/>
    <mergeCell ref="E60:F60"/>
    <mergeCell ref="A56:D56"/>
    <mergeCell ref="E56:F56"/>
    <mergeCell ref="H56:I56"/>
    <mergeCell ref="J56:K56"/>
    <mergeCell ref="C57:D57"/>
    <mergeCell ref="B58:L58"/>
    <mergeCell ref="A54:D54"/>
    <mergeCell ref="E54:F54"/>
    <mergeCell ref="H54:I54"/>
    <mergeCell ref="J54:K54"/>
    <mergeCell ref="C55:D55"/>
    <mergeCell ref="B52:L52"/>
    <mergeCell ref="H47:K47"/>
    <mergeCell ref="A48:D48"/>
    <mergeCell ref="J65:K65"/>
    <mergeCell ref="C66:D66"/>
    <mergeCell ref="A62:D62"/>
    <mergeCell ref="E62:F62"/>
    <mergeCell ref="H62:K62"/>
    <mergeCell ref="A63:D63"/>
    <mergeCell ref="E63:F63"/>
    <mergeCell ref="H63:I63"/>
    <mergeCell ref="J63:K63"/>
    <mergeCell ref="G73:H73"/>
    <mergeCell ref="A74:M74"/>
    <mergeCell ref="A4:M4"/>
    <mergeCell ref="B67:L67"/>
    <mergeCell ref="C64:D64"/>
    <mergeCell ref="A65:D65"/>
    <mergeCell ref="E65:F65"/>
    <mergeCell ref="H65:I65"/>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19" sqref="A19:F19"/>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280</v>
      </c>
      <c r="B1" s="59"/>
      <c r="C1" s="59"/>
      <c r="D1" s="59"/>
      <c r="E1" s="59"/>
      <c r="F1" s="59"/>
      <c r="G1" s="59"/>
      <c r="H1" s="59"/>
      <c r="I1" s="59"/>
      <c r="J1" s="59"/>
      <c r="K1" s="59"/>
      <c r="L1" s="59"/>
      <c r="M1" s="59"/>
      <c r="N1" s="59"/>
    </row>
    <row r="2" spans="1:14" ht="18" customHeight="1">
      <c r="A2" s="6" t="s">
        <v>236</v>
      </c>
    </row>
    <row r="3" spans="1:14" ht="18" customHeight="1">
      <c r="A3" s="15" t="str">
        <f>IF(_xlfn.IFNA(VLOOKUP(封面!B1,'2020决算导出'!A:AB,28,FALSE),"")=0,"本年度无此项支出。","")</f>
        <v/>
      </c>
    </row>
    <row r="4" spans="1:14" ht="18" customHeight="1">
      <c r="A4" s="7" t="s">
        <v>237</v>
      </c>
      <c r="F4" s="61">
        <f>_xlfn.IFNA(VLOOKUP(封面!B1,'2020决算导出'!A:AB,28,FALSE),"")</f>
        <v>20675.47</v>
      </c>
      <c r="G4" s="61"/>
      <c r="H4" s="7" t="s">
        <v>187</v>
      </c>
      <c r="I4" s="7" t="s">
        <v>238</v>
      </c>
    </row>
    <row r="5" spans="1:14" ht="18" customHeight="1">
      <c r="A5" s="70">
        <f>_xlfn.IFNA(VLOOKUP(封面!B1,'2020决算导出'!A:AC,29,FALSE),"")</f>
        <v>27000</v>
      </c>
      <c r="B5" s="70"/>
      <c r="C5" s="7" t="s">
        <v>186</v>
      </c>
      <c r="D5" s="29" t="str">
        <f>IF(F4&gt;A5,"增加","减少")</f>
        <v>减少</v>
      </c>
      <c r="E5" s="70">
        <f>ABS(F4-A5)</f>
        <v>6324.5299999999988</v>
      </c>
      <c r="F5" s="70"/>
      <c r="G5" s="7" t="s">
        <v>240</v>
      </c>
    </row>
    <row r="6" spans="1:14" ht="18" customHeight="1">
      <c r="A6" s="7" t="s">
        <v>241</v>
      </c>
    </row>
    <row r="7" spans="1:14" ht="18" customHeight="1">
      <c r="A7" s="55" t="s">
        <v>454</v>
      </c>
      <c r="B7" s="18"/>
      <c r="C7" s="18"/>
      <c r="D7" s="18"/>
      <c r="E7" s="18"/>
      <c r="F7" s="18"/>
      <c r="G7" s="18"/>
      <c r="H7" s="18"/>
      <c r="I7" s="18"/>
      <c r="J7" s="18"/>
      <c r="K7" s="18"/>
      <c r="L7" s="18"/>
      <c r="M7" s="18"/>
      <c r="N7" s="18"/>
    </row>
    <row r="8" spans="1:14" ht="18" customHeight="1">
      <c r="A8" s="7" t="s">
        <v>243</v>
      </c>
    </row>
    <row r="9" spans="1:14" ht="39" customHeight="1">
      <c r="A9" s="72" t="s">
        <v>244</v>
      </c>
      <c r="B9" s="72"/>
      <c r="C9" s="72"/>
      <c r="D9" s="72"/>
      <c r="E9" s="72"/>
      <c r="F9" s="72"/>
      <c r="G9" s="72"/>
      <c r="H9" s="72"/>
      <c r="I9" s="72"/>
      <c r="J9" s="72"/>
      <c r="K9" s="72"/>
      <c r="L9" s="72"/>
      <c r="M9" s="72"/>
      <c r="N9" s="72"/>
    </row>
    <row r="10" spans="1:14" ht="18" customHeight="1">
      <c r="A10" s="7" t="s">
        <v>245</v>
      </c>
    </row>
    <row r="11" spans="1:14" ht="18" customHeight="1">
      <c r="A11" s="67" t="s">
        <v>242</v>
      </c>
      <c r="B11" s="67"/>
      <c r="C11" s="34">
        <f>_xlfn.IFNA(VLOOKUP(封面!B1,'2020决算导出'!A:AI,35,FALSE),"")</f>
        <v>20675.47</v>
      </c>
      <c r="D11" s="7" t="s">
        <v>187</v>
      </c>
      <c r="E11" s="67" t="s">
        <v>246</v>
      </c>
      <c r="F11" s="67"/>
      <c r="G11" s="67"/>
      <c r="H11" s="70">
        <f>_xlfn.IFNA(VLOOKUP(封面!B1,'2020决算导出'!A:AJ,36,FALSE),"")</f>
        <v>27000</v>
      </c>
      <c r="I11" s="70"/>
      <c r="J11" s="15" t="s">
        <v>186</v>
      </c>
      <c r="K11" s="29" t="str">
        <f>IF(C11&gt;H11,"增加","减少")</f>
        <v>减少</v>
      </c>
      <c r="L11" s="70">
        <f>ABS(C11-H11)</f>
        <v>6324.5299999999988</v>
      </c>
      <c r="M11" s="70"/>
      <c r="N11" s="7" t="s">
        <v>239</v>
      </c>
    </row>
    <row r="12" spans="1:14" ht="18" customHeight="1">
      <c r="A12" s="67" t="s">
        <v>247</v>
      </c>
      <c r="B12" s="67"/>
      <c r="C12" s="67"/>
      <c r="D12" s="67"/>
      <c r="E12" s="67"/>
      <c r="F12" s="70">
        <f>_xlfn.IFNA(VLOOKUP(封面!B1,'2020决算导出'!A:AK,37,FALSE),"")</f>
        <v>0</v>
      </c>
      <c r="G12" s="70"/>
      <c r="H12" s="16" t="s">
        <v>187</v>
      </c>
      <c r="I12" s="67" t="s">
        <v>246</v>
      </c>
      <c r="J12" s="67"/>
      <c r="K12" s="67"/>
      <c r="L12" s="70">
        <f>_xlfn.IFNA(VLOOKUP(封面!B1,'2020决算导出'!A:AL,38,FALSE),"")</f>
        <v>0</v>
      </c>
      <c r="M12" s="70"/>
      <c r="N12" s="7" t="s">
        <v>186</v>
      </c>
    </row>
    <row r="13" spans="1:14" ht="18" customHeight="1">
      <c r="A13" s="14" t="str">
        <f>IF(F12&gt;L12,"增加","减少")</f>
        <v>减少</v>
      </c>
      <c r="B13" s="70">
        <f>ABS(F12-L12)</f>
        <v>0</v>
      </c>
      <c r="C13" s="70"/>
      <c r="D13" s="7" t="s">
        <v>239</v>
      </c>
      <c r="H13" s="70"/>
      <c r="I13" s="70"/>
      <c r="J13" s="15"/>
    </row>
    <row r="14" spans="1:14" ht="36" customHeight="1">
      <c r="A14" s="71" t="s">
        <v>469</v>
      </c>
      <c r="B14" s="71"/>
      <c r="C14" s="71"/>
      <c r="D14" s="71"/>
      <c r="E14" s="71"/>
      <c r="F14" s="71"/>
      <c r="G14" s="71"/>
      <c r="H14" s="71"/>
      <c r="I14" s="71"/>
      <c r="J14" s="71"/>
      <c r="K14" s="71"/>
      <c r="L14" s="71"/>
      <c r="M14" s="71"/>
      <c r="N14" s="71"/>
    </row>
    <row r="15" spans="1:14" ht="18" customHeight="1">
      <c r="A15" s="67" t="s">
        <v>248</v>
      </c>
      <c r="B15" s="67"/>
      <c r="C15" s="67"/>
      <c r="D15" s="8">
        <f>_xlfn.IFNA(VLOOKUP(封面!B1,'2020决算导出'!A:AM,39,FALSE),"")</f>
        <v>0</v>
      </c>
      <c r="E15" s="7" t="s">
        <v>249</v>
      </c>
      <c r="F15" s="67" t="s">
        <v>250</v>
      </c>
      <c r="G15" s="67"/>
      <c r="H15" s="70">
        <f>IF(D15=0,0,F12/D15)</f>
        <v>0</v>
      </c>
      <c r="I15" s="70"/>
      <c r="J15" s="7" t="s">
        <v>239</v>
      </c>
    </row>
    <row r="16" spans="1:14" ht="18" customHeight="1">
      <c r="A16" s="65" t="s">
        <v>251</v>
      </c>
      <c r="B16" s="65"/>
      <c r="C16" s="65"/>
      <c r="D16" s="65"/>
      <c r="E16" s="65"/>
      <c r="F16" s="70">
        <f>_xlfn.IFNA(VLOOKUP(封面!B1,'2020决算导出'!A:AO,41,FALSE),"")</f>
        <v>20675.47</v>
      </c>
      <c r="G16" s="70" t="s">
        <v>187</v>
      </c>
      <c r="H16" s="7" t="s">
        <v>187</v>
      </c>
      <c r="I16" s="7" t="s">
        <v>246</v>
      </c>
      <c r="L16" s="70">
        <f>_xlfn.IFNA(VLOOKUP(封面!B1,'2020决算导出'!A:AP,42,FALSE),"")</f>
        <v>27000</v>
      </c>
      <c r="M16" s="70" t="s">
        <v>187</v>
      </c>
      <c r="N16" s="7" t="s">
        <v>187</v>
      </c>
    </row>
    <row r="17" spans="1:14" ht="18" customHeight="1">
      <c r="A17" s="14" t="str">
        <f>IF(F16&gt;L16,"增加","减少")</f>
        <v>减少</v>
      </c>
      <c r="B17" s="70">
        <f>ABS(F16-L16)</f>
        <v>6324.5299999999988</v>
      </c>
      <c r="C17" s="70"/>
      <c r="D17" s="7" t="s">
        <v>239</v>
      </c>
    </row>
    <row r="18" spans="1:14" ht="36" customHeight="1">
      <c r="A18" s="62" t="s">
        <v>252</v>
      </c>
      <c r="B18" s="62"/>
      <c r="C18" s="62"/>
      <c r="D18" s="62"/>
      <c r="E18" s="62"/>
      <c r="F18" s="62"/>
      <c r="G18" s="62"/>
      <c r="H18" s="62"/>
      <c r="I18" s="62"/>
      <c r="J18" s="62"/>
      <c r="K18" s="62"/>
      <c r="L18" s="62"/>
      <c r="M18" s="62"/>
      <c r="N18" s="62"/>
    </row>
    <row r="19" spans="1:14" ht="18" customHeight="1">
      <c r="A19" s="67" t="s">
        <v>253</v>
      </c>
      <c r="B19" s="67"/>
      <c r="C19" s="67"/>
      <c r="D19" s="67"/>
      <c r="E19" s="67"/>
      <c r="F19" s="67"/>
      <c r="G19" s="70">
        <f>_xlfn.IFNA(VLOOKUP(封面!B1,'2020决算导出'!A:AQ,43,FALSE),"")</f>
        <v>9000</v>
      </c>
      <c r="H19" s="70" t="s">
        <v>187</v>
      </c>
      <c r="I19" s="7" t="s">
        <v>187</v>
      </c>
      <c r="J19" s="7" t="s">
        <v>254</v>
      </c>
      <c r="L19" s="70">
        <f>_xlfn.IFNA(VLOOKUP(封面!B1,'2020决算导出'!A:AR,44,FALSE),"")</f>
        <v>7781.43</v>
      </c>
      <c r="M19" s="70" t="s">
        <v>187</v>
      </c>
      <c r="N19" s="7" t="s">
        <v>187</v>
      </c>
    </row>
    <row r="20" spans="1:14" ht="18" customHeight="1">
      <c r="A20" s="67" t="s">
        <v>255</v>
      </c>
      <c r="B20" s="67"/>
      <c r="C20" s="70">
        <f>_xlfn.IFNA(VLOOKUP(封面!B1,'2020决算导出'!A:AS,45,FALSE),"")</f>
        <v>3736.98</v>
      </c>
      <c r="D20" s="70" t="s">
        <v>187</v>
      </c>
      <c r="E20" s="7" t="s">
        <v>187</v>
      </c>
      <c r="F20" s="67" t="s">
        <v>256</v>
      </c>
      <c r="G20" s="67"/>
      <c r="H20" s="67"/>
      <c r="I20" s="70">
        <f>_xlfn.IFNA(VLOOKUP(封面!B1,'2020决算导出'!A:AT,46,FALSE),"")</f>
        <v>157.06</v>
      </c>
      <c r="J20" s="70" t="s">
        <v>187</v>
      </c>
      <c r="K20" s="7" t="s">
        <v>239</v>
      </c>
    </row>
    <row r="21" spans="1:14" ht="18" customHeight="1">
      <c r="A21" s="67" t="s">
        <v>257</v>
      </c>
      <c r="B21" s="67"/>
      <c r="C21" s="67"/>
      <c r="D21" s="8">
        <f>_xlfn.IFNA(VLOOKUP(封面!B1,'2020决算导出'!A:AU,47,FALSE),"")</f>
        <v>1</v>
      </c>
      <c r="E21" s="64" t="s">
        <v>448</v>
      </c>
      <c r="F21" s="64"/>
      <c r="G21" s="64"/>
      <c r="H21" s="64"/>
      <c r="I21" s="64"/>
      <c r="J21" s="64"/>
      <c r="K21" s="64"/>
      <c r="L21" s="64"/>
      <c r="M21" s="54">
        <f>F16/D21</f>
        <v>20675.47</v>
      </c>
      <c r="N21" s="7" t="s">
        <v>239</v>
      </c>
    </row>
    <row r="22" spans="1:14" ht="18" customHeight="1">
      <c r="A22" s="6" t="s">
        <v>258</v>
      </c>
    </row>
    <row r="23" spans="1:14" ht="18" customHeight="1">
      <c r="A23" s="7" t="s">
        <v>259</v>
      </c>
    </row>
    <row r="24" spans="1:14" ht="18" customHeight="1">
      <c r="A24" s="6" t="s">
        <v>260</v>
      </c>
    </row>
    <row r="25" spans="1:14" ht="18" customHeight="1">
      <c r="A25" s="67" t="s">
        <v>261</v>
      </c>
      <c r="B25" s="67"/>
      <c r="C25" s="67"/>
      <c r="D25" s="67"/>
      <c r="E25" s="61">
        <f>_xlfn.IFNA(VLOOKUP(封面!B1,'2020决算导出'!A:AW,49,FALSE),"")</f>
        <v>783859.5</v>
      </c>
      <c r="F25" s="61"/>
      <c r="G25" s="7" t="s">
        <v>187</v>
      </c>
      <c r="H25" s="67" t="s">
        <v>262</v>
      </c>
      <c r="I25" s="67"/>
      <c r="J25" s="67"/>
      <c r="K25" s="67"/>
      <c r="L25" s="61">
        <f>_xlfn.IFNA(VLOOKUP(封面!B1,'2020决算导出'!A:AX,50,FALSE),"")</f>
        <v>29737</v>
      </c>
      <c r="M25" s="61" t="s">
        <v>187</v>
      </c>
      <c r="N25" s="7" t="s">
        <v>187</v>
      </c>
    </row>
    <row r="26" spans="1:14" ht="18" customHeight="1">
      <c r="A26" s="67" t="s">
        <v>263</v>
      </c>
      <c r="B26" s="67"/>
      <c r="C26" s="67"/>
      <c r="D26" s="61">
        <f>_xlfn.IFNA(VLOOKUP(封面!B1,'2020决算导出'!A:AY,51,FALSE),"")</f>
        <v>0</v>
      </c>
      <c r="E26" s="61" t="s">
        <v>187</v>
      </c>
      <c r="F26" s="7" t="s">
        <v>187</v>
      </c>
      <c r="G26" s="67" t="s">
        <v>264</v>
      </c>
      <c r="H26" s="67"/>
      <c r="I26" s="67"/>
      <c r="J26" s="61">
        <f>_xlfn.IFNA(VLOOKUP(封面!B1,'2020决算导出'!A:AZ,52,FALSE),"")</f>
        <v>754122.5</v>
      </c>
      <c r="K26" s="61" t="s">
        <v>187</v>
      </c>
      <c r="L26" s="7" t="s">
        <v>239</v>
      </c>
    </row>
    <row r="27" spans="1:14" ht="18" customHeight="1">
      <c r="A27" s="67" t="s">
        <v>265</v>
      </c>
      <c r="B27" s="67"/>
      <c r="C27" s="67"/>
      <c r="D27" s="67"/>
      <c r="E27" s="61">
        <f>_xlfn.IFNA(VLOOKUP(封面!B1,'2020决算导出'!A:BA,53,FALSE),"")</f>
        <v>0</v>
      </c>
      <c r="F27" s="61" t="s">
        <v>187</v>
      </c>
      <c r="G27" s="7" t="s">
        <v>187</v>
      </c>
      <c r="H27" s="65" t="s">
        <v>266</v>
      </c>
      <c r="I27" s="65"/>
      <c r="J27" s="65"/>
      <c r="K27" s="28">
        <f>E27/$E$25</f>
        <v>0</v>
      </c>
      <c r="L27" s="17" t="s">
        <v>351</v>
      </c>
      <c r="M27" s="7" t="s">
        <v>449</v>
      </c>
    </row>
    <row r="28" spans="1:14" ht="18" customHeight="1">
      <c r="A28" s="67" t="s">
        <v>267</v>
      </c>
      <c r="B28" s="67"/>
      <c r="C28" s="67"/>
      <c r="D28" s="67"/>
      <c r="E28" s="61">
        <f>_xlfn.IFNA(VLOOKUP(封面!B1,'2020决算导出'!A:BB,54,FALSE),"")</f>
        <v>0</v>
      </c>
      <c r="F28" s="61" t="s">
        <v>187</v>
      </c>
      <c r="G28" s="7" t="s">
        <v>187</v>
      </c>
      <c r="H28" s="65" t="s">
        <v>266</v>
      </c>
      <c r="I28" s="65"/>
      <c r="J28" s="65"/>
      <c r="K28" s="28">
        <f>E28/$E$25</f>
        <v>0</v>
      </c>
      <c r="L28" s="17" t="s">
        <v>353</v>
      </c>
    </row>
    <row r="29" spans="1:14" ht="18" customHeight="1">
      <c r="A29" s="6" t="s">
        <v>268</v>
      </c>
    </row>
    <row r="30" spans="1:14" ht="18" customHeight="1">
      <c r="A30" s="67" t="s">
        <v>269</v>
      </c>
      <c r="B30" s="67"/>
      <c r="C30" s="8">
        <f>_xlfn.IFNA(VLOOKUP(封面!B1,'2020决算导出'!A:BC,55,FALSE),"")</f>
        <v>1</v>
      </c>
      <c r="D30" s="7" t="s">
        <v>270</v>
      </c>
      <c r="M30" s="70">
        <f>_xlfn.IFNA(VLOOKUP(封面!B1,'2020决算导出'!A:BD,56,FALSE),"")</f>
        <v>112880</v>
      </c>
      <c r="N30" s="70" t="s">
        <v>187</v>
      </c>
    </row>
    <row r="31" spans="1:14" ht="18" customHeight="1">
      <c r="A31" s="12" t="s">
        <v>271</v>
      </c>
      <c r="B31" s="67" t="s">
        <v>272</v>
      </c>
      <c r="C31" s="67"/>
      <c r="D31" s="67"/>
      <c r="E31" s="67"/>
      <c r="F31" s="67"/>
      <c r="G31" s="8">
        <f>_xlfn.IFNA(VLOOKUP(封面!B1,'2020决算导出'!A:BE,57,FALSE),"")</f>
        <v>0</v>
      </c>
      <c r="H31" s="7" t="s">
        <v>273</v>
      </c>
      <c r="J31" s="7" t="s">
        <v>274</v>
      </c>
    </row>
    <row r="32" spans="1:14" ht="18" customHeight="1">
      <c r="A32" s="12">
        <f>_xlfn.IFNA(VLOOKUP(封面!B1,'2020决算导出'!A:BF,58,FALSE),"")</f>
        <v>0</v>
      </c>
      <c r="B32" s="7" t="s">
        <v>275</v>
      </c>
    </row>
    <row r="33" spans="1:14" ht="18" customHeight="1">
      <c r="A33" s="6" t="s">
        <v>276</v>
      </c>
    </row>
    <row r="34" spans="1:14" ht="18" customHeight="1">
      <c r="A34" s="7" t="s">
        <v>277</v>
      </c>
    </row>
    <row r="35" spans="1:14" ht="18" customHeight="1">
      <c r="A35" s="6" t="s">
        <v>278</v>
      </c>
    </row>
    <row r="36" spans="1:14" ht="304.2" customHeight="1">
      <c r="A36" s="62" t="s">
        <v>279</v>
      </c>
      <c r="B36" s="62"/>
      <c r="C36" s="62"/>
      <c r="D36" s="62"/>
      <c r="E36" s="62"/>
      <c r="F36" s="62"/>
      <c r="G36" s="62"/>
      <c r="H36" s="62"/>
      <c r="I36" s="62"/>
      <c r="J36" s="62"/>
      <c r="K36" s="62"/>
      <c r="L36" s="62"/>
      <c r="M36" s="62"/>
      <c r="N36" s="62"/>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P7" sqref="P7"/>
    </sheetView>
  </sheetViews>
  <sheetFormatPr defaultRowHeight="13.8"/>
  <sheetData>
    <row r="1" spans="1:14" s="7" customFormat="1" ht="35.4" customHeight="1">
      <c r="A1" s="59" t="s">
        <v>281</v>
      </c>
      <c r="B1" s="59"/>
      <c r="C1" s="59"/>
      <c r="D1" s="59"/>
      <c r="E1" s="59"/>
      <c r="F1" s="59"/>
      <c r="G1" s="59"/>
      <c r="H1" s="59"/>
      <c r="I1" s="59"/>
      <c r="J1" s="59"/>
      <c r="K1" s="59"/>
      <c r="L1" s="59"/>
      <c r="M1" s="59"/>
      <c r="N1" s="59"/>
    </row>
    <row r="2" spans="1:14" ht="329.4" customHeight="1">
      <c r="A2" s="73" t="s">
        <v>471</v>
      </c>
      <c r="B2" s="74"/>
      <c r="C2" s="74"/>
      <c r="D2" s="74"/>
      <c r="E2" s="74"/>
      <c r="F2" s="74"/>
      <c r="G2" s="74"/>
      <c r="H2" s="74"/>
      <c r="I2" s="74"/>
      <c r="J2" s="74"/>
      <c r="K2" s="74"/>
      <c r="L2" s="74"/>
      <c r="M2" s="74"/>
      <c r="N2" s="74"/>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5"/>
    <col min="2" max="2" width="18.88671875" style="35" customWidth="1"/>
    <col min="3" max="16384" width="8.88671875" style="35"/>
  </cols>
  <sheetData>
    <row r="1" spans="1:58" ht="60">
      <c r="A1" s="20" t="s">
        <v>287</v>
      </c>
      <c r="B1" s="21" t="s">
        <v>288</v>
      </c>
      <c r="C1" s="21" t="s">
        <v>283</v>
      </c>
      <c r="D1" s="21" t="s">
        <v>289</v>
      </c>
      <c r="E1" s="21" t="s">
        <v>290</v>
      </c>
      <c r="F1" s="21" t="s">
        <v>291</v>
      </c>
      <c r="G1" s="21" t="s">
        <v>292</v>
      </c>
      <c r="H1" s="21" t="s">
        <v>293</v>
      </c>
      <c r="I1" s="21" t="s">
        <v>294</v>
      </c>
      <c r="J1" s="21" t="s">
        <v>295</v>
      </c>
      <c r="K1" s="21" t="s">
        <v>296</v>
      </c>
      <c r="L1" s="21" t="s">
        <v>297</v>
      </c>
      <c r="M1" s="21" t="s">
        <v>298</v>
      </c>
      <c r="N1" s="21" t="s">
        <v>299</v>
      </c>
      <c r="O1" s="21" t="s">
        <v>300</v>
      </c>
      <c r="P1" s="21" t="s">
        <v>301</v>
      </c>
      <c r="Q1" s="21" t="s">
        <v>302</v>
      </c>
      <c r="R1" s="21" t="s">
        <v>303</v>
      </c>
      <c r="S1" s="21" t="s">
        <v>304</v>
      </c>
      <c r="T1" s="21" t="s">
        <v>305</v>
      </c>
      <c r="U1" s="21" t="s">
        <v>306</v>
      </c>
      <c r="V1" s="21" t="s">
        <v>307</v>
      </c>
      <c r="W1" s="21" t="s">
        <v>308</v>
      </c>
      <c r="X1" s="21" t="s">
        <v>309</v>
      </c>
      <c r="Y1" s="21" t="s">
        <v>310</v>
      </c>
      <c r="Z1" s="21" t="s">
        <v>355</v>
      </c>
      <c r="AA1" s="21" t="s">
        <v>311</v>
      </c>
      <c r="AB1" s="21" t="s">
        <v>312</v>
      </c>
      <c r="AC1" s="21" t="s">
        <v>313</v>
      </c>
      <c r="AD1" s="21" t="s">
        <v>314</v>
      </c>
      <c r="AE1" s="21" t="s">
        <v>315</v>
      </c>
      <c r="AF1" s="21" t="s">
        <v>316</v>
      </c>
      <c r="AG1" s="21" t="s">
        <v>317</v>
      </c>
      <c r="AH1" s="21" t="s">
        <v>318</v>
      </c>
      <c r="AI1" s="21" t="s">
        <v>319</v>
      </c>
      <c r="AJ1" s="21" t="s">
        <v>320</v>
      </c>
      <c r="AK1" s="21" t="s">
        <v>321</v>
      </c>
      <c r="AL1" s="21" t="s">
        <v>322</v>
      </c>
      <c r="AM1" s="21" t="s">
        <v>356</v>
      </c>
      <c r="AN1" s="21" t="s">
        <v>357</v>
      </c>
      <c r="AO1" s="21" t="s">
        <v>323</v>
      </c>
      <c r="AP1" s="21" t="s">
        <v>324</v>
      </c>
      <c r="AQ1" s="21" t="s">
        <v>325</v>
      </c>
      <c r="AR1" s="21" t="s">
        <v>326</v>
      </c>
      <c r="AS1" s="21" t="s">
        <v>327</v>
      </c>
      <c r="AT1" s="21" t="s">
        <v>328</v>
      </c>
      <c r="AU1" s="21" t="s">
        <v>329</v>
      </c>
      <c r="AV1" s="21" t="s">
        <v>358</v>
      </c>
      <c r="AW1" s="21" t="s">
        <v>330</v>
      </c>
      <c r="AX1" s="21" t="s">
        <v>331</v>
      </c>
      <c r="AY1" s="21" t="s">
        <v>332</v>
      </c>
      <c r="AZ1" s="21" t="s">
        <v>333</v>
      </c>
      <c r="BA1" s="21" t="s">
        <v>334</v>
      </c>
      <c r="BB1" s="21" t="s">
        <v>335</v>
      </c>
      <c r="BC1" s="21" t="s">
        <v>336</v>
      </c>
      <c r="BD1" s="21" t="s">
        <v>450</v>
      </c>
      <c r="BE1" s="21" t="s">
        <v>337</v>
      </c>
      <c r="BF1" s="21" t="s">
        <v>338</v>
      </c>
    </row>
    <row r="2" spans="1:58">
      <c r="A2" s="23">
        <v>255001</v>
      </c>
      <c r="B2" s="24" t="s">
        <v>339</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340</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341</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287</v>
      </c>
      <c r="B1" s="21" t="s">
        <v>288</v>
      </c>
      <c r="C1" s="21" t="s">
        <v>342</v>
      </c>
      <c r="D1" s="21" t="s">
        <v>343</v>
      </c>
      <c r="E1" s="21" t="s">
        <v>344</v>
      </c>
      <c r="F1" s="21" t="s">
        <v>345</v>
      </c>
    </row>
    <row r="2" spans="1:6">
      <c r="A2" s="23">
        <v>255001</v>
      </c>
      <c r="B2" s="24" t="s">
        <v>339</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346</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347</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348</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349</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9" width="8.6640625" style="46"/>
    <col min="20" max="22" width="8.77734375" style="46" customWidth="1"/>
    <col min="23" max="16384" width="8.6640625" style="46"/>
  </cols>
  <sheetData>
    <row r="1" spans="1:42" s="41" customFormat="1" ht="60">
      <c r="A1" s="41" t="s">
        <v>359</v>
      </c>
      <c r="B1" s="41" t="s">
        <v>396</v>
      </c>
      <c r="C1" s="41" t="s">
        <v>397</v>
      </c>
      <c r="D1" s="41" t="s">
        <v>398</v>
      </c>
      <c r="E1" s="41" t="s">
        <v>399</v>
      </c>
      <c r="F1" s="41" t="s">
        <v>400</v>
      </c>
      <c r="G1" s="41" t="s">
        <v>401</v>
      </c>
      <c r="H1" s="41" t="s">
        <v>402</v>
      </c>
      <c r="I1" s="41" t="s">
        <v>403</v>
      </c>
      <c r="J1" s="41" t="s">
        <v>404</v>
      </c>
      <c r="K1" s="41" t="s">
        <v>405</v>
      </c>
      <c r="L1" s="41" t="s">
        <v>406</v>
      </c>
      <c r="M1" s="41" t="s">
        <v>407</v>
      </c>
      <c r="N1" s="41" t="s">
        <v>408</v>
      </c>
      <c r="O1" s="41" t="s">
        <v>409</v>
      </c>
      <c r="P1" s="41" t="s">
        <v>410</v>
      </c>
      <c r="Q1" s="41" t="s">
        <v>411</v>
      </c>
      <c r="R1" s="41" t="s">
        <v>412</v>
      </c>
      <c r="S1" s="41" t="s">
        <v>413</v>
      </c>
      <c r="T1" s="41" t="s">
        <v>414</v>
      </c>
      <c r="U1" s="41" t="s">
        <v>415</v>
      </c>
      <c r="V1" s="41" t="s">
        <v>416</v>
      </c>
      <c r="W1" s="41" t="s">
        <v>417</v>
      </c>
      <c r="X1" s="41" t="s">
        <v>418</v>
      </c>
      <c r="Y1" s="41" t="s">
        <v>419</v>
      </c>
      <c r="Z1" s="41" t="s">
        <v>420</v>
      </c>
      <c r="AA1" s="41" t="s">
        <v>421</v>
      </c>
      <c r="AB1" s="41" t="s">
        <v>422</v>
      </c>
      <c r="AC1" s="41" t="s">
        <v>423</v>
      </c>
      <c r="AD1" s="41" t="s">
        <v>424</v>
      </c>
      <c r="AE1" s="41" t="s">
        <v>425</v>
      </c>
      <c r="AF1" s="41" t="s">
        <v>426</v>
      </c>
      <c r="AG1" s="41" t="s">
        <v>427</v>
      </c>
      <c r="AH1" s="41" t="s">
        <v>428</v>
      </c>
      <c r="AI1" s="41" t="s">
        <v>429</v>
      </c>
      <c r="AJ1" s="41" t="s">
        <v>430</v>
      </c>
      <c r="AK1" s="41" t="s">
        <v>431</v>
      </c>
      <c r="AL1" s="41" t="s">
        <v>432</v>
      </c>
      <c r="AM1" s="41" t="s">
        <v>433</v>
      </c>
      <c r="AN1" s="41" t="s">
        <v>434</v>
      </c>
      <c r="AO1" s="41" t="s">
        <v>435</v>
      </c>
      <c r="AP1" s="41" t="s">
        <v>436</v>
      </c>
    </row>
    <row r="2" spans="1:42">
      <c r="A2" s="42">
        <v>255001</v>
      </c>
      <c r="B2" s="43" t="s">
        <v>339</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340</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437</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438</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9" customWidth="1"/>
    <col min="5" max="5" width="8.44140625" style="40" customWidth="1"/>
    <col min="6" max="6" width="19.6640625" style="22" customWidth="1"/>
    <col min="7" max="8" width="13.6640625" style="22" customWidth="1"/>
    <col min="9" max="16384" width="8.88671875" style="22"/>
  </cols>
  <sheetData>
    <row r="1" spans="1:8" ht="24">
      <c r="A1" s="20" t="s">
        <v>359</v>
      </c>
      <c r="B1" s="21" t="s">
        <v>288</v>
      </c>
      <c r="C1" s="36" t="s">
        <v>360</v>
      </c>
      <c r="D1" s="36" t="s">
        <v>361</v>
      </c>
      <c r="E1" s="37" t="s">
        <v>362</v>
      </c>
      <c r="F1" s="21" t="s">
        <v>363</v>
      </c>
      <c r="G1" s="21" t="s">
        <v>364</v>
      </c>
      <c r="H1" s="21" t="s">
        <v>365</v>
      </c>
    </row>
    <row r="2" spans="1:8">
      <c r="A2" s="23">
        <v>255001</v>
      </c>
      <c r="B2" s="24" t="s">
        <v>339</v>
      </c>
      <c r="C2" s="38" t="str">
        <f>LEFT(D2,3)</f>
        <v>205</v>
      </c>
      <c r="D2" s="38" t="str">
        <f>LEFT(E2,5)</f>
        <v>20502</v>
      </c>
      <c r="E2" s="38">
        <f>IF(ISNA(VLOOKUP(F2,'2020功能科目'!A:B,2,FALSE)),"",VLOOKUP(F2,'2020功能科目'!A:B,2,FALSE))</f>
        <v>2050201</v>
      </c>
      <c r="F2" s="24" t="s">
        <v>366</v>
      </c>
      <c r="G2" s="25">
        <v>91486047.549999997</v>
      </c>
      <c r="H2" s="25">
        <v>117849170.55</v>
      </c>
    </row>
    <row r="3" spans="1:8">
      <c r="A3" s="23">
        <v>255001</v>
      </c>
      <c r="B3" s="24" t="s">
        <v>339</v>
      </c>
      <c r="C3" s="38" t="str">
        <f t="shared" ref="C3:C66" si="0">LEFT(D3,3)</f>
        <v>205</v>
      </c>
      <c r="D3" s="38" t="str">
        <f t="shared" ref="D3:D66" si="1">LEFT(E3,5)</f>
        <v>20502</v>
      </c>
      <c r="E3" s="38">
        <f>IF(ISNA(VLOOKUP(F3,'2020功能科目'!A:B,2,FALSE)),"",VLOOKUP(F3,'2020功能科目'!A:B,2,FALSE))</f>
        <v>2050202</v>
      </c>
      <c r="F3" s="24" t="s">
        <v>367</v>
      </c>
      <c r="G3" s="25">
        <v>250000</v>
      </c>
      <c r="H3" s="25">
        <v>250000</v>
      </c>
    </row>
    <row r="4" spans="1:8">
      <c r="A4" s="23">
        <v>255001</v>
      </c>
      <c r="B4" s="24" t="s">
        <v>339</v>
      </c>
      <c r="C4" s="38" t="str">
        <f t="shared" si="0"/>
        <v>205</v>
      </c>
      <c r="D4" s="38" t="str">
        <f t="shared" si="1"/>
        <v>20502</v>
      </c>
      <c r="E4" s="38">
        <f>IF(ISNA(VLOOKUP(F4,'2020功能科目'!A:B,2,FALSE)),"",VLOOKUP(F4,'2020功能科目'!A:B,2,FALSE))</f>
        <v>2050204</v>
      </c>
      <c r="F4" s="24" t="s">
        <v>368</v>
      </c>
      <c r="G4" s="25">
        <v>1439000</v>
      </c>
      <c r="H4" s="25">
        <v>1439888.15</v>
      </c>
    </row>
    <row r="5" spans="1:8">
      <c r="A5" s="23">
        <v>255001</v>
      </c>
      <c r="B5" s="24" t="s">
        <v>339</v>
      </c>
      <c r="C5" s="38" t="str">
        <f t="shared" si="0"/>
        <v>205</v>
      </c>
      <c r="D5" s="38" t="str">
        <f t="shared" si="1"/>
        <v>20502</v>
      </c>
      <c r="E5" s="38">
        <f>IF(ISNA(VLOOKUP(F5,'2020功能科目'!A:B,2,FALSE)),"",VLOOKUP(F5,'2020功能科目'!A:B,2,FALSE))</f>
        <v>2050299</v>
      </c>
      <c r="F5" s="24" t="s">
        <v>369</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368</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369</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370</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371</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372</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373</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374</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375</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376</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377</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378</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379</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380</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381</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368</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369</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370</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371</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372</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373</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374</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375</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377</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378</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379</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380</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381</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368</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369</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370</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372</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373</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374</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375</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377</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378</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379</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380</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381</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368</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369</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370</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371</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372</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373</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374</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375</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377</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378</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379</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380</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381</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368</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370</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371</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372</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373</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374</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375</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377</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378</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379</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380</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381</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368</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371</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372</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373</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374</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375</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377</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378</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379</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380</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381</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368</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369</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370</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371</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372</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373</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374</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375</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376</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377</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378</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379</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380</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381</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368</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369</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370</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371</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372</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373</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374</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375</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377</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378</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379</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380</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381</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368</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369</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370</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371</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372</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373</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374</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375</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377</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378</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379</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380</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381</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368</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370</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371</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372</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373</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374</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375</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377</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378</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379</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380</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381</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368</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370</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371</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372</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373</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374</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375</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377</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378</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379</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380</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381</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368</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372</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373</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374</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375</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377</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378</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379</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380</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381</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368</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369</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370</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371</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372</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373</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374</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375</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377</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378</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379</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380</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381</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382</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369</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370</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371</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372</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373</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374</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375</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377</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378</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379</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380</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381</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368</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370</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371</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373</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374</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375</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377</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379</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380</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381</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368</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369</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370</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371</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372</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373</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374</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375</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377</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378</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379</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380</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381</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368</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369</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370</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371</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372</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373</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374</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375</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377</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378</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379</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380</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381</v>
      </c>
      <c r="G216" s="25">
        <v>4290503</v>
      </c>
      <c r="H216" s="25">
        <v>4304412</v>
      </c>
    </row>
    <row r="217" spans="1:8">
      <c r="A217" s="23">
        <v>255022</v>
      </c>
      <c r="B217" s="24" t="s">
        <v>340</v>
      </c>
      <c r="C217" s="38" t="str">
        <f t="shared" si="6"/>
        <v>205</v>
      </c>
      <c r="D217" s="38" t="str">
        <f t="shared" si="7"/>
        <v>20502</v>
      </c>
      <c r="E217" s="38">
        <f>IF(ISNA(VLOOKUP(F217,'2020功能科目'!A:B,2,FALSE)),"",VLOOKUP(F217,'2020功能科目'!A:B,2,FALSE))</f>
        <v>2050203</v>
      </c>
      <c r="F217" s="24" t="s">
        <v>382</v>
      </c>
      <c r="G217" s="25">
        <v>26873070.100000001</v>
      </c>
      <c r="H217" s="25">
        <v>22704196.510000002</v>
      </c>
    </row>
    <row r="218" spans="1:8">
      <c r="A218" s="23">
        <v>255022</v>
      </c>
      <c r="B218" s="24" t="s">
        <v>340</v>
      </c>
      <c r="C218" s="38" t="str">
        <f t="shared" si="6"/>
        <v>205</v>
      </c>
      <c r="D218" s="38" t="str">
        <f t="shared" si="7"/>
        <v>20502</v>
      </c>
      <c r="E218" s="38">
        <f>IF(ISNA(VLOOKUP(F218,'2020功能科目'!A:B,2,FALSE)),"",VLOOKUP(F218,'2020功能科目'!A:B,2,FALSE))</f>
        <v>2050204</v>
      </c>
      <c r="F218" s="24" t="s">
        <v>368</v>
      </c>
      <c r="G218" s="25">
        <v>46564</v>
      </c>
      <c r="H218" s="25">
        <v>51629</v>
      </c>
    </row>
    <row r="219" spans="1:8">
      <c r="A219" s="23">
        <v>255022</v>
      </c>
      <c r="B219" s="24" t="s">
        <v>340</v>
      </c>
      <c r="C219" s="38" t="str">
        <f t="shared" si="6"/>
        <v>205</v>
      </c>
      <c r="D219" s="38" t="str">
        <f t="shared" si="7"/>
        <v>20502</v>
      </c>
      <c r="E219" s="38">
        <f>IF(ISNA(VLOOKUP(F219,'2020功能科目'!A:B,2,FALSE)),"",VLOOKUP(F219,'2020功能科目'!A:B,2,FALSE))</f>
        <v>2050299</v>
      </c>
      <c r="F219" s="24" t="s">
        <v>369</v>
      </c>
      <c r="G219" s="25">
        <v>279.2</v>
      </c>
      <c r="H219" s="25">
        <v>0</v>
      </c>
    </row>
    <row r="220" spans="1:8">
      <c r="A220" s="23">
        <v>255022</v>
      </c>
      <c r="B220" s="24" t="s">
        <v>340</v>
      </c>
      <c r="C220" s="38" t="str">
        <f t="shared" si="6"/>
        <v>205</v>
      </c>
      <c r="D220" s="38" t="str">
        <f t="shared" si="7"/>
        <v>20508</v>
      </c>
      <c r="E220" s="38">
        <f>IF(ISNA(VLOOKUP(F220,'2020功能科目'!A:B,2,FALSE)),"",VLOOKUP(F220,'2020功能科目'!A:B,2,FALSE))</f>
        <v>2050803</v>
      </c>
      <c r="F220" s="24" t="s">
        <v>370</v>
      </c>
      <c r="G220" s="25">
        <v>36800</v>
      </c>
      <c r="H220" s="25">
        <v>73600</v>
      </c>
    </row>
    <row r="221" spans="1:8">
      <c r="A221" s="23">
        <v>255022</v>
      </c>
      <c r="B221" s="24" t="s">
        <v>340</v>
      </c>
      <c r="C221" s="38" t="str">
        <f t="shared" si="6"/>
        <v>205</v>
      </c>
      <c r="D221" s="38" t="str">
        <f t="shared" si="7"/>
        <v>20509</v>
      </c>
      <c r="E221" s="38">
        <f>IF(ISNA(VLOOKUP(F221,'2020功能科目'!A:B,2,FALSE)),"",VLOOKUP(F221,'2020功能科目'!A:B,2,FALSE))</f>
        <v>2050903</v>
      </c>
      <c r="F221" s="24" t="s">
        <v>371</v>
      </c>
      <c r="G221" s="25">
        <v>138743.4</v>
      </c>
      <c r="H221" s="25">
        <v>140000</v>
      </c>
    </row>
    <row r="222" spans="1:8">
      <c r="A222" s="23">
        <v>255022</v>
      </c>
      <c r="B222" s="24" t="s">
        <v>340</v>
      </c>
      <c r="C222" s="38" t="str">
        <f t="shared" si="6"/>
        <v>205</v>
      </c>
      <c r="D222" s="38" t="str">
        <f t="shared" si="7"/>
        <v>20509</v>
      </c>
      <c r="E222" s="38">
        <f>IF(ISNA(VLOOKUP(F222,'2020功能科目'!A:B,2,FALSE)),"",VLOOKUP(F222,'2020功能科目'!A:B,2,FALSE))</f>
        <v>2050904</v>
      </c>
      <c r="F222" s="24" t="s">
        <v>372</v>
      </c>
      <c r="G222" s="25">
        <v>1246675.0900000001</v>
      </c>
      <c r="H222" s="25">
        <v>1261160</v>
      </c>
    </row>
    <row r="223" spans="1:8">
      <c r="A223" s="23">
        <v>255022</v>
      </c>
      <c r="B223" s="24" t="s">
        <v>340</v>
      </c>
      <c r="C223" s="38" t="str">
        <f t="shared" si="6"/>
        <v>208</v>
      </c>
      <c r="D223" s="38" t="str">
        <f t="shared" si="7"/>
        <v>20805</v>
      </c>
      <c r="E223" s="38">
        <f>IF(ISNA(VLOOKUP(F223,'2020功能科目'!A:B,2,FALSE)),"",VLOOKUP(F223,'2020功能科目'!A:B,2,FALSE))</f>
        <v>2080502</v>
      </c>
      <c r="F223" s="24" t="s">
        <v>373</v>
      </c>
      <c r="G223" s="25">
        <v>2701675.56</v>
      </c>
      <c r="H223" s="25">
        <v>2070473.15</v>
      </c>
    </row>
    <row r="224" spans="1:8">
      <c r="A224" s="23">
        <v>255022</v>
      </c>
      <c r="B224" s="24" t="s">
        <v>340</v>
      </c>
      <c r="C224" s="38" t="str">
        <f t="shared" si="6"/>
        <v>208</v>
      </c>
      <c r="D224" s="38" t="str">
        <f t="shared" si="7"/>
        <v>20805</v>
      </c>
      <c r="E224" s="38">
        <f>IF(ISNA(VLOOKUP(F224,'2020功能科目'!A:B,2,FALSE)),"",VLOOKUP(F224,'2020功能科目'!A:B,2,FALSE))</f>
        <v>2080505</v>
      </c>
      <c r="F224" s="24" t="s">
        <v>374</v>
      </c>
      <c r="G224" s="25">
        <v>1964071.04</v>
      </c>
      <c r="H224" s="25">
        <v>2098399.36</v>
      </c>
    </row>
    <row r="225" spans="1:8">
      <c r="A225" s="23">
        <v>255022</v>
      </c>
      <c r="B225" s="24" t="s">
        <v>340</v>
      </c>
      <c r="C225" s="38" t="str">
        <f t="shared" si="6"/>
        <v>208</v>
      </c>
      <c r="D225" s="38" t="str">
        <f t="shared" si="7"/>
        <v>20805</v>
      </c>
      <c r="E225" s="38">
        <f>IF(ISNA(VLOOKUP(F225,'2020功能科目'!A:B,2,FALSE)),"",VLOOKUP(F225,'2020功能科目'!A:B,2,FALSE))</f>
        <v>2080506</v>
      </c>
      <c r="F225" s="24" t="s">
        <v>375</v>
      </c>
      <c r="G225" s="25">
        <v>982035.52</v>
      </c>
      <c r="H225" s="25">
        <v>1049199.68</v>
      </c>
    </row>
    <row r="226" spans="1:8">
      <c r="A226" s="23">
        <v>255022</v>
      </c>
      <c r="B226" s="24" t="s">
        <v>340</v>
      </c>
      <c r="C226" s="38" t="str">
        <f t="shared" si="6"/>
        <v>210</v>
      </c>
      <c r="D226" s="38" t="str">
        <f t="shared" si="7"/>
        <v>21011</v>
      </c>
      <c r="E226" s="38">
        <f>IF(ISNA(VLOOKUP(F226,'2020功能科目'!A:B,2,FALSE)),"",VLOOKUP(F226,'2020功能科目'!A:B,2,FALSE))</f>
        <v>2101102</v>
      </c>
      <c r="F226" s="24" t="s">
        <v>377</v>
      </c>
      <c r="G226" s="25">
        <v>2132507.06</v>
      </c>
      <c r="H226" s="25">
        <v>1704949.48</v>
      </c>
    </row>
    <row r="227" spans="1:8">
      <c r="A227" s="23">
        <v>255022</v>
      </c>
      <c r="B227" s="24" t="s">
        <v>340</v>
      </c>
      <c r="C227" s="38" t="str">
        <f t="shared" si="6"/>
        <v>210</v>
      </c>
      <c r="D227" s="38" t="str">
        <f t="shared" si="7"/>
        <v>21011</v>
      </c>
      <c r="E227" s="38">
        <f>IF(ISNA(VLOOKUP(F227,'2020功能科目'!A:B,2,FALSE)),"",VLOOKUP(F227,'2020功能科目'!A:B,2,FALSE))</f>
        <v>2101199</v>
      </c>
      <c r="F227" s="24" t="s">
        <v>378</v>
      </c>
      <c r="G227" s="25">
        <v>180000</v>
      </c>
      <c r="H227" s="25">
        <v>360000</v>
      </c>
    </row>
    <row r="228" spans="1:8">
      <c r="A228" s="23">
        <v>255022</v>
      </c>
      <c r="B228" s="24" t="s">
        <v>340</v>
      </c>
      <c r="C228" s="38" t="str">
        <f t="shared" si="6"/>
        <v>221</v>
      </c>
      <c r="D228" s="38" t="str">
        <f t="shared" si="7"/>
        <v>22102</v>
      </c>
      <c r="E228" s="38">
        <f>IF(ISNA(VLOOKUP(F228,'2020功能科目'!A:B,2,FALSE)),"",VLOOKUP(F228,'2020功能科目'!A:B,2,FALSE))</f>
        <v>2210201</v>
      </c>
      <c r="F228" s="24" t="s">
        <v>379</v>
      </c>
      <c r="G228" s="25">
        <v>2537027</v>
      </c>
      <c r="H228" s="25">
        <v>2125799.52</v>
      </c>
    </row>
    <row r="229" spans="1:8">
      <c r="A229" s="23">
        <v>255022</v>
      </c>
      <c r="B229" s="24" t="s">
        <v>340</v>
      </c>
      <c r="C229" s="38" t="str">
        <f t="shared" si="6"/>
        <v>221</v>
      </c>
      <c r="D229" s="38" t="str">
        <f t="shared" si="7"/>
        <v>22102</v>
      </c>
      <c r="E229" s="38">
        <f>IF(ISNA(VLOOKUP(F229,'2020功能科目'!A:B,2,FALSE)),"",VLOOKUP(F229,'2020功能科目'!A:B,2,FALSE))</f>
        <v>2210202</v>
      </c>
      <c r="F229" s="24" t="s">
        <v>380</v>
      </c>
      <c r="G229" s="25">
        <v>215560</v>
      </c>
      <c r="H229" s="25">
        <v>217920</v>
      </c>
    </row>
    <row r="230" spans="1:8">
      <c r="A230" s="23">
        <v>255022</v>
      </c>
      <c r="B230" s="24" t="s">
        <v>340</v>
      </c>
      <c r="C230" s="38" t="str">
        <f t="shared" si="6"/>
        <v>221</v>
      </c>
      <c r="D230" s="38" t="str">
        <f t="shared" si="7"/>
        <v>22102</v>
      </c>
      <c r="E230" s="38">
        <f>IF(ISNA(VLOOKUP(F230,'2020功能科目'!A:B,2,FALSE)),"",VLOOKUP(F230,'2020功能科目'!A:B,2,FALSE))</f>
        <v>2210203</v>
      </c>
      <c r="F230" s="24" t="s">
        <v>381</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368</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369</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370</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371</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372</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373</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374</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375</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377</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378</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379</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380</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381</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382</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369</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370</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371</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372</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373</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374</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375</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377</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378</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379</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380</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381</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382</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369</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370</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371</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372</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373</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374</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375</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377</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378</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379</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380</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381</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382</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368</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369</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370</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372</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373</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374</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375</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377</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378</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379</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380</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381</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382</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369</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370</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371</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372</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373</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374</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375</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377</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378</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379</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380</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381</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383</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384</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370</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385</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373</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374</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375</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376</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377</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378</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379</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380</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381</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369</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383</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370</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372</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385</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373</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374</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375</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377</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378</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379</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380</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381</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367</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368</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369</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370</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372</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373</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374</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375</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376</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377</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378</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379</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380</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381</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367</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369</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370</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372</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373</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374</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375</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377</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378</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379</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380</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381</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367</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369</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370</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372</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373</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374</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375</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377</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379</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380</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381</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367</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369</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370</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372</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373</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374</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375</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377</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379</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380</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381</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367</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369</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370</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372</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373</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374</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375</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377</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379</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380</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381</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367</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369</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370</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371</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372</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373</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374</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375</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377</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379</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380</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381</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367</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369</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370</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371</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372</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373</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374</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375</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377</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379</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380</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381</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367</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369</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370</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372</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373</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374</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375</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377</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379</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380</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381</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367</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369</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370</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371</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372</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373</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374</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375</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377</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379</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380</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381</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367</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369</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370</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371</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372</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373</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374</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375</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377</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378</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379</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380</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381</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367</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369</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370</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372</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373</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374</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375</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377</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379</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380</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381</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367</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369</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370</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371</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372</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373</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374</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375</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377</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378</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379</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380</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381</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367</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369</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370</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372</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373</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374</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375</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377</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379</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380</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381</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367</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369</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370</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371</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372</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373</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374</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375</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377</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378</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379</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380</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381</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367</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369</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370</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371</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372</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373</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374</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375</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377</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378</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379</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380</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381</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367</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369</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370</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371</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372</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373</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374</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375</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377</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379</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380</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381</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367</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369</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370</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371</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372</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373</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374</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375</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377</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378</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379</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380</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381</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367</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369</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370</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371</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372</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373</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374</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375</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377</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379</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380</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381</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367</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369</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370</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372</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373</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374</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375</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377</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379</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380</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381</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367</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369</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370</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371</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372</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373</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374</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375</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377</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379</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380</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381</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367</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369</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370</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371</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372</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373</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374</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375</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377</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378</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379</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380</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381</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367</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369</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370</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371</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372</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373</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374</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375</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377</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379</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380</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381</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367</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369</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370</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371</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372</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373</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374</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375</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377</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378</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379</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380</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381</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367</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369</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370</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371</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372</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373</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374</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375</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377</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379</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380</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381</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367</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369</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370</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371</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372</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386</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373</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374</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375</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376</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377</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379</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380</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381</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367</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369</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370</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372</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373</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374</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375</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377</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378</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379</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380</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381</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367</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369</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370</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371</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372</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373</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374</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375</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377</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378</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379</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380</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381</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367</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369</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370</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371</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372</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373</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374</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375</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377</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378</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379</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380</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381</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367</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369</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370</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372</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373</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374</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375</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377</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378</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379</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380</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381</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367</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369</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370</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371</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372</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373</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374</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375</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377</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378</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379</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380</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381</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367</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369</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370</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371</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372</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373</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374</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375</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377</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378</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379</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380</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381</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367</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369</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370</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372</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373</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374</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375</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377</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379</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380</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381</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367</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369</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370</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371</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372</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373</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374</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375</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377</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378</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379</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380</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381</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367</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369</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370</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371</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372</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373</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374</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375</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377</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378</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379</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380</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381</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366</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370</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386</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373</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374</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375</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377</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378</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379</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380</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381</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366</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370</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386</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373</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374</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375</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377</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378</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379</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380</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381</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366</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370</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386</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373</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374</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375</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377</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378</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379</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380</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381</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366</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370</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386</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373</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374</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375</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377</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379</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380</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381</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366</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370</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386</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373</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374</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375</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377</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379</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380</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381</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366</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370</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386</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373</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374</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375</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377</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378</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379</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380</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381</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366</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370</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386</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373</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374</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375</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377</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379</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380</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381</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366</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370</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386</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373</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374</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375</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377</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379</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380</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381</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373</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380</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366</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368</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369</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387</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370</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371</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372</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373</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374</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375</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377</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379</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380</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381</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366</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369</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387</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388</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370</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371</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372</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373</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374</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375</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377</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379</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380</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381</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369</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389</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370</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372</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373</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374</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375</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376</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377</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379</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380</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381</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369</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370</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386</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373</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374</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375</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377</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378</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379</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380</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381</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369</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370</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386</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390</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373</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374</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375</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377</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378</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379</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380</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381</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369</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370</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386</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373</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374</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375</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377</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379</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380</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381</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369</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370</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386</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373</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374</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375</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377</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379</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380</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381</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369</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370</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386</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373</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374</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375</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377</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379</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380</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381</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369</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370</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386</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373</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374</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375</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377</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379</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380</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381</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369</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370</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386</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373</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374</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375</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377</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379</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380</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381</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369</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391</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370</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386</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373</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374</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375</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377</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378</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379</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380</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381</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369</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370</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386</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373</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374</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375</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377</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379</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380</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381</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369</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370</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386</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373</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374</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375</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376</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377</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379</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380</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381</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369</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391</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370</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386</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373</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374</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375</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377</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379</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380</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381</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369</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370</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386</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373</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374</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375</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377</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379</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380</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381</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369</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370</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373</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374</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375</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377</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379</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380</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381</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369</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370</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374</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375</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377</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379</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380</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381</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369</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370</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386</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373</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374</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375</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377</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379</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380</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381</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369</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386</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373</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374</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375</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377</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379</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380</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381</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366</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370</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386</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373</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374</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375</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377</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379</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380</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381</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367</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369</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370</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371</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372</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373</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374</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375</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377</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379</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380</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381</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369</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370</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373</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374</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375</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377</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379</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380</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381</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368</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369</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370</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371</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372</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373</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374</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375</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377</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378</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379</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380</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381</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368</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369</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370</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371</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372</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373</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374</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375</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377</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378</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379</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380</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381</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368</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369</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370</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372</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373</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374</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375</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377</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378</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379</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380</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381</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368</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370</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371</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372</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373</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374</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375</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377</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378</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379</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380</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381</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368</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369</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370</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371</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372</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373</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374</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375</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377</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378</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379</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380</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381</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369</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383</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384</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370</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385</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373</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374</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375</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377</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378</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392</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379</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380</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381</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368</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370</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373</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374</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375</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377</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378</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379</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380</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381</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368</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369</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370</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371</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372</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373</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374</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375</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377</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378</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379</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380</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381</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368</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369</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370</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372</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373</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374</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375</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377</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378</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379</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380</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381</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368</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369</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370</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371</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372</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373</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374</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375</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377</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378</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379</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380</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381</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367</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369</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370</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371</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372</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373</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374</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375</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377</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378</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379</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380</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381</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367</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369</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370</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371</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372</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373</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374</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375</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377</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378</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379</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380</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381</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367</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369</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370</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371</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372</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373</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374</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375</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377</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379</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380</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381</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367</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369</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370</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371</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372</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373</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374</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375</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377</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378</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379</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380</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381</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367</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369</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370</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371</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372</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373</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374</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375</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376</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377</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378</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379</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380</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381</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367</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369</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370</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371</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372</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373</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374</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375</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377</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379</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380</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381</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367</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369</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370</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372</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373</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374</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375</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377</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379</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380</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381</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367</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369</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370</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371</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372</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373</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374</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375</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377</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379</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380</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381</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367</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369</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370</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372</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373</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374</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375</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377</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378</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379</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380</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381</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367</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369</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370</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371</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372</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373</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374</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375</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377</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378</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379</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380</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381</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367</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370</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372</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373</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374</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375</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377</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378</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379</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380</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381</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367</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369</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370</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371</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372</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373</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374</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375</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376</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377</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379</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380</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381</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367</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369</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370</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371</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372</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373</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374</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375</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377</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378</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379</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380</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381</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367</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369</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370</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371</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372</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373</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374</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375</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377</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379</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380</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381</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367</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369</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370</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371</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372</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373</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374</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375</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377</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378</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379</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380</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381</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367</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369</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370</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371</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372</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373</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374</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375</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377</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379</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380</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381</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367</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370</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371</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372</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373</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374</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375</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377</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378</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379</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380</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381</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367</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369</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370</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371</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372</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373</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374</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375</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377</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379</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380</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381</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367</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370</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371</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372</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373</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374</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375</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377</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379</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380</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381</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367</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369</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370</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372</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373</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374</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375</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377</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379</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380</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381</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367</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369</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370</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371</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372</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373</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374</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375</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377</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379</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380</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381</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367</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369</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370</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371</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372</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373</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374</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375</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377</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379</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380</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381</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366</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370</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386</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373</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374</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375</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377</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379</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380</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381</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366</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370</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386</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373</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374</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375</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377</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378</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379</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380</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381</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366</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370</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386</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373</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374</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375</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377</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378</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379</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380</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381</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366</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370</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373</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374</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375</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377</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379</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380</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381</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366</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370</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386</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373</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374</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375</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377</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379</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380</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381</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366</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370</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386</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373</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374</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375</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377</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379</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380</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381</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366</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370</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386</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373</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374</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375</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377</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379</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380</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381</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366</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370</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373</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374</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375</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377</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379</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380</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381</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366</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370</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386</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373</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374</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375</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377</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379</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380</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381</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366</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370</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386</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373</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374</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375</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377</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378</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379</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380</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381</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366</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370</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386</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373</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374</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375</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377</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379</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380</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381</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366</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370</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386</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373</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374</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375</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377</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379</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380</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381</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366</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370</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386</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373</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374</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375</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377</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379</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380</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381</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393</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370</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386</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373</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374</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375</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377</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378</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379</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380</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381</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394</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370</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386</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373</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374</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375</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377</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379</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380</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381</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369</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391</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370</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386</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373</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374</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375</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377</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378</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379</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380</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381</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369</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370</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386</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373</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374</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375</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377</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378</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379</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380</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381</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369</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370</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386</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390</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373</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374</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375</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377</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379</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380</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381</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369</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370</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386</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373</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374</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375</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377</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379</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380</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381</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369</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370</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373</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374</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375</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376</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377</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379</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380</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381</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366</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367</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382</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368</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369</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370</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371</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386</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373</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374</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375</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376</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377</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378</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395</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379</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380</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381</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369</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383</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384</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370</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385</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373</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374</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375</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377</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378</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379</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380</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381</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368</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369</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370</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371</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372</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373</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374</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375</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377</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378</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379</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380</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381</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368</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369</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370</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371</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372</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373</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374</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375</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377</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379</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380</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381</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369</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370</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386</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373</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374</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375</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377</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379</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380</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381</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366</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370</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386</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374</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375</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377</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379</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380</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381</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366</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370</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386</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374</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375</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377</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379</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380</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381</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367</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369</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370</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371</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372</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374</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375</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377</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379</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380</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381</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366</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370</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386</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373</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374</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375</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377</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379</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380</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381</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366</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370</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386</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374</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375</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377</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379</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380</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381</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366</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370</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386</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374</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375</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377</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379</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380</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381</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366</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370</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386</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374</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375</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377</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379</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380</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381</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366</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370</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386</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374</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375</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377</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379</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380</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381</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369</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370</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374</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375</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377</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379</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380</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381</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369</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374</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375</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377</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379</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369</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370</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386</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374</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375</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377</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379</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380</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381</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367</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370</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372</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374</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375</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377</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379</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380</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381</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366</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367</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382</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368</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369</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383</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384</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393</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394</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387</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389</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388</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391</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370</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371</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372</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385</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386</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390</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373</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374</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375</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376</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377</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378</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395</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392</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379</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380</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381</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2" bestFit="1" customWidth="1"/>
    <col min="2" max="16384" width="8.6640625" style="52"/>
  </cols>
  <sheetData>
    <row r="1" spans="1:2">
      <c r="A1" s="51" t="s">
        <v>439</v>
      </c>
      <c r="B1" s="51" t="s">
        <v>440</v>
      </c>
    </row>
    <row r="2" spans="1:2">
      <c r="A2" s="53" t="s">
        <v>441</v>
      </c>
      <c r="B2" s="51">
        <v>2050101</v>
      </c>
    </row>
    <row r="3" spans="1:2">
      <c r="A3" s="53" t="s">
        <v>442</v>
      </c>
      <c r="B3" s="51">
        <v>2050102</v>
      </c>
    </row>
    <row r="4" spans="1:2">
      <c r="A4" s="53" t="s">
        <v>366</v>
      </c>
      <c r="B4" s="51">
        <v>2050201</v>
      </c>
    </row>
    <row r="5" spans="1:2">
      <c r="A5" s="53" t="s">
        <v>367</v>
      </c>
      <c r="B5" s="51">
        <v>2050202</v>
      </c>
    </row>
    <row r="6" spans="1:2">
      <c r="A6" s="53" t="s">
        <v>382</v>
      </c>
      <c r="B6" s="51">
        <v>2050203</v>
      </c>
    </row>
    <row r="7" spans="1:2">
      <c r="A7" s="53" t="s">
        <v>368</v>
      </c>
      <c r="B7" s="51">
        <v>2050204</v>
      </c>
    </row>
    <row r="8" spans="1:2">
      <c r="A8" s="53" t="s">
        <v>369</v>
      </c>
      <c r="B8" s="51">
        <v>2050299</v>
      </c>
    </row>
    <row r="9" spans="1:2">
      <c r="A9" s="53" t="s">
        <v>383</v>
      </c>
      <c r="B9" s="51">
        <v>2050302</v>
      </c>
    </row>
    <row r="10" spans="1:2">
      <c r="A10" s="53" t="s">
        <v>443</v>
      </c>
      <c r="B10" s="51">
        <v>2050304</v>
      </c>
    </row>
    <row r="11" spans="1:2">
      <c r="A11" s="53" t="s">
        <v>384</v>
      </c>
      <c r="B11" s="51">
        <v>2050399</v>
      </c>
    </row>
    <row r="12" spans="1:2">
      <c r="A12" s="53" t="s">
        <v>393</v>
      </c>
      <c r="B12" s="51">
        <v>2050403</v>
      </c>
    </row>
    <row r="13" spans="1:2">
      <c r="A13" s="53" t="s">
        <v>394</v>
      </c>
      <c r="B13" s="51">
        <v>2050404</v>
      </c>
    </row>
    <row r="14" spans="1:2">
      <c r="A14" s="53" t="s">
        <v>387</v>
      </c>
      <c r="B14" s="51">
        <v>2050701</v>
      </c>
    </row>
    <row r="15" spans="1:2">
      <c r="A15" s="53" t="s">
        <v>389</v>
      </c>
      <c r="B15" s="51">
        <v>2050702</v>
      </c>
    </row>
    <row r="16" spans="1:2">
      <c r="A16" s="53" t="s">
        <v>388</v>
      </c>
      <c r="B16" s="51">
        <v>2050799</v>
      </c>
    </row>
    <row r="17" spans="1:2">
      <c r="A17" s="53" t="s">
        <v>391</v>
      </c>
      <c r="B17" s="51">
        <v>2050801</v>
      </c>
    </row>
    <row r="18" spans="1:2">
      <c r="A18" s="53" t="s">
        <v>370</v>
      </c>
      <c r="B18" s="51">
        <v>2050803</v>
      </c>
    </row>
    <row r="19" spans="1:2">
      <c r="A19" s="53" t="s">
        <v>371</v>
      </c>
      <c r="B19" s="51">
        <v>2050903</v>
      </c>
    </row>
    <row r="20" spans="1:2">
      <c r="A20" s="53" t="s">
        <v>372</v>
      </c>
      <c r="B20" s="51">
        <v>2050904</v>
      </c>
    </row>
    <row r="21" spans="1:2">
      <c r="A21" s="53" t="s">
        <v>385</v>
      </c>
      <c r="B21" s="51">
        <v>2050905</v>
      </c>
    </row>
    <row r="22" spans="1:2">
      <c r="A22" s="53" t="s">
        <v>386</v>
      </c>
      <c r="B22" s="51">
        <v>2050999</v>
      </c>
    </row>
    <row r="23" spans="1:2">
      <c r="A23" s="53" t="s">
        <v>390</v>
      </c>
      <c r="B23" s="51">
        <v>2060702</v>
      </c>
    </row>
    <row r="24" spans="1:2">
      <c r="A24" s="53" t="s">
        <v>444</v>
      </c>
      <c r="B24" s="51">
        <v>2080501</v>
      </c>
    </row>
    <row r="25" spans="1:2">
      <c r="A25" s="53" t="s">
        <v>373</v>
      </c>
      <c r="B25" s="51">
        <v>2080502</v>
      </c>
    </row>
    <row r="26" spans="1:2">
      <c r="A26" s="53" t="s">
        <v>374</v>
      </c>
      <c r="B26" s="51">
        <v>2080505</v>
      </c>
    </row>
    <row r="27" spans="1:2">
      <c r="A27" s="53" t="s">
        <v>375</v>
      </c>
      <c r="B27" s="51">
        <v>2080506</v>
      </c>
    </row>
    <row r="28" spans="1:2">
      <c r="A28" s="53" t="s">
        <v>376</v>
      </c>
      <c r="B28" s="51">
        <v>2080801</v>
      </c>
    </row>
    <row r="29" spans="1:2">
      <c r="A29" s="53" t="s">
        <v>445</v>
      </c>
      <c r="B29" s="51">
        <v>2101101</v>
      </c>
    </row>
    <row r="30" spans="1:2">
      <c r="A30" s="53" t="s">
        <v>377</v>
      </c>
      <c r="B30" s="51">
        <v>2101102</v>
      </c>
    </row>
    <row r="31" spans="1:2">
      <c r="A31" s="53" t="s">
        <v>378</v>
      </c>
      <c r="B31" s="51">
        <v>2101199</v>
      </c>
    </row>
    <row r="32" spans="1:2">
      <c r="A32" s="53" t="s">
        <v>395</v>
      </c>
      <c r="B32" s="51">
        <v>2120399</v>
      </c>
    </row>
    <row r="33" spans="1:2">
      <c r="A33" s="53" t="s">
        <v>379</v>
      </c>
      <c r="B33" s="51">
        <v>2210201</v>
      </c>
    </row>
    <row r="34" spans="1:2">
      <c r="A34" s="53" t="s">
        <v>380</v>
      </c>
      <c r="B34" s="51">
        <v>2210202</v>
      </c>
    </row>
    <row r="35" spans="1:2">
      <c r="A35" s="53" t="s">
        <v>381</v>
      </c>
      <c r="B35" s="51">
        <v>2210203</v>
      </c>
    </row>
    <row r="36" spans="1:2">
      <c r="A36" s="53" t="s">
        <v>446</v>
      </c>
      <c r="B36" s="51">
        <v>2296003</v>
      </c>
    </row>
    <row r="37" spans="1:2">
      <c r="A37" s="53" t="s">
        <v>447</v>
      </c>
      <c r="B37" s="51">
        <v>2340201</v>
      </c>
    </row>
    <row r="38" spans="1:2">
      <c r="A38" s="53" t="s">
        <v>392</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2021-08-30T07:10:14Z</cp:lastPrinted>
  <dcterms:created xsi:type="dcterms:W3CDTF">2021-08-26T09:47:38Z</dcterms:created>
  <dcterms:modified xsi:type="dcterms:W3CDTF">2021-09-08T07:35:12Z</dcterms:modified>
</cp:coreProperties>
</file>