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57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60" i="5" l="1"/>
  <c r="A3" i="6"/>
  <c r="J56" i="5" l="1"/>
  <c r="E56" i="5"/>
  <c r="J54" i="5"/>
  <c r="E54" i="5"/>
  <c r="J51" i="5"/>
  <c r="E51" i="5"/>
  <c r="J49" i="5"/>
  <c r="E49" i="5"/>
  <c r="J46" i="5"/>
  <c r="E46" i="5"/>
  <c r="J44" i="5"/>
  <c r="E44" i="5"/>
  <c r="J41" i="5"/>
  <c r="E41" i="5"/>
  <c r="J38" i="5"/>
  <c r="E38" i="5"/>
  <c r="J35" i="5"/>
  <c r="E35" i="5"/>
  <c r="J32" i="5"/>
  <c r="E32" i="5"/>
  <c r="D30" i="5"/>
  <c r="A32" i="6"/>
  <c r="G31" i="6"/>
  <c r="M30" i="6"/>
  <c r="C30" i="6"/>
  <c r="B57" i="5" l="1"/>
  <c r="F47" i="5"/>
  <c r="C50" i="5"/>
  <c r="G50" i="5" s="1"/>
  <c r="C55" i="5"/>
  <c r="G55" i="5" s="1"/>
  <c r="F33" i="5"/>
  <c r="F52" i="5"/>
  <c r="C57" i="5"/>
  <c r="G57" i="5" s="1"/>
  <c r="F57" i="5"/>
  <c r="F55" i="5"/>
  <c r="B55" i="5"/>
  <c r="B52" i="5"/>
  <c r="C52" i="5"/>
  <c r="G52" i="5" s="1"/>
  <c r="F50" i="5"/>
  <c r="B50" i="5"/>
  <c r="C47" i="5"/>
  <c r="G47" i="5" s="1"/>
  <c r="F36" i="5"/>
  <c r="F39" i="5"/>
  <c r="F45" i="5"/>
  <c r="B47" i="5"/>
  <c r="B45" i="5"/>
  <c r="C45" i="5"/>
  <c r="G45" i="5" s="1"/>
  <c r="C36" i="5"/>
  <c r="G36" i="5" s="1"/>
  <c r="C42" i="5"/>
  <c r="G42" i="5" s="1"/>
  <c r="C33" i="5"/>
  <c r="G33" i="5" s="1"/>
  <c r="B42" i="5"/>
  <c r="F42" i="5"/>
  <c r="B39" i="5"/>
  <c r="C39" i="5"/>
  <c r="G39" i="5" s="1"/>
  <c r="B36" i="5"/>
  <c r="B33"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64" i="5"/>
  <c r="F26" i="5"/>
  <c r="D29" i="5"/>
  <c r="D28" i="5"/>
  <c r="D27" i="5"/>
  <c r="E22" i="5"/>
  <c r="K22" i="5" s="1"/>
  <c r="D20" i="5"/>
  <c r="D19" i="5"/>
  <c r="D18" i="5"/>
  <c r="D17" i="5"/>
  <c r="J17" i="5" s="1"/>
  <c r="D15" i="5"/>
  <c r="D14" i="5"/>
  <c r="D13" i="5"/>
  <c r="D12" i="5"/>
  <c r="D11" i="5"/>
  <c r="D10" i="5"/>
  <c r="D8" i="5"/>
  <c r="J8" i="5" s="1"/>
  <c r="K11" i="6" l="1"/>
  <c r="L11" i="6"/>
  <c r="H10" i="5"/>
  <c r="K10" i="5" s="1"/>
  <c r="J10" i="5"/>
  <c r="E5" i="6"/>
  <c r="D5" i="6"/>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<sst xmlns="http://schemas.openxmlformats.org/spreadsheetml/2006/main" count="4632" uniqueCount="458">
  <si>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</si>
  <si>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</si>
  <si>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</si>
  <si>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</si>
  <si>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</si>
  <si>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</si>
  <si>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</si>
  <si>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</si>
  <si>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</si>
  <si>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</si>
  <si>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</si>
  <si>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</si>
  <si>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</si>
  <si>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</si>
  <si>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</si>
  <si>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</si>
  <si>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</si>
  <si>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</si>
  <si>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</si>
  <si>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</si>
  <si>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</si>
  <si>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</si>
  <si>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</si>
  <si>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</si>
  <si>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</si>
  <si>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</si>
  <si>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</si>
  <si>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</si>
  <si>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</si>
  <si>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</si>
  <si>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</si>
  <si>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</si>
  <si>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</si>
  <si>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</si>
  <si>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</si>
  <si>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</si>
  <si>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</si>
  <si>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</si>
  <si>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</si>
  <si>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</si>
  <si>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</si>
  <si>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</si>
  <si>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</si>
  <si>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</si>
  <si>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</si>
  <si>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</si>
  <si>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</si>
  <si>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</si>
  <si>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</si>
  <si>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</si>
  <si>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</si>
  <si>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</si>
  <si>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</si>
  <si>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</si>
  <si>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</si>
  <si>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</si>
  <si>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</si>
  <si>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</si>
  <si>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</si>
  <si>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</si>
  <si>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</si>
  <si>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</si>
  <si>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</si>
  <si>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</si>
  <si>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</si>
  <si>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</si>
  <si>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</si>
  <si>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</si>
  <si>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</si>
  <si>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</si>
  <si>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</si>
  <si>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</si>
  <si>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</si>
  <si>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</si>
  <si>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</si>
  <si>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</si>
  <si>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</si>
  <si>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</si>
  <si>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</si>
  <si>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</si>
  <si>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</si>
  <si>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</si>
  <si>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</si>
  <si>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</si>
  <si>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</si>
  <si>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</si>
  <si>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</si>
  <si>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</si>
  <si>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</si>
  <si>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</si>
  <si>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</si>
  <si>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</si>
  <si>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</si>
  <si>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</si>
  <si>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</si>
  <si>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</si>
  <si>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</si>
  <si>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</si>
  <si>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</si>
  <si>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</si>
  <si>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</si>
  <si>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</si>
  <si>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</si>
  <si>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</si>
  <si>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</si>
  <si>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</si>
  <si>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</si>
  <si>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</si>
  <si>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</si>
  <si>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</si>
  <si>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</si>
  <si>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</si>
  <si>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</si>
  <si>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</si>
  <si>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</si>
  <si>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</si>
  <si>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</si>
  <si>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</si>
  <si>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</si>
  <si>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</si>
  <si>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</si>
  <si>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</si>
  <si>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</si>
  <si>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</si>
  <si>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</si>
  <si>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</si>
  <si>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</si>
  <si>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</si>
  <si>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</si>
  <si>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</si>
  <si>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</si>
  <si>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</si>
  <si>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</si>
  <si>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</si>
  <si>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</si>
  <si>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</si>
  <si>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</si>
  <si>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</si>
  <si>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</si>
  <si>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</si>
  <si>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</si>
  <si>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</si>
  <si>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</si>
  <si>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</si>
  <si>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</si>
  <si>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</si>
  <si>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</si>
  <si>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</si>
  <si>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</si>
  <si>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</si>
  <si>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</si>
  <si>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</si>
  <si>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</si>
  <si>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</si>
  <si>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</si>
  <si>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</si>
  <si>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</si>
  <si>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</si>
  <si>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</si>
  <si>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</si>
  <si>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</si>
  <si>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</si>
  <si>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</si>
  <si>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</si>
  <si>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</si>
  <si>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</si>
  <si>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</si>
  <si>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</si>
  <si>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</si>
  <si>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</si>
  <si>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</si>
  <si>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</si>
  <si>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</si>
  <si>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</si>
  <si>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</si>
  <si>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</si>
  <si>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</si>
  <si>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</si>
  <si>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</si>
  <si>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</si>
  <si>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</si>
  <si>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</si>
  <si>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</si>
  <si>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</si>
  <si>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</si>
  <si>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</si>
  <si>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</si>
  <si>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</si>
  <si>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</si>
  <si>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</si>
  <si>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</si>
  <si>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</si>
  <si>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</si>
  <si>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</si>
  <si>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</si>
  <si>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</si>
  <si>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</si>
  <si>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</si>
  <si>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</si>
  <si>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</si>
  <si>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</si>
  <si>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</si>
  <si>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</si>
  <si>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</si>
  <si>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</si>
  <si>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</si>
  <si>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</si>
  <si>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</si>
  <si>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</si>
  <si>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</si>
  <si>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</si>
  <si>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</si>
  <si>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</si>
  <si>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</si>
  <si>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</si>
  <si>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</si>
  <si>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成人教育（款）2020年度决算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</si>
  <si>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</si>
  <si>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</si>
  <si>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</si>
  <si>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</si>
  <si>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</si>
  <si>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</si>
  <si>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</si>
  <si>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</si>
  <si>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</si>
  <si>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</si>
  <si>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</si>
  <si>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</si>
  <si>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</si>
  <si>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</si>
  <si>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</si>
  <si>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</si>
  <si>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</si>
  <si>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</si>
  <si>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</si>
  <si>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</si>
  <si>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</si>
  <si>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</si>
  <si>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</si>
  <si>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</si>
  <si>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</si>
  <si>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</si>
  <si>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</si>
  <si>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</si>
  <si>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</si>
  <si>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</si>
  <si>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</si>
  <si>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</si>
  <si>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</si>
  <si>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</si>
  <si>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</si>
  <si>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</si>
  <si>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</si>
  <si>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</si>
  <si>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</si>
  <si>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</si>
  <si>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</si>
  <si>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</si>
  <si>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</si>
  <si>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</si>
  <si>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</si>
  <si>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</si>
  <si>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</si>
  <si>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</si>
  <si>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</si>
  <si>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</si>
  <si>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</si>
  <si>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</si>
  <si>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</si>
  <si>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</si>
  <si>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</si>
  <si>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</si>
  <si>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</si>
  <si>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</si>
  <si>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</si>
  <si>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</si>
  <si>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</si>
  <si>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</si>
  <si>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</si>
  <si>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</si>
  <si>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</si>
  <si>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</si>
  <si>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</si>
  <si>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</si>
  <si>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</si>
  <si>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</si>
  <si>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</si>
  <si>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</si>
  <si>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</si>
  <si>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</si>
  <si>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</si>
  <si>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</si>
  <si>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</si>
  <si>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</si>
  <si>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</si>
  <si>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</si>
  <si>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</si>
  <si>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</si>
  <si>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</si>
  <si>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</si>
  <si>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</si>
  <si>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</si>
  <si>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</si>
  <si>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</si>
  <si>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</si>
  <si>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</si>
  <si>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</si>
  <si>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</si>
  <si>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</si>
  <si>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</si>
  <si>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</si>
  <si>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</si>
  <si>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</si>
  <si>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</si>
  <si>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</si>
  <si>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</si>
  <si>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</si>
  <si>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</si>
  <si>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</si>
  <si>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</si>
  <si>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</si>
  <si>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</si>
  <si>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</si>
  <si>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</si>
  <si>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</si>
  <si>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</si>
  <si>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</si>
  <si>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</si>
  <si>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</si>
  <si>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</si>
  <si>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</si>
  <si>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</si>
  <si>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</si>
  <si>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</si>
  <si>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</si>
  <si>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</si>
  <si>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</si>
  <si>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</si>
  <si>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</si>
  <si>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</si>
  <si>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</si>
  <si>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</si>
  <si>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</si>
  <si>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</si>
  <si>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</si>
  <si>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</si>
  <si>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</si>
  <si>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</si>
  <si>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</si>
  <si>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</si>
  <si>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</si>
  <si>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</si>
  <si>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</si>
  <si>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</si>
  <si>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</si>
  <si>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</si>
  <si>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</si>
  <si>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</si>
  <si>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</si>
  <si>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</si>
  <si>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</si>
  <si>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</si>
  <si>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</si>
  <si>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</si>
  <si>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</si>
  <si>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</si>
  <si>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</si>
  <si>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</si>
  <si>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</si>
  <si>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</si>
  <si>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</si>
  <si>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</si>
  <si>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</si>
  <si>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</si>
  <si>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</si>
  <si>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</si>
  <si>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</si>
  <si>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</si>
  <si>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</si>
  <si>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</si>
  <si>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</si>
  <si>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</si>
  <si>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</si>
  <si>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</si>
  <si>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</si>
  <si>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</si>
  <si>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</si>
  <si>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</si>
  <si>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</si>
  <si>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</si>
  <si>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</si>
  <si>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</si>
  <si>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</si>
  <si>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</si>
  <si>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</si>
  <si>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</si>
  <si>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</si>
  <si>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</si>
  <si>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</si>
  <si>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</si>
  <si>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</si>
  <si>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</si>
  <si>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</si>
  <si>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</si>
  <si>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</si>
  <si>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</si>
  <si>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</si>
  <si>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</si>
  <si>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</si>
  <si>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</si>
  <si>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</si>
  <si>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</si>
  <si>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</si>
  <si>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</si>
  <si>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</si>
  <si>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</si>
  <si>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</si>
  <si>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</si>
  <si>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</si>
  <si>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</si>
  <si>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</si>
  <si>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</si>
  <si>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</si>
  <si>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</si>
  <si>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</si>
  <si>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</si>
  <si>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</si>
  <si>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</si>
  <si>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</si>
  <si>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</si>
  <si>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</si>
  <si>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</si>
  <si>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</si>
  <si>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</si>
  <si>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</si>
  <si>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</si>
  <si>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</si>
  <si>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</si>
  <si>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</si>
  <si>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</si>
  <si>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</si>
  <si>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</si>
  <si>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</si>
  <si>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</si>
  <si>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</si>
  <si>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 xml:space="preserve">我单位，北京宣武红旗业余大学，主要职能为成人高等教育 ，继续教育，社区教育及老年教育。
机构数：1个。无变动。
编制人数83人。截止2020年12月底，在职年末实有人数69人，其中在岗在职67人,长休2人，去年同期68人，今年净增1人，其中调出1人，调入2人，离退年末实有人数4人，均为离休人员。由养老保险基金发放养老金的退休人员104人。
</t>
    <phoneticPr fontId="3" type="noConversion"/>
  </si>
  <si>
    <t>主要原因是本年度调减了教学楼改造，社区教育等财政拨款项目，并且由于疫情原因，税费降低，社会保障经费减少，公用经费支出也有所减少。</t>
    <phoneticPr fontId="3" type="noConversion"/>
  </si>
  <si>
    <t>主要原因是员工外出培训减少。</t>
    <phoneticPr fontId="3" type="noConversion"/>
  </si>
  <si>
    <t>主要原因是本年度调减了教学楼改造项目。</t>
    <phoneticPr fontId="3" type="noConversion"/>
  </si>
  <si>
    <t>主要原因是由于疫情原因，税费降低，社会保障经费减少。</t>
    <phoneticPr fontId="3" type="noConversion"/>
  </si>
  <si>
    <t>主要原因是医保缴费增加。</t>
    <phoneticPr fontId="3" type="noConversion"/>
  </si>
  <si>
    <t>决算与预算基本持平，微小变化为人员变动。</t>
    <phoneticPr fontId="3" type="noConversion"/>
  </si>
  <si>
    <t>主要原因是按照三公经费逐年递减的要求，进一步落实中央、北京市的有关厉行节约、压缩财政成本等规定，把勤俭节约落实到实处，坚决杜绝各种铺张浪费。另外，2020年未支出燃料费，而2019年燃料费占比重较大。</t>
    <phoneticPr fontId="3" type="noConversion"/>
  </si>
  <si>
    <t xml:space="preserve">北京宣武红旗业余大学对2020年度部门项目支出实施绩效评价，评价项目2个，占项目总数的33.33%，涉及金额38.4万元。评价结果（概括评价总体情况）。
     本年度除基建部门统一安排的大型修缮类项目外，共有财政拨款项目6个，涉及金额1,047,432.04 元，本年绩效追踪项目2个，分别是保安经费316,800元和专业技术人员继续教育经费67,200元，共计384,000元，占总项目比例36.66%，两个项目执行率均达到100%。
    保安经费：
    完成了总体绩效目标：聘用保安服务公司的保安员，对校园内实施安全保卫，做好防火、防盗、防破坏工作，预防和制止侵害学校安全的行为发生。
完成了绩效指标：1.数量指标：安保范围为校园内9848.1平方米（总建筑面积），安保期限为一年。2.质量指标：严格按照制度执行，规范性进行安全保卫工作，安保时间为24小时。确保安保工作质量，学校对保安公司的保安员工作质量进行验收，要求达到合格。3.进度指标：保安服务项目总进度为2020年1月1日—2020年12月31日。支付进度：每年6月和12月支付。4.成本指标：项目总成本为31.68万元，全年实际执行31.68万元。5.效益指标：有较好的社会效益，能够保障教学环境和办公环境的安全，具有可持续影响。6.服务对象满意度指标：学生满意度和教职员工满意度达到基本满意。
    专业技术人员继续教育：
    完成了年度绩效目标：购买教育部全国高校教师网络培训中心学习卡的形式，保障专技人员的专业科目继续教育需求。
完成了绩效指标：1.购买全国高校教师网络培训中心学习卡112张。2020年7月中旬，签订协议，购买了全国高校教师网络培训中心学习卡112张，支出6.72万元。2.根据《专业技术人员继续教育规定》：继续教育内容包括公需科目和专业科目。专业技术人员参加继续教育的时间，每年累计应不少于90学时，其中，专业科目一般不少于总学时的三分之二。3.每张卡对应的计入培训证书的学时不多于30学时。若人均两张学习卡，可以保证每位专技人员近60学时的继续教育时长。每张卡对应一张获得记录学习过程和学习时长的具备统一编号的电子版培训证书。
    本单位整体支出绩效目标实现情况
    本年度单位整体绩效目标如下：1、大专学历班计划开设16个专业， 24个教学班，学员人数410人。落实北京高等学校继续教育工作目标，充分体现国家立德树人的教育方向，围绕“培养什么人，怎样培养人，为谁培养人”的根本问题完成大专层次各专业人才培养目标，符合时代要求，突出培养成人在职大学生的创新能力和职业素养。 2、联合办学部利用北京理工大学、北京交通大学等国家重点大学的优质教育资源，以培养学生创新能力和职业素养为目标，为西城区培养本科层次成人在职大学生。计划开设经管类、理工类等12个专业，预计招生150人。 3、科研室组织学校专业技术人员继续教育，每人完成60学时以上；编辑印制每年四期《北京宣武红旗业余大学学报》，并做好相关期刊出版发行管理工作；完成各级各类课题管理工作。 4、社区办承担西城区学习型城区建设相关专项工作中的四个专项工作的统筹管理，分别是：市民终身学习服务基地建设、社区教育宣传、学习型社区建设工作、纵横汉字输入技能推介。为西城区市民学习提供更加丰富、更加便利的资源服务，实现西城社区教育和学习型城区建设工作可持续发展。 5、社区教育通过开展丰富多彩的社区学习、交流展示等活动，提高社区居民素质的同时，陶冶居民的身心，使生活丰富而充实，提高幸福感，为社区教育、终身教育、构建和谐社会贡献力量。 通过对街道养老基地的扶持，切实通过老年教育推动整体终身教育，推动学习型社会建设。通过对教师进行专业性指导提高教师参与学校管理的能力以及科学地从事家庭教育工作。对家长进行全方位的科学培训与教育，提高家长对孩子进行教育的责任感，使家长掌握初步的教育学、心理学知识和科学育人的方法，以提高家教质量和水平，更好地配合学校、配合广外街道全面推进综合素质教育，促进青少年和儿童健康成长。 6、老干部大学计划开设8个门类，15个专业， 27个教学班，培训学员1600人次。坚持“增长知识、陶冶情操、健康身心、服务社会”的办学宗旨，促进老有所学、老年所乐、老有所为，为党和人民的事业增添正能量。 7、培训中心计划开设3个系列培训，4个班次，培训学员1468人次。为学习者提供自由选择的机会”的办学宗旨，培养不同层次的各类实用人才，为首都社会经济的发展提供积极有效的服务。 8、新职业教育中心计划开设7门培训课程，培训学员210人次。协助西城区教委落实关于提升中小学及幼儿园教职工专业素质和岗位技能的意见，打造西城教育特色品质，强化教职工职业技能，提升职业修养。    
    由于疫情影响，学校的教育形式主要采取线上教学的形式。学历教育基本完成绩效目标。非学历培训和老年教育受到一定影响。社区教育在下半年有序开展，基本完成绩效目标。学报按期印制。
</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</si>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</sst>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theme="1"/>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xf numFmtId="0" fontId="22" fillId="0" borderId="0" xfId="0" applyFont="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5546875" customWidth="1"/>
    <col min="2" max="2" width="12.77734375" bestFit="1" customWidth="1"/>
  </cols>
  <sheetData>
    <row r="1" spans="1:14" ht="37.799999999999997" customHeight="1">
      <c r="A1" s="26" t="s">
        <v>0</v>
      </c>
      <c r="B1" s="27">
        <v>255171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北京宣武红旗业余大学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RowHeight="13.8"/>
  <cols>
    <col min="1" max="1" width="8.88671875" style="22"/>
    <col min="2" max="2" width="23.6640625" style="22" customWidth="1"/>
    <col min="3" max="4" width="7.21875" style="39" customWidth="1"/>
    <col min="5" max="5" width="8.5546875" style="40" customWidth="1"/>
    <col min="6" max="6" width="19.6640625" style="22" customWidth="1"/>
    <col min="7" max="8" width="13.6640625" style="22" customWidth="1"/>
    <col min="9" max="16384" width="8.88671875" style="22"/>
  </cols>
  <sheetData>
    <row r="1" spans="1:8" ht="24">
      <c r="A1" s="20" t="s">
        <v>351</v>
      </c>
      <c r="B1" s="21" t="s">
        <v>280</v>
      </c>
      <c r="C1" s="36" t="s">
        <v>352</v>
      </c>
      <c r="D1" s="36" t="s">
        <v>353</v>
      </c>
      <c r="E1" s="37" t="s">
        <v>354</v>
      </c>
      <c r="F1" s="21" t="s">
        <v>355</v>
      </c>
      <c r="G1" s="21" t="s">
        <v>356</v>
      </c>
      <c r="H1" s="21" t="s">
        <v>357</v>
      </c>
    </row>
    <row r="2" spans="1:8">
      <c r="A2" s="23">
        <v>255001</v>
      </c>
      <c r="B2" s="24" t="s">
        <v>331</v>
      </c>
      <c r="C2" s="38" t="str">
        <f>LEFT(D2,3)</f>
        <v>205</v>
      </c>
      <c r="D2" s="38" t="str">
        <f>LEFT(E2,5)</f>
        <v>20502</v>
      </c>
      <c r="E2" s="38">
        <f>IF(ISNA(VLOOKUP(F2,'2020功能科目'!A:B,2,FALSE)),"",VLOOKUP(F2,'2020功能科目'!A:B,2,FALSE))</f>
        <v>2050201</v>
      </c>
      <c r="F2" s="24" t="s">
        <v>358</v>
      </c>
      <c r="G2" s="25">
        <v>91486047.549999997</v>
      </c>
      <c r="H2" s="25">
        <v>117849170.55</v>
      </c>
    </row>
    <row r="3" spans="1:8">
      <c r="A3" s="23">
        <v>255001</v>
      </c>
      <c r="B3" s="24" t="s">
        <v>331</v>
      </c>
      <c r="C3" s="38" t="str">
        <f t="shared" ref="C3:C66" si="0">LEFT(D3,3)</f>
        <v>205</v>
      </c>
      <c r="D3" s="38" t="str">
        <f t="shared" ref="D3:D66" si="1">LEFT(E3,5)</f>
        <v>20502</v>
      </c>
      <c r="E3" s="38">
        <f>IF(ISNA(VLOOKUP(F3,'2020功能科目'!A:B,2,FALSE)),"",VLOOKUP(F3,'2020功能科目'!A:B,2,FALSE))</f>
        <v>2050202</v>
      </c>
      <c r="F3" s="24" t="s">
        <v>359</v>
      </c>
      <c r="G3" s="25">
        <v>250000</v>
      </c>
      <c r="H3" s="25">
        <v>250000</v>
      </c>
    </row>
    <row r="4" spans="1:8">
      <c r="A4" s="23">
        <v>255001</v>
      </c>
      <c r="B4" s="24" t="s">
        <v>331</v>
      </c>
      <c r="C4" s="38" t="str">
        <f t="shared" si="0"/>
        <v>205</v>
      </c>
      <c r="D4" s="38" t="str">
        <f t="shared" si="1"/>
        <v>20502</v>
      </c>
      <c r="E4" s="38">
        <f>IF(ISNA(VLOOKUP(F4,'2020功能科目'!A:B,2,FALSE)),"",VLOOKUP(F4,'2020功能科目'!A:B,2,FALSE))</f>
        <v>2050204</v>
      </c>
      <c r="F4" s="24" t="s">
        <v>360</v>
      </c>
      <c r="G4" s="25">
        <v>1439000</v>
      </c>
      <c r="H4" s="25">
        <v>1439888.15</v>
      </c>
    </row>
    <row r="5" spans="1:8">
      <c r="A5" s="23">
        <v>255001</v>
      </c>
      <c r="B5" s="24" t="s">
        <v>331</v>
      </c>
      <c r="C5" s="38" t="str">
        <f t="shared" si="0"/>
        <v>205</v>
      </c>
      <c r="D5" s="38" t="str">
        <f t="shared" si="1"/>
        <v>20502</v>
      </c>
      <c r="E5" s="38">
        <f>IF(ISNA(VLOOKUP(F5,'2020功能科目'!A:B,2,FALSE)),"",VLOOKUP(F5,'2020功能科目'!A:B,2,FALSE))</f>
        <v>2050299</v>
      </c>
      <c r="F5" s="24" t="s">
        <v>361</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360</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361</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362</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363</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364</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365</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366</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367</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368</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369</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370</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371</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372</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373</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360</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361</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362</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363</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364</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365</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366</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367</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369</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370</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371</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372</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373</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360</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361</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362</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364</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365</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366</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367</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369</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370</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371</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372</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373</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360</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361</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362</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363</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364</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365</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366</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367</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369</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370</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371</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372</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373</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360</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362</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363</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364</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365</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366</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367</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369</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370</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371</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372</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373</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360</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363</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364</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365</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366</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367</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369</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370</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371</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372</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373</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360</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361</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362</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363</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364</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365</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366</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367</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368</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369</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370</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371</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372</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373</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360</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361</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362</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363</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364</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365</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366</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367</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369</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370</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371</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372</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373</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360</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361</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362</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363</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364</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365</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366</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367</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369</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370</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371</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372</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373</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360</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362</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363</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364</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365</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366</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367</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369</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370</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371</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372</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373</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360</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362</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363</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364</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365</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366</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367</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369</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370</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371</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372</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373</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360</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364</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365</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366</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367</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369</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370</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371</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372</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373</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360</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361</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362</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363</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364</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365</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366</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367</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369</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370</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371</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372</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373</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374</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361</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362</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363</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364</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365</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366</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367</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369</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370</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371</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372</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373</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360</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362</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363</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365</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366</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367</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369</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371</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372</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373</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360</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361</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362</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363</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364</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365</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366</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367</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369</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370</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371</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372</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373</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360</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361</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362</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363</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364</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365</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366</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367</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369</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370</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371</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372</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373</v>
      </c>
      <c r="G216" s="25">
        <v>4290503</v>
      </c>
      <c r="H216" s="25">
        <v>4304412</v>
      </c>
    </row>
    <row r="217" spans="1:8">
      <c r="A217" s="23">
        <v>255022</v>
      </c>
      <c r="B217" s="24" t="s">
        <v>332</v>
      </c>
      <c r="C217" s="38" t="str">
        <f t="shared" si="6"/>
        <v>205</v>
      </c>
      <c r="D217" s="38" t="str">
        <f t="shared" si="7"/>
        <v>20502</v>
      </c>
      <c r="E217" s="38">
        <f>IF(ISNA(VLOOKUP(F217,'2020功能科目'!A:B,2,FALSE)),"",VLOOKUP(F217,'2020功能科目'!A:B,2,FALSE))</f>
        <v>2050203</v>
      </c>
      <c r="F217" s="24" t="s">
        <v>374</v>
      </c>
      <c r="G217" s="25">
        <v>26873070.100000001</v>
      </c>
      <c r="H217" s="25">
        <v>22704196.510000002</v>
      </c>
    </row>
    <row r="218" spans="1:8">
      <c r="A218" s="23">
        <v>255022</v>
      </c>
      <c r="B218" s="24" t="s">
        <v>332</v>
      </c>
      <c r="C218" s="38" t="str">
        <f t="shared" si="6"/>
        <v>205</v>
      </c>
      <c r="D218" s="38" t="str">
        <f t="shared" si="7"/>
        <v>20502</v>
      </c>
      <c r="E218" s="38">
        <f>IF(ISNA(VLOOKUP(F218,'2020功能科目'!A:B,2,FALSE)),"",VLOOKUP(F218,'2020功能科目'!A:B,2,FALSE))</f>
        <v>2050204</v>
      </c>
      <c r="F218" s="24" t="s">
        <v>360</v>
      </c>
      <c r="G218" s="25">
        <v>46564</v>
      </c>
      <c r="H218" s="25">
        <v>51629</v>
      </c>
    </row>
    <row r="219" spans="1:8">
      <c r="A219" s="23">
        <v>255022</v>
      </c>
      <c r="B219" s="24" t="s">
        <v>332</v>
      </c>
      <c r="C219" s="38" t="str">
        <f t="shared" si="6"/>
        <v>205</v>
      </c>
      <c r="D219" s="38" t="str">
        <f t="shared" si="7"/>
        <v>20502</v>
      </c>
      <c r="E219" s="38">
        <f>IF(ISNA(VLOOKUP(F219,'2020功能科目'!A:B,2,FALSE)),"",VLOOKUP(F219,'2020功能科目'!A:B,2,FALSE))</f>
        <v>2050299</v>
      </c>
      <c r="F219" s="24" t="s">
        <v>361</v>
      </c>
      <c r="G219" s="25">
        <v>279.2</v>
      </c>
      <c r="H219" s="25">
        <v>0</v>
      </c>
    </row>
    <row r="220" spans="1:8">
      <c r="A220" s="23">
        <v>255022</v>
      </c>
      <c r="B220" s="24" t="s">
        <v>332</v>
      </c>
      <c r="C220" s="38" t="str">
        <f t="shared" si="6"/>
        <v>205</v>
      </c>
      <c r="D220" s="38" t="str">
        <f t="shared" si="7"/>
        <v>20508</v>
      </c>
      <c r="E220" s="38">
        <f>IF(ISNA(VLOOKUP(F220,'2020功能科目'!A:B,2,FALSE)),"",VLOOKUP(F220,'2020功能科目'!A:B,2,FALSE))</f>
        <v>2050803</v>
      </c>
      <c r="F220" s="24" t="s">
        <v>362</v>
      </c>
      <c r="G220" s="25">
        <v>36800</v>
      </c>
      <c r="H220" s="25">
        <v>73600</v>
      </c>
    </row>
    <row r="221" spans="1:8">
      <c r="A221" s="23">
        <v>255022</v>
      </c>
      <c r="B221" s="24" t="s">
        <v>332</v>
      </c>
      <c r="C221" s="38" t="str">
        <f t="shared" si="6"/>
        <v>205</v>
      </c>
      <c r="D221" s="38" t="str">
        <f t="shared" si="7"/>
        <v>20509</v>
      </c>
      <c r="E221" s="38">
        <f>IF(ISNA(VLOOKUP(F221,'2020功能科目'!A:B,2,FALSE)),"",VLOOKUP(F221,'2020功能科目'!A:B,2,FALSE))</f>
        <v>2050903</v>
      </c>
      <c r="F221" s="24" t="s">
        <v>363</v>
      </c>
      <c r="G221" s="25">
        <v>138743.4</v>
      </c>
      <c r="H221" s="25">
        <v>140000</v>
      </c>
    </row>
    <row r="222" spans="1:8">
      <c r="A222" s="23">
        <v>255022</v>
      </c>
      <c r="B222" s="24" t="s">
        <v>332</v>
      </c>
      <c r="C222" s="38" t="str">
        <f t="shared" si="6"/>
        <v>205</v>
      </c>
      <c r="D222" s="38" t="str">
        <f t="shared" si="7"/>
        <v>20509</v>
      </c>
      <c r="E222" s="38">
        <f>IF(ISNA(VLOOKUP(F222,'2020功能科目'!A:B,2,FALSE)),"",VLOOKUP(F222,'2020功能科目'!A:B,2,FALSE))</f>
        <v>2050904</v>
      </c>
      <c r="F222" s="24" t="s">
        <v>364</v>
      </c>
      <c r="G222" s="25">
        <v>1246675.0900000001</v>
      </c>
      <c r="H222" s="25">
        <v>1261160</v>
      </c>
    </row>
    <row r="223" spans="1:8">
      <c r="A223" s="23">
        <v>255022</v>
      </c>
      <c r="B223" s="24" t="s">
        <v>332</v>
      </c>
      <c r="C223" s="38" t="str">
        <f t="shared" si="6"/>
        <v>208</v>
      </c>
      <c r="D223" s="38" t="str">
        <f t="shared" si="7"/>
        <v>20805</v>
      </c>
      <c r="E223" s="38">
        <f>IF(ISNA(VLOOKUP(F223,'2020功能科目'!A:B,2,FALSE)),"",VLOOKUP(F223,'2020功能科目'!A:B,2,FALSE))</f>
        <v>2080502</v>
      </c>
      <c r="F223" s="24" t="s">
        <v>365</v>
      </c>
      <c r="G223" s="25">
        <v>2701675.56</v>
      </c>
      <c r="H223" s="25">
        <v>2070473.15</v>
      </c>
    </row>
    <row r="224" spans="1:8">
      <c r="A224" s="23">
        <v>255022</v>
      </c>
      <c r="B224" s="24" t="s">
        <v>332</v>
      </c>
      <c r="C224" s="38" t="str">
        <f t="shared" si="6"/>
        <v>208</v>
      </c>
      <c r="D224" s="38" t="str">
        <f t="shared" si="7"/>
        <v>20805</v>
      </c>
      <c r="E224" s="38">
        <f>IF(ISNA(VLOOKUP(F224,'2020功能科目'!A:B,2,FALSE)),"",VLOOKUP(F224,'2020功能科目'!A:B,2,FALSE))</f>
        <v>2080505</v>
      </c>
      <c r="F224" s="24" t="s">
        <v>366</v>
      </c>
      <c r="G224" s="25">
        <v>1964071.04</v>
      </c>
      <c r="H224" s="25">
        <v>2098399.36</v>
      </c>
    </row>
    <row r="225" spans="1:8">
      <c r="A225" s="23">
        <v>255022</v>
      </c>
      <c r="B225" s="24" t="s">
        <v>332</v>
      </c>
      <c r="C225" s="38" t="str">
        <f t="shared" si="6"/>
        <v>208</v>
      </c>
      <c r="D225" s="38" t="str">
        <f t="shared" si="7"/>
        <v>20805</v>
      </c>
      <c r="E225" s="38">
        <f>IF(ISNA(VLOOKUP(F225,'2020功能科目'!A:B,2,FALSE)),"",VLOOKUP(F225,'2020功能科目'!A:B,2,FALSE))</f>
        <v>2080506</v>
      </c>
      <c r="F225" s="24" t="s">
        <v>367</v>
      </c>
      <c r="G225" s="25">
        <v>982035.52</v>
      </c>
      <c r="H225" s="25">
        <v>1049199.68</v>
      </c>
    </row>
    <row r="226" spans="1:8">
      <c r="A226" s="23">
        <v>255022</v>
      </c>
      <c r="B226" s="24" t="s">
        <v>332</v>
      </c>
      <c r="C226" s="38" t="str">
        <f t="shared" si="6"/>
        <v>210</v>
      </c>
      <c r="D226" s="38" t="str">
        <f t="shared" si="7"/>
        <v>21011</v>
      </c>
      <c r="E226" s="38">
        <f>IF(ISNA(VLOOKUP(F226,'2020功能科目'!A:B,2,FALSE)),"",VLOOKUP(F226,'2020功能科目'!A:B,2,FALSE))</f>
        <v>2101102</v>
      </c>
      <c r="F226" s="24" t="s">
        <v>369</v>
      </c>
      <c r="G226" s="25">
        <v>2132507.06</v>
      </c>
      <c r="H226" s="25">
        <v>1704949.48</v>
      </c>
    </row>
    <row r="227" spans="1:8">
      <c r="A227" s="23">
        <v>255022</v>
      </c>
      <c r="B227" s="24" t="s">
        <v>332</v>
      </c>
      <c r="C227" s="38" t="str">
        <f t="shared" si="6"/>
        <v>210</v>
      </c>
      <c r="D227" s="38" t="str">
        <f t="shared" si="7"/>
        <v>21011</v>
      </c>
      <c r="E227" s="38">
        <f>IF(ISNA(VLOOKUP(F227,'2020功能科目'!A:B,2,FALSE)),"",VLOOKUP(F227,'2020功能科目'!A:B,2,FALSE))</f>
        <v>2101199</v>
      </c>
      <c r="F227" s="24" t="s">
        <v>370</v>
      </c>
      <c r="G227" s="25">
        <v>180000</v>
      </c>
      <c r="H227" s="25">
        <v>360000</v>
      </c>
    </row>
    <row r="228" spans="1:8">
      <c r="A228" s="23">
        <v>255022</v>
      </c>
      <c r="B228" s="24" t="s">
        <v>332</v>
      </c>
      <c r="C228" s="38" t="str">
        <f t="shared" si="6"/>
        <v>221</v>
      </c>
      <c r="D228" s="38" t="str">
        <f t="shared" si="7"/>
        <v>22102</v>
      </c>
      <c r="E228" s="38">
        <f>IF(ISNA(VLOOKUP(F228,'2020功能科目'!A:B,2,FALSE)),"",VLOOKUP(F228,'2020功能科目'!A:B,2,FALSE))</f>
        <v>2210201</v>
      </c>
      <c r="F228" s="24" t="s">
        <v>371</v>
      </c>
      <c r="G228" s="25">
        <v>2537027</v>
      </c>
      <c r="H228" s="25">
        <v>2125799.52</v>
      </c>
    </row>
    <row r="229" spans="1:8">
      <c r="A229" s="23">
        <v>255022</v>
      </c>
      <c r="B229" s="24" t="s">
        <v>332</v>
      </c>
      <c r="C229" s="38" t="str">
        <f t="shared" si="6"/>
        <v>221</v>
      </c>
      <c r="D229" s="38" t="str">
        <f t="shared" si="7"/>
        <v>22102</v>
      </c>
      <c r="E229" s="38">
        <f>IF(ISNA(VLOOKUP(F229,'2020功能科目'!A:B,2,FALSE)),"",VLOOKUP(F229,'2020功能科目'!A:B,2,FALSE))</f>
        <v>2210202</v>
      </c>
      <c r="F229" s="24" t="s">
        <v>372</v>
      </c>
      <c r="G229" s="25">
        <v>215560</v>
      </c>
      <c r="H229" s="25">
        <v>217920</v>
      </c>
    </row>
    <row r="230" spans="1:8">
      <c r="A230" s="23">
        <v>255022</v>
      </c>
      <c r="B230" s="24" t="s">
        <v>332</v>
      </c>
      <c r="C230" s="38" t="str">
        <f t="shared" si="6"/>
        <v>221</v>
      </c>
      <c r="D230" s="38" t="str">
        <f t="shared" si="7"/>
        <v>22102</v>
      </c>
      <c r="E230" s="38">
        <f>IF(ISNA(VLOOKUP(F230,'2020功能科目'!A:B,2,FALSE)),"",VLOOKUP(F230,'2020功能科目'!A:B,2,FALSE))</f>
        <v>2210203</v>
      </c>
      <c r="F230" s="24" t="s">
        <v>373</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360</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361</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362</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363</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364</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365</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366</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367</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369</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370</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371</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372</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373</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374</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361</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362</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363</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364</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365</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366</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367</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369</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370</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371</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372</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373</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374</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361</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362</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363</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364</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365</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366</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367</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369</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370</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371</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372</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373</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374</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360</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361</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362</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364</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365</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366</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367</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369</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370</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371</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372</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373</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374</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361</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362</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363</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364</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365</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366</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367</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369</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370</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371</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372</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373</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375</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376</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362</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377</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365</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366</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367</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368</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369</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370</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371</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372</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373</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361</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375</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362</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364</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377</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365</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366</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367</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369</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370</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371</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372</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373</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359</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360</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361</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362</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364</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365</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366</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367</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368</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369</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370</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371</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372</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373</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359</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361</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362</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364</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365</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366</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367</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369</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370</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371</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372</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373</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359</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361</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362</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364</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365</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366</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367</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369</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371</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372</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373</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359</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361</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362</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364</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365</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366</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367</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369</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371</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372</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373</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359</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361</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362</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364</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365</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366</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367</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369</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371</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372</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373</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359</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361</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362</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363</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364</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365</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366</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367</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369</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371</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372</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373</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359</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361</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362</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363</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364</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365</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366</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367</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369</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371</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372</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373</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359</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361</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362</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364</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365</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366</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367</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369</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371</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372</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373</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359</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361</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362</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363</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364</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365</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366</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367</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369</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371</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372</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373</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359</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361</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362</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363</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364</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365</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366</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367</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369</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370</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371</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372</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373</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359</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361</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362</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364</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365</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366</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367</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369</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371</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372</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373</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359</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361</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362</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363</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364</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365</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366</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367</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369</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370</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371</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372</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373</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359</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361</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362</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364</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365</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366</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367</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369</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371</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372</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373</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359</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361</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362</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363</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364</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365</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366</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367</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369</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370</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371</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372</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373</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359</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361</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362</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363</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364</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365</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366</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367</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369</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370</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371</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372</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373</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359</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361</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362</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363</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364</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365</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366</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367</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369</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371</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372</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373</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359</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361</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362</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363</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364</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365</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366</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367</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369</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370</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371</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372</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373</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359</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361</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362</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363</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364</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365</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366</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367</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369</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371</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372</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373</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359</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361</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362</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364</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365</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366</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367</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369</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371</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372</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373</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359</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361</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362</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363</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364</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365</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366</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367</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369</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371</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372</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373</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359</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361</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362</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363</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364</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365</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366</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367</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369</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370</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371</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372</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373</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359</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361</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362</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363</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364</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365</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366</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367</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369</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371</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372</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373</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359</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361</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362</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363</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364</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365</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366</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367</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369</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370</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371</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372</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373</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359</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361</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362</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363</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364</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365</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366</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367</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369</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371</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372</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373</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359</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361</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362</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363</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364</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378</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365</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366</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367</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368</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369</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371</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372</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373</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359</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361</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362</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364</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365</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366</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367</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369</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370</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371</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372</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373</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359</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361</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362</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363</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364</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365</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366</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367</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369</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370</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371</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372</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373</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359</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361</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362</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363</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364</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365</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366</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367</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369</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370</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371</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372</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373</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359</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361</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362</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364</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365</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366</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367</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369</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370</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371</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372</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373</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359</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361</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362</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363</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364</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365</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366</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367</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369</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370</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371</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372</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373</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359</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361</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362</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363</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364</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365</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366</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367</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369</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370</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371</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372</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373</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359</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361</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362</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364</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365</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366</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367</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369</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371</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372</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373</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359</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361</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362</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363</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364</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365</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366</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367</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369</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370</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371</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372</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373</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359</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361</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362</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363</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364</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365</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366</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367</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369</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370</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371</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372</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373</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358</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362</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378</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365</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366</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367</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369</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370</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371</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372</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373</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358</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362</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378</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365</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366</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367</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369</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370</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371</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372</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373</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358</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362</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378</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365</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366</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367</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369</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370</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371</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372</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373</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358</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362</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378</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365</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366</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367</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369</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371</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372</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373</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358</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362</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378</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365</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366</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367</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369</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371</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372</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373</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358</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362</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378</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365</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366</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367</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369</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370</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371</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372</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373</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358</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362</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378</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365</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366</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367</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369</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371</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372</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373</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358</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362</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378</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365</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366</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367</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369</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371</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372</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373</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365</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372</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358</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360</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361</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379</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362</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363</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364</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365</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366</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367</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369</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371</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372</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373</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358</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361</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379</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380</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362</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363</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364</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365</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366</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367</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369</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371</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372</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373</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361</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381</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362</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364</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365</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366</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367</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368</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369</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371</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372</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373</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361</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362</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378</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365</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366</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367</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369</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370</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371</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372</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373</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361</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362</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378</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382</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365</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366</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367</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369</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370</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371</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372</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373</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361</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362</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378</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365</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366</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367</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369</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371</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372</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373</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361</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362</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378</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365</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366</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367</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369</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371</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372</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373</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361</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362</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378</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365</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366</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367</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369</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371</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372</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373</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361</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362</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378</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365</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366</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367</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369</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371</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372</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373</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361</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362</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378</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365</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366</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367</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369</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371</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372</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373</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361</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383</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362</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378</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365</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366</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367</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369</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370</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371</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372</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373</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361</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362</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378</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365</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366</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367</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369</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371</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372</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373</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361</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362</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378</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365</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366</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367</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368</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369</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371</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372</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373</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361</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383</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362</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378</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365</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366</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367</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369</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371</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372</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373</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361</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362</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378</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365</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366</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367</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369</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371</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372</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373</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361</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362</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365</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366</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367</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369</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371</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372</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373</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361</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362</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366</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367</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369</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371</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372</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373</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361</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362</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378</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365</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366</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367</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369</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371</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372</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373</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361</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378</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365</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366</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367</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369</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371</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372</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373</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358</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362</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378</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365</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366</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367</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369</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371</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372</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373</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359</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361</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362</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363</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364</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365</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366</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367</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369</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371</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372</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373</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361</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362</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365</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366</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367</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369</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371</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372</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373</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360</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361</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362</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363</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364</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365</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366</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367</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369</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370</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371</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372</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373</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360</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361</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362</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363</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364</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365</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366</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367</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369</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370</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371</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372</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373</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360</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361</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362</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364</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365</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366</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367</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369</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370</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371</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372</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373</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360</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362</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363</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364</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365</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366</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367</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369</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370</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371</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372</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373</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360</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361</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362</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363</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364</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365</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366</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367</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369</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370</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371</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372</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373</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361</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375</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376</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362</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377</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365</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366</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367</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369</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370</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384</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371</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372</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373</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360</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362</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365</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366</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367</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369</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370</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371</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372</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373</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360</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361</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362</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363</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364</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365</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366</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367</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369</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370</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371</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372</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373</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360</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361</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362</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364</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365</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366</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367</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369</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370</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371</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372</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373</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360</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361</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362</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363</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364</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365</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366</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367</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369</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370</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371</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372</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373</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359</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361</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362</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363</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364</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365</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366</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367</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369</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370</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371</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372</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373</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359</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361</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362</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363</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364</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365</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366</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367</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369</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370</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371</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372</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373</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359</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361</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362</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363</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364</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365</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366</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367</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369</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371</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372</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373</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359</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361</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362</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363</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364</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365</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366</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367</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369</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370</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371</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372</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373</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359</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361</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362</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363</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364</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365</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366</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367</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368</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369</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370</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371</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372</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373</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359</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361</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362</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363</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364</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365</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366</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367</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369</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371</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372</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373</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359</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361</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362</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364</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365</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366</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367</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369</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371</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372</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373</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359</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361</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362</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363</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364</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365</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366</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367</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369</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371</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372</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373</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359</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361</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362</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364</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365</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366</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367</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369</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370</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371</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372</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373</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359</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361</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362</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363</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364</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365</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366</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367</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369</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370</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371</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372</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373</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359</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362</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364</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365</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366</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367</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369</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370</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371</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372</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373</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359</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361</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362</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363</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364</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365</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366</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367</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368</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369</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371</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372</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373</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359</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361</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362</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363</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364</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365</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366</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367</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369</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370</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371</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372</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373</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359</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361</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362</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363</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364</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365</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366</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367</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369</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371</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372</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373</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359</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361</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362</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363</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364</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365</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366</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367</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369</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370</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371</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372</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373</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359</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361</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362</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363</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364</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365</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366</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367</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369</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371</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372</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373</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359</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362</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363</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364</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365</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366</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367</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369</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370</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371</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372</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373</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359</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361</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362</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363</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364</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365</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366</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367</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369</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371</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372</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373</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359</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362</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363</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364</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365</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366</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367</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369</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371</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372</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373</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359</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361</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362</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364</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365</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366</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367</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369</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371</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372</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373</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359</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361</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362</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363</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364</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365</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366</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367</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369</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371</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372</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373</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359</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361</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362</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363</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364</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365</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366</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367</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369</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371</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372</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373</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358</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362</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378</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365</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366</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367</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369</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371</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372</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373</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358</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362</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378</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365</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366</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367</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369</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370</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371</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372</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373</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358</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362</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378</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365</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366</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367</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369</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370</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371</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372</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373</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358</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362</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365</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366</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367</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369</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371</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372</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373</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358</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362</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378</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365</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366</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367</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369</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371</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372</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373</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358</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362</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378</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365</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366</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367</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369</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371</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372</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373</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358</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362</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378</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365</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366</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367</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369</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371</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372</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373</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358</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362</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365</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366</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367</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369</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371</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372</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373</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358</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362</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378</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365</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366</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367</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369</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371</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372</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373</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358</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362</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378</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365</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366</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367</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369</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370</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371</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372</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373</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358</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362</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378</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365</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366</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367</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369</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371</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372</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373</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358</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362</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378</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365</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366</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367</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369</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371</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372</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373</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358</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362</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378</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365</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366</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367</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369</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371</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372</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373</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385</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362</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378</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365</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366</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367</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369</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370</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371</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372</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373</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386</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362</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378</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365</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366</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367</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369</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371</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372</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373</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361</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383</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362</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378</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365</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366</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367</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369</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370</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371</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372</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373</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361</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362</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378</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365</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366</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367</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369</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370</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371</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372</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373</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361</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362</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378</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382</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365</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366</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367</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369</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371</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372</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373</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361</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362</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378</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365</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366</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367</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369</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371</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372</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373</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361</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362</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365</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366</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367</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368</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369</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371</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372</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373</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358</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359</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374</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360</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361</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362</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363</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378</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365</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366</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367</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368</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369</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370</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387</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371</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372</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373</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361</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375</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376</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362</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377</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365</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366</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367</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369</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370</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371</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372</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373</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360</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361</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362</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363</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364</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365</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366</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367</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369</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370</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371</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372</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373</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360</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361</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362</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363</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364</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365</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366</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367</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369</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371</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372</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373</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361</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362</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378</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365</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366</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367</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369</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371</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372</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373</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358</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362</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378</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366</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367</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369</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371</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372</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373</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358</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362</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378</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366</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367</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369</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371</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372</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373</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359</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361</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362</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363</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364</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366</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367</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369</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371</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372</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373</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358</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362</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378</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365</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366</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367</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369</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371</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372</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373</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358</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362</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378</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366</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367</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369</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371</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372</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373</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358</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362</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378</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366</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367</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369</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371</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372</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373</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358</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362</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378</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366</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367</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369</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371</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372</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373</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358</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362</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378</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366</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367</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369</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371</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372</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373</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361</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362</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366</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367</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369</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371</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372</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373</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361</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366</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367</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369</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371</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361</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362</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378</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366</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367</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369</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371</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372</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373</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359</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362</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364</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366</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367</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369</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371</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372</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373</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358</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359</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374</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360</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361</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375</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376</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385</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386</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379</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381</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380</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383</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362</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363</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364</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377</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378</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382</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365</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366</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367</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368</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369</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370</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387</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384</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371</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372</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373</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431</v>
      </c>
      <c r="B1" s="51" t="s">
        <v>432</v>
      </c>
    </row>
    <row r="2" spans="1:2">
      <c r="A2" s="53" t="s">
        <v>433</v>
      </c>
      <c r="B2" s="51">
        <v>2050101</v>
      </c>
    </row>
    <row r="3" spans="1:2">
      <c r="A3" s="53" t="s">
        <v>434</v>
      </c>
      <c r="B3" s="51">
        <v>2050102</v>
      </c>
    </row>
    <row r="4" spans="1:2">
      <c r="A4" s="53" t="s">
        <v>358</v>
      </c>
      <c r="B4" s="51">
        <v>2050201</v>
      </c>
    </row>
    <row r="5" spans="1:2">
      <c r="A5" s="53" t="s">
        <v>359</v>
      </c>
      <c r="B5" s="51">
        <v>2050202</v>
      </c>
    </row>
    <row r="6" spans="1:2">
      <c r="A6" s="53" t="s">
        <v>374</v>
      </c>
      <c r="B6" s="51">
        <v>2050203</v>
      </c>
    </row>
    <row r="7" spans="1:2">
      <c r="A7" s="53" t="s">
        <v>360</v>
      </c>
      <c r="B7" s="51">
        <v>2050204</v>
      </c>
    </row>
    <row r="8" spans="1:2">
      <c r="A8" s="53" t="s">
        <v>361</v>
      </c>
      <c r="B8" s="51">
        <v>2050299</v>
      </c>
    </row>
    <row r="9" spans="1:2">
      <c r="A9" s="53" t="s">
        <v>375</v>
      </c>
      <c r="B9" s="51">
        <v>2050302</v>
      </c>
    </row>
    <row r="10" spans="1:2">
      <c r="A10" s="53" t="s">
        <v>435</v>
      </c>
      <c r="B10" s="51">
        <v>2050304</v>
      </c>
    </row>
    <row r="11" spans="1:2">
      <c r="A11" s="53" t="s">
        <v>376</v>
      </c>
      <c r="B11" s="51">
        <v>2050399</v>
      </c>
    </row>
    <row r="12" spans="1:2">
      <c r="A12" s="53" t="s">
        <v>385</v>
      </c>
      <c r="B12" s="51">
        <v>2050403</v>
      </c>
    </row>
    <row r="13" spans="1:2">
      <c r="A13" s="53" t="s">
        <v>386</v>
      </c>
      <c r="B13" s="51">
        <v>2050404</v>
      </c>
    </row>
    <row r="14" spans="1:2">
      <c r="A14" s="53" t="s">
        <v>379</v>
      </c>
      <c r="B14" s="51">
        <v>2050701</v>
      </c>
    </row>
    <row r="15" spans="1:2">
      <c r="A15" s="53" t="s">
        <v>381</v>
      </c>
      <c r="B15" s="51">
        <v>2050702</v>
      </c>
    </row>
    <row r="16" spans="1:2">
      <c r="A16" s="53" t="s">
        <v>380</v>
      </c>
      <c r="B16" s="51">
        <v>2050799</v>
      </c>
    </row>
    <row r="17" spans="1:2">
      <c r="A17" s="53" t="s">
        <v>383</v>
      </c>
      <c r="B17" s="51">
        <v>2050801</v>
      </c>
    </row>
    <row r="18" spans="1:2">
      <c r="A18" s="53" t="s">
        <v>362</v>
      </c>
      <c r="B18" s="51">
        <v>2050803</v>
      </c>
    </row>
    <row r="19" spans="1:2">
      <c r="A19" s="53" t="s">
        <v>363</v>
      </c>
      <c r="B19" s="51">
        <v>2050903</v>
      </c>
    </row>
    <row r="20" spans="1:2">
      <c r="A20" s="53" t="s">
        <v>364</v>
      </c>
      <c r="B20" s="51">
        <v>2050904</v>
      </c>
    </row>
    <row r="21" spans="1:2">
      <c r="A21" s="53" t="s">
        <v>377</v>
      </c>
      <c r="B21" s="51">
        <v>2050905</v>
      </c>
    </row>
    <row r="22" spans="1:2">
      <c r="A22" s="53" t="s">
        <v>378</v>
      </c>
      <c r="B22" s="51">
        <v>2050999</v>
      </c>
    </row>
    <row r="23" spans="1:2">
      <c r="A23" s="53" t="s">
        <v>382</v>
      </c>
      <c r="B23" s="51">
        <v>2060702</v>
      </c>
    </row>
    <row r="24" spans="1:2">
      <c r="A24" s="53" t="s">
        <v>436</v>
      </c>
      <c r="B24" s="51">
        <v>2080501</v>
      </c>
    </row>
    <row r="25" spans="1:2">
      <c r="A25" s="53" t="s">
        <v>365</v>
      </c>
      <c r="B25" s="51">
        <v>2080502</v>
      </c>
    </row>
    <row r="26" spans="1:2">
      <c r="A26" s="53" t="s">
        <v>366</v>
      </c>
      <c r="B26" s="51">
        <v>2080505</v>
      </c>
    </row>
    <row r="27" spans="1:2">
      <c r="A27" s="53" t="s">
        <v>367</v>
      </c>
      <c r="B27" s="51">
        <v>2080506</v>
      </c>
    </row>
    <row r="28" spans="1:2">
      <c r="A28" s="53" t="s">
        <v>368</v>
      </c>
      <c r="B28" s="51">
        <v>2080801</v>
      </c>
    </row>
    <row r="29" spans="1:2">
      <c r="A29" s="53" t="s">
        <v>437</v>
      </c>
      <c r="B29" s="51">
        <v>2101101</v>
      </c>
    </row>
    <row r="30" spans="1:2">
      <c r="A30" s="53" t="s">
        <v>369</v>
      </c>
      <c r="B30" s="51">
        <v>2101102</v>
      </c>
    </row>
    <row r="31" spans="1:2">
      <c r="A31" s="53" t="s">
        <v>370</v>
      </c>
      <c r="B31" s="51">
        <v>2101199</v>
      </c>
    </row>
    <row r="32" spans="1:2">
      <c r="A32" s="53" t="s">
        <v>387</v>
      </c>
      <c r="B32" s="51">
        <v>2120399</v>
      </c>
    </row>
    <row r="33" spans="1:2">
      <c r="A33" s="53" t="s">
        <v>371</v>
      </c>
      <c r="B33" s="51">
        <v>2210201</v>
      </c>
    </row>
    <row r="34" spans="1:2">
      <c r="A34" s="53" t="s">
        <v>372</v>
      </c>
      <c r="B34" s="51">
        <v>2210202</v>
      </c>
    </row>
    <row r="35" spans="1:2">
      <c r="A35" s="53" t="s">
        <v>373</v>
      </c>
      <c r="B35" s="51">
        <v>2210203</v>
      </c>
    </row>
    <row r="36" spans="1:2">
      <c r="A36" s="53" t="s">
        <v>438</v>
      </c>
      <c r="B36" s="51">
        <v>2296003</v>
      </c>
    </row>
    <row r="37" spans="1:2">
      <c r="A37" s="53" t="s">
        <v>439</v>
      </c>
      <c r="B37" s="51">
        <v>2340201</v>
      </c>
    </row>
    <row r="38" spans="1:2">
      <c r="A38" s="53" t="s">
        <v>384</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443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topLeftCell="A61" zoomScaleNormal="100" workbookViewId="0">
      <selection activeCell="A57" sqref="A57"/>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90" customHeight="1">
      <c r="A4" s="64" t="s">
        <v>446</v>
      </c>
      <c r="B4" s="64"/>
      <c r="C4" s="64"/>
      <c r="D4" s="64"/>
      <c r="E4" s="64"/>
      <c r="F4" s="64"/>
      <c r="G4" s="64"/>
      <c r="H4" s="64"/>
      <c r="I4" s="64"/>
      <c r="J4" s="64"/>
      <c r="K4" s="64"/>
      <c r="L4" s="64"/>
      <c r="M4" s="64"/>
      <c r="N4" s="18"/>
    </row>
    <row r="5" spans="1:14" ht="18" customHeight="1">
      <c r="A5" s="7" t="s">
        <v>183</v>
      </c>
    </row>
    <row r="6" spans="1:14" ht="18" customHeight="1">
      <c r="A6" s="66" t="s">
        <v>274</v>
      </c>
      <c r="B6" s="66"/>
      <c r="C6" s="10">
        <v>83</v>
      </c>
      <c r="D6" s="10" t="s">
        <v>276</v>
      </c>
      <c r="E6" s="8">
        <f>_xlfn.IFNA(VLOOKUP(封面!B1,'2020决算导出'!A:C,3,FALSE),"")</f>
        <v>69</v>
      </c>
      <c r="F6" s="10" t="s">
        <v>277</v>
      </c>
      <c r="G6" s="10"/>
      <c r="H6" s="10"/>
      <c r="I6" s="10"/>
      <c r="J6" s="10"/>
      <c r="K6" s="10"/>
      <c r="L6" s="10"/>
      <c r="M6" s="10"/>
      <c r="N6" s="10"/>
    </row>
    <row r="7" spans="1:14" ht="18" customHeight="1">
      <c r="A7" s="6" t="s">
        <v>184</v>
      </c>
    </row>
    <row r="8" spans="1:14" ht="18" customHeight="1">
      <c r="A8" s="66" t="s">
        <v>185</v>
      </c>
      <c r="B8" s="66"/>
      <c r="C8" s="66"/>
      <c r="D8" s="13">
        <f>_xlfn.IFNA(VLOOKUP(封面!B1,'2020决算导出'!A:D,4,FALSE),"")</f>
        <v>29183786.52</v>
      </c>
      <c r="E8" s="7" t="s">
        <v>187</v>
      </c>
      <c r="F8" s="19" t="s">
        <v>278</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2751247.1900000013</v>
      </c>
      <c r="I8" s="15" t="s">
        <v>187</v>
      </c>
      <c r="J8" s="29" t="str">
        <f>IF(ISNA(VLOOKUP(封面!B1,'2019决算导出'!A:C,3,FALSE)),"",IF(D8-VLOOKUP(封面!B1,'2019决算导出'!A:C,3,FALSE)&gt;0,"增长","下降"))</f>
        <v>下降</v>
      </c>
      <c r="K8" s="30">
        <f>IF(ISNA(VLOOKUP(封面!B1,'2019决算导出'!A:C,3,FALSE)),"",H8/VLOOKUP(封面!B1,'2019决算导出'!A:C,3,FALSE))</f>
        <v>8.6151378920839766E-2</v>
      </c>
      <c r="L8" s="7" t="s">
        <v>342</v>
      </c>
    </row>
    <row r="9" spans="1:14" ht="18" customHeight="1">
      <c r="A9" s="7" t="s">
        <v>188</v>
      </c>
      <c r="G9" s="31"/>
      <c r="H9" s="31"/>
      <c r="I9" s="31"/>
      <c r="J9" s="31"/>
      <c r="K9" s="31"/>
    </row>
    <row r="10" spans="1:14" ht="18" customHeight="1">
      <c r="A10" s="66" t="s">
        <v>189</v>
      </c>
      <c r="B10" s="66"/>
      <c r="C10" s="66"/>
      <c r="D10" s="13">
        <f>_xlfn.IFNA(VLOOKUP(封面!B1,'2020决算导出'!A:E,5,FALSE),"")</f>
        <v>29038969.890000001</v>
      </c>
      <c r="E10" s="7" t="s">
        <v>187</v>
      </c>
      <c r="F10" s="19" t="s">
        <v>278</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2896063.8200000003</v>
      </c>
      <c r="I10" s="15" t="s">
        <v>187</v>
      </c>
      <c r="J10" s="29" t="str">
        <f>IF(ISNA(VLOOKUP(封面!B1,'2019决算导出'!A:D,4,FALSE)),"",IF(D10-VLOOKUP(封面!B1,'2019决算导出'!A:D,4,FALSE)&gt;0,"增长","下降"))</f>
        <v>下降</v>
      </c>
      <c r="K10" s="30">
        <f>IF(ISNA(VLOOKUP(封面!B1,'2019决算导出'!A:D,4,FALSE)),"",H10/VLOOKUP(封面!B1,'2019决算导出'!A:D,4,FALSE))</f>
        <v>9.0686104993624575E-2</v>
      </c>
      <c r="L10" s="7" t="s">
        <v>343</v>
      </c>
    </row>
    <row r="11" spans="1:14" ht="18" customHeight="1">
      <c r="A11" s="66" t="s">
        <v>190</v>
      </c>
      <c r="B11" s="66"/>
      <c r="C11" s="66"/>
      <c r="D11" s="13">
        <f>_xlfn.IFNA(VLOOKUP(封面!B1,'2020决算导出'!A:F,6,FALSE),"")</f>
        <v>28071393.129999999</v>
      </c>
      <c r="E11" s="7" t="s">
        <v>187</v>
      </c>
      <c r="F11" s="66" t="s">
        <v>191</v>
      </c>
      <c r="G11" s="66"/>
      <c r="H11" s="28">
        <f>D11/$D$10</f>
        <v>0.96668005911830912</v>
      </c>
      <c r="I11" s="7" t="s">
        <v>344</v>
      </c>
    </row>
    <row r="12" spans="1:14" ht="18" customHeight="1">
      <c r="A12" s="66" t="s">
        <v>192</v>
      </c>
      <c r="B12" s="66"/>
      <c r="C12" s="66"/>
      <c r="D12" s="13">
        <f>_xlfn.IFNA(VLOOKUP(封面!B1,'2020决算导出'!A:G,7,FALSE),"")</f>
        <v>690836</v>
      </c>
      <c r="E12" s="7" t="s">
        <v>187</v>
      </c>
      <c r="F12" s="66" t="s">
        <v>191</v>
      </c>
      <c r="G12" s="66"/>
      <c r="H12" s="28">
        <f t="shared" ref="H12:H15" si="0">D12/$D$10</f>
        <v>2.3789962337400255E-2</v>
      </c>
      <c r="I12" s="7" t="s">
        <v>344</v>
      </c>
    </row>
    <row r="13" spans="1:14" ht="18" customHeight="1">
      <c r="A13" s="66" t="s">
        <v>193</v>
      </c>
      <c r="B13" s="66"/>
      <c r="C13" s="66"/>
      <c r="D13" s="13">
        <f>_xlfn.IFNA(VLOOKUP(封面!B1,'2020决算导出'!A:H,8,FALSE),"")</f>
        <v>0</v>
      </c>
      <c r="E13" s="7" t="s">
        <v>187</v>
      </c>
      <c r="F13" s="66" t="s">
        <v>191</v>
      </c>
      <c r="G13" s="66"/>
      <c r="H13" s="28">
        <f t="shared" si="0"/>
        <v>0</v>
      </c>
      <c r="I13" s="7" t="s">
        <v>344</v>
      </c>
    </row>
    <row r="14" spans="1:14" ht="18" customHeight="1">
      <c r="A14" s="66" t="s">
        <v>194</v>
      </c>
      <c r="B14" s="66"/>
      <c r="C14" s="66"/>
      <c r="D14" s="13">
        <f>_xlfn.IFNA(VLOOKUP(封面!B1,'2020决算导出'!A:I,9,FALSE),"")</f>
        <v>0</v>
      </c>
      <c r="E14" s="7" t="s">
        <v>187</v>
      </c>
      <c r="F14" s="66" t="s">
        <v>191</v>
      </c>
      <c r="G14" s="66"/>
      <c r="H14" s="28">
        <f t="shared" si="0"/>
        <v>0</v>
      </c>
      <c r="I14" s="7" t="s">
        <v>344</v>
      </c>
    </row>
    <row r="15" spans="1:14" ht="18" customHeight="1">
      <c r="A15" s="66" t="s">
        <v>195</v>
      </c>
      <c r="B15" s="66"/>
      <c r="C15" s="66"/>
      <c r="D15" s="13">
        <f>_xlfn.IFNA(VLOOKUP(封面!B1,'2020决算导出'!A:J,10,FALSE),"")</f>
        <v>276740.76</v>
      </c>
      <c r="E15" s="7" t="s">
        <v>187</v>
      </c>
      <c r="F15" s="66" t="s">
        <v>191</v>
      </c>
      <c r="G15" s="66"/>
      <c r="H15" s="28">
        <f t="shared" si="0"/>
        <v>9.5299785442905741E-3</v>
      </c>
      <c r="I15" s="7" t="s">
        <v>345</v>
      </c>
    </row>
    <row r="16" spans="1:14" ht="18" customHeight="1">
      <c r="A16" s="7" t="s">
        <v>196</v>
      </c>
    </row>
    <row r="17" spans="1:13" ht="18" customHeight="1">
      <c r="A17" s="66" t="s">
        <v>197</v>
      </c>
      <c r="B17" s="66"/>
      <c r="C17" s="66"/>
      <c r="D17" s="13">
        <f>_xlfn.IFNA(VLOOKUP(封面!B1,'2020决算导出'!A:K,11,FALSE),"")</f>
        <v>29183786.52</v>
      </c>
      <c r="E17" s="7" t="s">
        <v>187</v>
      </c>
      <c r="F17" s="19" t="s">
        <v>278</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2358700.0700000003</v>
      </c>
      <c r="I17" s="7" t="s">
        <v>187</v>
      </c>
      <c r="J17" s="29" t="str">
        <f>IF(ISNA(VLOOKUP(封面!B1,'2019决算导出'!A:E,5,FALSE)),"",IF(D17-VLOOKUP(封面!B1,'2019决算导出'!A:E,5,FALSE)&gt;0,"增长","下降"))</f>
        <v>下降</v>
      </c>
      <c r="K17" s="30">
        <f>IF(ISNA(VLOOKUP(封面!B1,'2019决算导出'!A:E,5,FALSE)),"",H17/VLOOKUP(封面!B1,'2019决算导出'!A:E,5,FALSE))</f>
        <v>7.4778507498764704E-2</v>
      </c>
      <c r="L17" s="7" t="s">
        <v>346</v>
      </c>
    </row>
    <row r="18" spans="1:13" ht="18" customHeight="1">
      <c r="A18" s="66" t="s">
        <v>198</v>
      </c>
      <c r="B18" s="66"/>
      <c r="C18" s="66"/>
      <c r="D18" s="13">
        <f>_xlfn.IFNA(VLOOKUP(封面!B1,'2020决算导出'!A:L,12,FALSE),"")</f>
        <v>26974364.289999999</v>
      </c>
      <c r="E18" s="7" t="s">
        <v>187</v>
      </c>
      <c r="F18" s="66" t="s">
        <v>199</v>
      </c>
      <c r="G18" s="66"/>
      <c r="H18" s="28">
        <f>D18/$D$17</f>
        <v>0.92429281825763576</v>
      </c>
      <c r="I18" s="7" t="s">
        <v>344</v>
      </c>
    </row>
    <row r="19" spans="1:13" ht="18" customHeight="1">
      <c r="A19" s="66" t="s">
        <v>200</v>
      </c>
      <c r="B19" s="66"/>
      <c r="C19" s="66"/>
      <c r="D19" s="13">
        <f>_xlfn.IFNA(VLOOKUP(封面!B1,'2020决算导出'!A:M,13,FALSE),"")</f>
        <v>2209422.23</v>
      </c>
      <c r="E19" s="7" t="s">
        <v>187</v>
      </c>
      <c r="F19" s="66" t="s">
        <v>199</v>
      </c>
      <c r="G19" s="66"/>
      <c r="H19" s="28">
        <f t="shared" ref="H19:H20" si="1">D19/$D$17</f>
        <v>7.5707181742364252E-2</v>
      </c>
      <c r="I19" s="7" t="s">
        <v>344</v>
      </c>
    </row>
    <row r="20" spans="1:13" ht="18" customHeight="1">
      <c r="A20" s="66" t="s">
        <v>201</v>
      </c>
      <c r="B20" s="66"/>
      <c r="C20" s="66"/>
      <c r="D20" s="13">
        <f>_xlfn.IFNA(VLOOKUP(封面!B1,'2020决算导出'!A:N,14,FALSE),"")</f>
        <v>0</v>
      </c>
      <c r="E20" s="7" t="s">
        <v>187</v>
      </c>
      <c r="F20" s="66" t="s">
        <v>199</v>
      </c>
      <c r="G20" s="66"/>
      <c r="H20" s="28">
        <f t="shared" si="1"/>
        <v>0</v>
      </c>
      <c r="I20" s="7" t="s">
        <v>345</v>
      </c>
    </row>
    <row r="21" spans="1:13" ht="18" customHeight="1">
      <c r="A21" s="6" t="s">
        <v>202</v>
      </c>
    </row>
    <row r="22" spans="1:13" ht="18" customHeight="1">
      <c r="A22" s="66" t="s">
        <v>203</v>
      </c>
      <c r="B22" s="66"/>
      <c r="C22" s="66"/>
      <c r="D22" s="66"/>
      <c r="E22" s="61">
        <f>_xlfn.IFNA(VLOOKUP(封面!B1,'2020决算导出'!A:O,15,FALSE),"")</f>
        <v>28071393.129999999</v>
      </c>
      <c r="F22" s="61"/>
      <c r="G22" s="14" t="s">
        <v>278</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1573382.3500000015</v>
      </c>
      <c r="J22" s="7" t="s">
        <v>187</v>
      </c>
      <c r="K22" s="29" t="str">
        <f>IF(ISNA(VLOOKUP(封面!B1,'2019决算导出'!A:F,6,FALSE)),"",IF(E22-VLOOKUP(封面!B1,'2019决算导出'!A:F,6,FALSE)&gt;0,"增长","下降"))</f>
        <v>下降</v>
      </c>
      <c r="L22" s="30">
        <f>IF(ISNA(VLOOKUP(封面!B1,'2019决算导出'!A:F,6,FALSE)),"",I22/VLOOKUP(封面!B1,'2019决算导出'!A:F,6,FALSE))</f>
        <v>5.3074524077994518E-2</v>
      </c>
      <c r="M22" s="7" t="s">
        <v>342</v>
      </c>
    </row>
    <row r="23" spans="1:13" ht="43.8" customHeight="1">
      <c r="B23" s="68" t="s">
        <v>447</v>
      </c>
      <c r="C23" s="68"/>
      <c r="D23" s="68"/>
      <c r="E23" s="68"/>
      <c r="F23" s="68"/>
      <c r="G23" s="68"/>
      <c r="H23" s="68"/>
      <c r="I23" s="68"/>
      <c r="J23" s="68"/>
      <c r="K23" s="68"/>
      <c r="L23" s="68"/>
      <c r="M23" s="68"/>
    </row>
    <row r="24" spans="1:13" ht="18" customHeight="1">
      <c r="A24" s="6" t="s">
        <v>204</v>
      </c>
    </row>
    <row r="25" spans="1:13" ht="18" customHeight="1">
      <c r="A25" s="7" t="s">
        <v>205</v>
      </c>
    </row>
    <row r="26" spans="1:13" ht="18" customHeight="1">
      <c r="A26" s="66" t="s">
        <v>206</v>
      </c>
      <c r="B26" s="66"/>
      <c r="C26" s="66"/>
      <c r="D26" s="66"/>
      <c r="E26" s="66"/>
      <c r="F26" s="61">
        <f>_xlfn.IFNA(VLOOKUP(封面!B1,'2020决算导出'!A:P,16,FALSE),"")</f>
        <v>28071393.129999999</v>
      </c>
      <c r="G26" s="61"/>
      <c r="H26" s="7" t="s">
        <v>187</v>
      </c>
      <c r="I26" s="10" t="s">
        <v>207</v>
      </c>
      <c r="J26" s="10"/>
      <c r="K26" s="10"/>
      <c r="L26" s="10"/>
      <c r="M26" s="10"/>
    </row>
    <row r="27" spans="1:13" ht="18" customHeight="1">
      <c r="A27" s="66" t="s">
        <v>210</v>
      </c>
      <c r="B27" s="66"/>
      <c r="C27" s="66"/>
      <c r="D27" s="61">
        <f>_xlfn.IFNA(VLOOKUP(封面!B1,'2020决算导出'!A:Q,17,FALSE),"")</f>
        <v>18401414.850000001</v>
      </c>
      <c r="E27" s="61"/>
      <c r="F27" s="7" t="s">
        <v>187</v>
      </c>
      <c r="G27" s="63" t="s">
        <v>209</v>
      </c>
      <c r="H27" s="63"/>
      <c r="I27" s="28">
        <f>D27/$F$26</f>
        <v>0.65552196732033019</v>
      </c>
      <c r="J27" s="7" t="s">
        <v>344</v>
      </c>
      <c r="K27" s="9"/>
      <c r="L27" s="9"/>
      <c r="M27" s="9"/>
    </row>
    <row r="28" spans="1:13" ht="18" customHeight="1">
      <c r="A28" s="66" t="s">
        <v>208</v>
      </c>
      <c r="B28" s="66"/>
      <c r="C28" s="66"/>
      <c r="D28" s="61">
        <f>_xlfn.IFNA(VLOOKUP(封面!B1,'2020决算导出'!A:S,19,FALSE),"")</f>
        <v>4363112.38</v>
      </c>
      <c r="E28" s="61"/>
      <c r="F28" s="7" t="s">
        <v>187</v>
      </c>
      <c r="G28" s="63" t="s">
        <v>209</v>
      </c>
      <c r="H28" s="63"/>
      <c r="I28" s="28">
        <f t="shared" ref="I28:I30" si="2">D28/$F$26</f>
        <v>0.1554291359817524</v>
      </c>
      <c r="J28" s="7" t="s">
        <v>344</v>
      </c>
    </row>
    <row r="29" spans="1:13" ht="18" customHeight="1">
      <c r="A29" s="66" t="s">
        <v>211</v>
      </c>
      <c r="B29" s="66"/>
      <c r="C29" s="66"/>
      <c r="D29" s="61">
        <f>_xlfn.IFNA(VLOOKUP(封面!B1,'2020决算导出'!A:T,20,FALSE),"")</f>
        <v>1870103.9</v>
      </c>
      <c r="E29" s="61"/>
      <c r="F29" s="7" t="s">
        <v>187</v>
      </c>
      <c r="G29" s="63" t="s">
        <v>209</v>
      </c>
      <c r="H29" s="63"/>
      <c r="I29" s="28">
        <f t="shared" si="2"/>
        <v>6.6619561463852436E-2</v>
      </c>
      <c r="J29" s="7" t="s">
        <v>344</v>
      </c>
    </row>
    <row r="30" spans="1:13" ht="18" customHeight="1">
      <c r="A30" s="66" t="s">
        <v>212</v>
      </c>
      <c r="B30" s="66"/>
      <c r="C30" s="66"/>
      <c r="D30" s="61">
        <f>_xlfn.IFNA(VLOOKUP(封面!B1,'2020决算导出'!A:W,23,FALSE),"")</f>
        <v>3436762</v>
      </c>
      <c r="E30" s="61"/>
      <c r="F30" s="7" t="s">
        <v>187</v>
      </c>
      <c r="G30" s="63" t="s">
        <v>209</v>
      </c>
      <c r="H30" s="63"/>
      <c r="I30" s="28">
        <f t="shared" si="2"/>
        <v>0.12242933523406503</v>
      </c>
      <c r="J30" s="7" t="s">
        <v>345</v>
      </c>
    </row>
    <row r="31" spans="1:13" ht="18" customHeight="1">
      <c r="A31" s="7" t="s">
        <v>213</v>
      </c>
    </row>
    <row r="32" spans="1:13" ht="18" customHeight="1">
      <c r="A32" s="67" t="s">
        <v>445</v>
      </c>
      <c r="B32" s="67"/>
      <c r="C32" s="67"/>
      <c r="D32" s="67"/>
      <c r="E32" s="61">
        <f>_xlfn.IFNA(VLOOKUP(封面!B1,一般公共预算财政拨款支出决算具体情况!A:C,3,FALSE),"")</f>
        <v>18401414.850000001</v>
      </c>
      <c r="F32" s="61"/>
      <c r="G32" s="7" t="s">
        <v>187</v>
      </c>
      <c r="H32" s="63" t="s">
        <v>214</v>
      </c>
      <c r="I32" s="63"/>
      <c r="J32" s="61">
        <f>_xlfn.IFNA(VLOOKUP(封面!B1,一般公共预算财政拨款支出决算具体情况!A:D,4,FALSE),"")</f>
        <v>20061255.420000002</v>
      </c>
      <c r="K32" s="61"/>
      <c r="L32" s="11" t="s">
        <v>186</v>
      </c>
    </row>
    <row r="33" spans="1:12" ht="18" customHeight="1">
      <c r="B33" s="14" t="str">
        <f>IF(E32&gt;J32,"增加","减少")</f>
        <v>减少</v>
      </c>
      <c r="C33" s="61">
        <f>ABS(E32-J32)</f>
        <v>1659840.5700000003</v>
      </c>
      <c r="D33" s="61"/>
      <c r="E33" s="7" t="s">
        <v>187</v>
      </c>
      <c r="F33" s="14" t="str">
        <f>IF(E32&gt;J32,"增长","下降")</f>
        <v>下降</v>
      </c>
      <c r="G33" s="33">
        <f>C33/J32</f>
        <v>8.273861905697226E-2</v>
      </c>
      <c r="H33" s="7" t="s">
        <v>345</v>
      </c>
      <c r="I33" s="11" t="s">
        <v>215</v>
      </c>
    </row>
    <row r="34" spans="1:12" ht="36" customHeight="1">
      <c r="B34" s="64" t="s">
        <v>447</v>
      </c>
      <c r="C34" s="64"/>
      <c r="D34" s="64"/>
      <c r="E34" s="64"/>
      <c r="F34" s="64"/>
      <c r="G34" s="64"/>
      <c r="H34" s="64"/>
      <c r="I34" s="64"/>
      <c r="J34" s="64"/>
      <c r="K34" s="64"/>
      <c r="L34" s="64"/>
    </row>
    <row r="35" spans="1:12" ht="18" customHeight="1">
      <c r="A35" s="66" t="s">
        <v>216</v>
      </c>
      <c r="B35" s="66"/>
      <c r="C35" s="66"/>
      <c r="D35" s="66"/>
      <c r="E35" s="61">
        <f>_xlfn.IFNA(VLOOKUP(封面!B1,一般公共预算财政拨款支出决算具体情况!A:I,9,FALSE),"")</f>
        <v>18338438.050000001</v>
      </c>
      <c r="F35" s="61"/>
      <c r="G35" s="7" t="s">
        <v>187</v>
      </c>
      <c r="H35" s="63" t="s">
        <v>214</v>
      </c>
      <c r="I35" s="63"/>
      <c r="J35" s="61">
        <f>_xlfn.IFNA(VLOOKUP(封面!B1,一般公共预算财政拨款支出决算具体情况!A:J,10,FALSE),"")</f>
        <v>17556855.420000002</v>
      </c>
      <c r="K35" s="61"/>
      <c r="L35" s="11" t="s">
        <v>186</v>
      </c>
    </row>
    <row r="36" spans="1:12" ht="18" customHeight="1">
      <c r="A36" s="14"/>
      <c r="B36" s="14" t="str">
        <f>IF(E35&gt;J35,"增加","减少")</f>
        <v>增加</v>
      </c>
      <c r="C36" s="61">
        <f>ABS(E35-J35)</f>
        <v>781582.62999999896</v>
      </c>
      <c r="D36" s="61"/>
      <c r="E36" s="7" t="s">
        <v>187</v>
      </c>
      <c r="F36" s="14" t="str">
        <f>IF(E35&gt;J35,"增长","下降")</f>
        <v>增长</v>
      </c>
      <c r="G36" s="33">
        <f>C36/J35</f>
        <v>4.4517233371396008E-2</v>
      </c>
      <c r="H36" s="7" t="s">
        <v>345</v>
      </c>
    </row>
    <row r="37" spans="1:12" ht="36" customHeight="1">
      <c r="B37" s="64" t="s">
        <v>447</v>
      </c>
      <c r="C37" s="64"/>
      <c r="D37" s="64"/>
      <c r="E37" s="64"/>
      <c r="F37" s="64"/>
      <c r="G37" s="64"/>
      <c r="H37" s="64"/>
      <c r="I37" s="64"/>
      <c r="J37" s="64"/>
      <c r="K37" s="64"/>
      <c r="L37" s="64"/>
    </row>
    <row r="38" spans="1:12" ht="18" customHeight="1">
      <c r="A38" s="66" t="s">
        <v>217</v>
      </c>
      <c r="B38" s="66"/>
      <c r="C38" s="66"/>
      <c r="D38" s="66"/>
      <c r="E38" s="61">
        <f>_xlfn.IFNA(VLOOKUP(封面!B1,一般公共预算财政拨款支出决算具体情况!A:M,13,FALSE),"")</f>
        <v>13380</v>
      </c>
      <c r="F38" s="61"/>
      <c r="G38" s="7" t="s">
        <v>187</v>
      </c>
      <c r="H38" s="63" t="s">
        <v>214</v>
      </c>
      <c r="I38" s="63"/>
      <c r="J38" s="61">
        <f>_xlfn.IFNA(VLOOKUP(封面!B1,一般公共预算财政拨款支出决算具体情况!A:N,14,FALSE),"")</f>
        <v>54400</v>
      </c>
      <c r="K38" s="61"/>
      <c r="L38" s="11" t="s">
        <v>186</v>
      </c>
    </row>
    <row r="39" spans="1:12" ht="18" customHeight="1">
      <c r="A39" s="14"/>
      <c r="B39" s="14" t="str">
        <f>IF(E38&gt;J38,"增加","减少")</f>
        <v>减少</v>
      </c>
      <c r="C39" s="61">
        <f>ABS(E38-J38)</f>
        <v>41020</v>
      </c>
      <c r="D39" s="61"/>
      <c r="E39" s="7" t="s">
        <v>187</v>
      </c>
      <c r="F39" s="14" t="str">
        <f>IF(E38&gt;J38,"增长","下降")</f>
        <v>下降</v>
      </c>
      <c r="G39" s="33">
        <f>C39/J38</f>
        <v>0.75404411764705881</v>
      </c>
      <c r="H39" s="7" t="s">
        <v>345</v>
      </c>
    </row>
    <row r="40" spans="1:12" ht="36" customHeight="1">
      <c r="B40" s="64" t="s">
        <v>448</v>
      </c>
      <c r="C40" s="64"/>
      <c r="D40" s="64"/>
      <c r="E40" s="64"/>
      <c r="F40" s="64"/>
      <c r="G40" s="64"/>
      <c r="H40" s="64"/>
      <c r="I40" s="64"/>
      <c r="J40" s="64"/>
      <c r="K40" s="64"/>
      <c r="L40" s="64"/>
    </row>
    <row r="41" spans="1:12" ht="18" customHeight="1">
      <c r="A41" s="65" t="s">
        <v>218</v>
      </c>
      <c r="B41" s="65"/>
      <c r="C41" s="65"/>
      <c r="D41" s="65"/>
      <c r="E41" s="61">
        <f>_xlfn.IFNA(VLOOKUP(封面!B1,一般公共预算财政拨款支出决算具体情况!A:O,15,FALSE),"")</f>
        <v>49596.800000000003</v>
      </c>
      <c r="F41" s="61"/>
      <c r="G41" s="7" t="s">
        <v>187</v>
      </c>
      <c r="H41" s="63" t="s">
        <v>214</v>
      </c>
      <c r="I41" s="63"/>
      <c r="J41" s="61">
        <f>_xlfn.IFNA(VLOOKUP(封面!B1,一般公共预算财政拨款支出决算具体情况!A:P,16,FALSE),"")</f>
        <v>2450000</v>
      </c>
      <c r="K41" s="61"/>
      <c r="L41" s="11" t="s">
        <v>186</v>
      </c>
    </row>
    <row r="42" spans="1:12" ht="18" customHeight="1">
      <c r="A42" s="14"/>
      <c r="B42" s="14" t="str">
        <f>IF(E41&gt;J41,"增加","减少")</f>
        <v>减少</v>
      </c>
      <c r="C42" s="61">
        <f>ABS(E41-J41)</f>
        <v>2400403.2000000002</v>
      </c>
      <c r="D42" s="61"/>
      <c r="E42" s="7" t="s">
        <v>187</v>
      </c>
      <c r="F42" s="14" t="str">
        <f>IF(E41&gt;J41,"增长","下降")</f>
        <v>下降</v>
      </c>
      <c r="G42" s="33">
        <f>C42/J41</f>
        <v>0.97975640816326537</v>
      </c>
      <c r="H42" s="7" t="s">
        <v>345</v>
      </c>
    </row>
    <row r="43" spans="1:12" ht="36" customHeight="1">
      <c r="B43" s="64" t="s">
        <v>449</v>
      </c>
      <c r="C43" s="64"/>
      <c r="D43" s="64"/>
      <c r="E43" s="64"/>
      <c r="F43" s="64"/>
      <c r="G43" s="64"/>
      <c r="H43" s="64"/>
      <c r="I43" s="64"/>
      <c r="J43" s="64"/>
      <c r="K43" s="64"/>
      <c r="L43" s="64"/>
    </row>
    <row r="44" spans="1:12" ht="18" customHeight="1">
      <c r="A44" s="62" t="s">
        <v>455</v>
      </c>
      <c r="B44" s="62"/>
      <c r="C44" s="62"/>
      <c r="D44" s="62"/>
      <c r="E44" s="61">
        <f>_xlfn.IFNA(VLOOKUP(封面!B1,一般公共预算财政拨款支出决算具体情况!A:U,21,FALSE),"")</f>
        <v>4363112.38</v>
      </c>
      <c r="F44" s="61"/>
      <c r="G44" s="7" t="s">
        <v>187</v>
      </c>
      <c r="H44" s="63" t="s">
        <v>214</v>
      </c>
      <c r="I44" s="63"/>
      <c r="J44" s="61">
        <f>_xlfn.IFNA(VLOOKUP(封面!B1,一般公共预算财政拨款支出决算具体情况!A:V,22,FALSE),"")</f>
        <v>4589382.08</v>
      </c>
      <c r="K44" s="61"/>
      <c r="L44" s="11" t="s">
        <v>186</v>
      </c>
    </row>
    <row r="45" spans="1:12" ht="18" customHeight="1">
      <c r="B45" s="14" t="str">
        <f>IF(E44&gt;J44,"增加","减少")</f>
        <v>减少</v>
      </c>
      <c r="C45" s="61">
        <f>ABS(E44-J44)</f>
        <v>226269.70000000019</v>
      </c>
      <c r="D45" s="61"/>
      <c r="E45" s="7" t="s">
        <v>187</v>
      </c>
      <c r="F45" s="14" t="str">
        <f>IF(E44&gt;J44,"增长","下降")</f>
        <v>下降</v>
      </c>
      <c r="G45" s="33">
        <f>C45/J44</f>
        <v>4.9302868241469268E-2</v>
      </c>
      <c r="H45" s="7" t="s">
        <v>345</v>
      </c>
      <c r="I45" s="11" t="s">
        <v>215</v>
      </c>
    </row>
    <row r="46" spans="1:12" ht="18" customHeight="1">
      <c r="A46" s="65" t="s">
        <v>219</v>
      </c>
      <c r="B46" s="65"/>
      <c r="C46" s="65"/>
      <c r="D46" s="65"/>
      <c r="E46" s="61">
        <f>_xlfn.IFNA(VLOOKUP(封面!B1,一般公共预算财政拨款支出决算具体情况!A:W,23,FALSE),"")</f>
        <v>4363112.38</v>
      </c>
      <c r="F46" s="61"/>
      <c r="G46" s="7" t="s">
        <v>187</v>
      </c>
      <c r="H46" s="63" t="s">
        <v>214</v>
      </c>
      <c r="I46" s="63"/>
      <c r="J46" s="61">
        <f>_xlfn.IFNA(VLOOKUP(封面!B1,一般公共预算财政拨款支出决算具体情况!A:X,24,FALSE),"")</f>
        <v>4589382.08</v>
      </c>
      <c r="K46" s="61"/>
      <c r="L46" s="11" t="s">
        <v>186</v>
      </c>
    </row>
    <row r="47" spans="1:12" ht="18" customHeight="1">
      <c r="A47" s="14"/>
      <c r="B47" s="14" t="str">
        <f>IF(E46&gt;J46,"增加","减少")</f>
        <v>减少</v>
      </c>
      <c r="C47" s="61">
        <f>ABS(E46-J46)</f>
        <v>226269.70000000019</v>
      </c>
      <c r="D47" s="61"/>
      <c r="E47" s="7" t="s">
        <v>187</v>
      </c>
      <c r="F47" s="14" t="str">
        <f>IF(E46&gt;J46,"增长","下降")</f>
        <v>下降</v>
      </c>
      <c r="G47" s="33">
        <f>C47/J46</f>
        <v>4.9302868241469268E-2</v>
      </c>
      <c r="H47" s="7" t="s">
        <v>345</v>
      </c>
    </row>
    <row r="48" spans="1:12" ht="36" customHeight="1">
      <c r="B48" s="64" t="s">
        <v>450</v>
      </c>
      <c r="C48" s="64"/>
      <c r="D48" s="64"/>
      <c r="E48" s="64"/>
      <c r="F48" s="64"/>
      <c r="G48" s="64"/>
      <c r="H48" s="64"/>
      <c r="I48" s="64"/>
      <c r="J48" s="64"/>
      <c r="K48" s="64"/>
      <c r="L48" s="64"/>
    </row>
    <row r="49" spans="1:12" ht="18" customHeight="1">
      <c r="A49" s="62" t="s">
        <v>456</v>
      </c>
      <c r="B49" s="62"/>
      <c r="C49" s="62"/>
      <c r="D49" s="62"/>
      <c r="E49" s="61">
        <f>_xlfn.IFNA(VLOOKUP(封面!B1,一般公共预算财政拨款支出决算具体情况!A:AA,27,FALSE),"")</f>
        <v>1870103.9</v>
      </c>
      <c r="F49" s="61"/>
      <c r="G49" s="7" t="s">
        <v>187</v>
      </c>
      <c r="H49" s="63" t="s">
        <v>214</v>
      </c>
      <c r="I49" s="63"/>
      <c r="J49" s="61">
        <f>_xlfn.IFNA(VLOOKUP(封面!B1,一般公共预算财政拨款支出决算具体情况!A:AB,28,FALSE),"")</f>
        <v>1754001.96</v>
      </c>
      <c r="K49" s="61"/>
      <c r="L49" s="11" t="s">
        <v>186</v>
      </c>
    </row>
    <row r="50" spans="1:12" ht="18" customHeight="1">
      <c r="B50" s="14" t="str">
        <f>IF(E49&gt;J49,"增加","减少")</f>
        <v>增加</v>
      </c>
      <c r="C50" s="61">
        <f>ABS(E49-J49)</f>
        <v>116101.93999999994</v>
      </c>
      <c r="D50" s="61"/>
      <c r="E50" s="7" t="s">
        <v>187</v>
      </c>
      <c r="F50" s="14" t="str">
        <f>IF(E49&gt;J49,"增长","下降")</f>
        <v>增长</v>
      </c>
      <c r="G50" s="33">
        <f>C50/J49</f>
        <v>6.619259422036218E-2</v>
      </c>
      <c r="H50" s="7" t="s">
        <v>345</v>
      </c>
      <c r="I50" s="11" t="s">
        <v>215</v>
      </c>
    </row>
    <row r="51" spans="1:12" ht="18" customHeight="1">
      <c r="A51" s="65" t="s">
        <v>220</v>
      </c>
      <c r="B51" s="65"/>
      <c r="C51" s="65"/>
      <c r="D51" s="65"/>
      <c r="E51" s="61">
        <f>_xlfn.IFNA(VLOOKUP(封面!B1,一般公共预算财政拨款支出决算具体情况!A:AC,29,FALSE),"")</f>
        <v>1870103.9</v>
      </c>
      <c r="F51" s="61"/>
      <c r="G51" s="7" t="s">
        <v>187</v>
      </c>
      <c r="H51" s="63" t="s">
        <v>214</v>
      </c>
      <c r="I51" s="63"/>
      <c r="J51" s="61">
        <f>_xlfn.IFNA(VLOOKUP(封面!B1,一般公共预算财政拨款支出决算具体情况!A:AD,30,FALSE),"")</f>
        <v>1754001.96</v>
      </c>
      <c r="K51" s="61"/>
      <c r="L51" s="11" t="s">
        <v>186</v>
      </c>
    </row>
    <row r="52" spans="1:12" ht="18" customHeight="1">
      <c r="A52" s="14"/>
      <c r="B52" s="14" t="str">
        <f>IF(E51&gt;J51,"增加","减少")</f>
        <v>增加</v>
      </c>
      <c r="C52" s="61">
        <f>ABS(E51-J51)</f>
        <v>116101.93999999994</v>
      </c>
      <c r="D52" s="61"/>
      <c r="E52" s="7" t="s">
        <v>187</v>
      </c>
      <c r="F52" s="14" t="str">
        <f>IF(E51&gt;J51,"增长","下降")</f>
        <v>增长</v>
      </c>
      <c r="G52" s="33">
        <f>C52/J51</f>
        <v>6.619259422036218E-2</v>
      </c>
      <c r="H52" s="7" t="s">
        <v>345</v>
      </c>
    </row>
    <row r="53" spans="1:12" ht="36" customHeight="1">
      <c r="B53" s="64" t="s">
        <v>451</v>
      </c>
      <c r="C53" s="64"/>
      <c r="D53" s="64"/>
      <c r="E53" s="64"/>
      <c r="F53" s="64"/>
      <c r="G53" s="64"/>
      <c r="H53" s="64"/>
      <c r="I53" s="64"/>
      <c r="J53" s="64"/>
      <c r="K53" s="64"/>
      <c r="L53" s="64"/>
    </row>
    <row r="54" spans="1:12" ht="18" customHeight="1">
      <c r="A54" s="62" t="s">
        <v>457</v>
      </c>
      <c r="B54" s="62"/>
      <c r="C54" s="62"/>
      <c r="D54" s="62"/>
      <c r="E54" s="61">
        <f>_xlfn.IFNA(VLOOKUP(封面!B1,一般公共预算财政拨款支出决算具体情况!A:AM,39,FALSE),"")</f>
        <v>3436762</v>
      </c>
      <c r="F54" s="61"/>
      <c r="G54" s="7" t="s">
        <v>187</v>
      </c>
      <c r="H54" s="63" t="s">
        <v>214</v>
      </c>
      <c r="I54" s="63"/>
      <c r="J54" s="61">
        <f>_xlfn.IFNA(VLOOKUP(封面!B1,一般公共预算财政拨款支出决算具体情况!A:AN,40,FALSE),"")</f>
        <v>3408083.04</v>
      </c>
      <c r="K54" s="61"/>
      <c r="L54" s="11" t="s">
        <v>186</v>
      </c>
    </row>
    <row r="55" spans="1:12" ht="18" customHeight="1">
      <c r="B55" s="14" t="str">
        <f>IF(E54&gt;J54,"增加","减少")</f>
        <v>增加</v>
      </c>
      <c r="C55" s="61">
        <f>ABS(E54-J54)</f>
        <v>28678.959999999963</v>
      </c>
      <c r="D55" s="61"/>
      <c r="E55" s="7" t="s">
        <v>187</v>
      </c>
      <c r="F55" s="14" t="str">
        <f>IF(E54&gt;J54,"增长","下降")</f>
        <v>增长</v>
      </c>
      <c r="G55" s="33">
        <f>C55/J54</f>
        <v>8.4149827522981835E-3</v>
      </c>
      <c r="H55" s="7" t="s">
        <v>345</v>
      </c>
      <c r="I55" s="11" t="s">
        <v>215</v>
      </c>
    </row>
    <row r="56" spans="1:12" ht="18" customHeight="1">
      <c r="A56" s="65" t="s">
        <v>221</v>
      </c>
      <c r="B56" s="65"/>
      <c r="C56" s="65"/>
      <c r="D56" s="65"/>
      <c r="E56" s="61">
        <f>_xlfn.IFNA(VLOOKUP(封面!B1,一般公共预算财政拨款支出决算具体情况!A:AO,41,FALSE),"")</f>
        <v>3436762</v>
      </c>
      <c r="F56" s="61"/>
      <c r="G56" s="7" t="s">
        <v>187</v>
      </c>
      <c r="H56" s="63" t="s">
        <v>214</v>
      </c>
      <c r="I56" s="63"/>
      <c r="J56" s="61">
        <f>_xlfn.IFNA(VLOOKUP(封面!B1,一般公共预算财政拨款支出决算具体情况!A:AP,42,FALSE),"")</f>
        <v>3408083.04</v>
      </c>
      <c r="K56" s="61"/>
      <c r="L56" s="11" t="s">
        <v>186</v>
      </c>
    </row>
    <row r="57" spans="1:12" ht="18" customHeight="1">
      <c r="A57" s="14"/>
      <c r="B57" s="14" t="str">
        <f>IF(E56&gt;J56,"增加","减少")</f>
        <v>增加</v>
      </c>
      <c r="C57" s="61">
        <f>ABS(E56-J56)</f>
        <v>28678.959999999963</v>
      </c>
      <c r="D57" s="61"/>
      <c r="E57" s="7" t="s">
        <v>187</v>
      </c>
      <c r="F57" s="14" t="str">
        <f>IF(E56&gt;J56,"增长","下降")</f>
        <v>增长</v>
      </c>
      <c r="G57" s="33">
        <f>C57/J56</f>
        <v>8.4149827522981835E-3</v>
      </c>
      <c r="H57" s="7" t="s">
        <v>345</v>
      </c>
    </row>
    <row r="58" spans="1:12" ht="36" customHeight="1">
      <c r="B58" s="64" t="s">
        <v>452</v>
      </c>
      <c r="C58" s="64"/>
      <c r="D58" s="64"/>
      <c r="E58" s="64"/>
      <c r="F58" s="64"/>
      <c r="G58" s="64"/>
      <c r="H58" s="64"/>
      <c r="I58" s="64"/>
      <c r="J58" s="64"/>
      <c r="K58" s="64"/>
      <c r="L58" s="64"/>
    </row>
    <row r="59" spans="1:12" ht="18" customHeight="1">
      <c r="A59" s="6" t="s">
        <v>222</v>
      </c>
    </row>
    <row r="60" spans="1:12" ht="18" customHeight="1">
      <c r="A60" s="7" t="str">
        <f>IF(_xlfn.IFNA(VLOOKUP(封面!B1,'2020决算导出'!A:X,24,FALSE),"")=0,"本年度无此项支出。","")</f>
        <v>本年度无此项支出。</v>
      </c>
    </row>
    <row r="61" spans="1:12" ht="18" customHeight="1">
      <c r="A61" s="6" t="s">
        <v>223</v>
      </c>
    </row>
    <row r="62" spans="1:12" ht="18" customHeight="1">
      <c r="A62" s="7" t="s">
        <v>224</v>
      </c>
    </row>
    <row r="63" spans="1:12" ht="18" customHeight="1">
      <c r="A63" s="6" t="s">
        <v>225</v>
      </c>
    </row>
    <row r="64" spans="1:12" ht="18" customHeight="1">
      <c r="A64" s="7" t="s">
        <v>226</v>
      </c>
      <c r="G64" s="61">
        <f>_xlfn.IFNA(VLOOKUP(封面!B1,'2020决算导出'!A:AA,27,FALSE),"")</f>
        <v>26974364.289999999</v>
      </c>
      <c r="H64" s="61"/>
      <c r="I64" s="11" t="s">
        <v>187</v>
      </c>
    </row>
    <row r="65" spans="1:13" ht="130.19999999999999" customHeight="1">
      <c r="A65" s="64" t="s">
        <v>227</v>
      </c>
      <c r="B65" s="64"/>
      <c r="C65" s="64"/>
      <c r="D65" s="64"/>
      <c r="E65" s="64"/>
      <c r="F65" s="64"/>
      <c r="G65" s="64"/>
      <c r="H65" s="64"/>
      <c r="I65" s="64"/>
      <c r="J65" s="64"/>
      <c r="K65" s="64"/>
      <c r="L65" s="64"/>
      <c r="M65" s="64"/>
    </row>
    <row r="66" spans="1:13" ht="18" customHeight="1"/>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mergeCells count="9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B37:L37"/>
    <mergeCell ref="A35:D35"/>
    <mergeCell ref="E35:F35"/>
    <mergeCell ref="H35:I35"/>
    <mergeCell ref="J35:K35"/>
    <mergeCell ref="B34:L34"/>
    <mergeCell ref="C33:D33"/>
    <mergeCell ref="A38:D38"/>
    <mergeCell ref="E38:F38"/>
    <mergeCell ref="H38:I38"/>
    <mergeCell ref="J38:K38"/>
    <mergeCell ref="C36:D36"/>
    <mergeCell ref="C39:D39"/>
    <mergeCell ref="B40:L40"/>
    <mergeCell ref="A41:D41"/>
    <mergeCell ref="E41:F41"/>
    <mergeCell ref="H41:I41"/>
    <mergeCell ref="J41:K41"/>
    <mergeCell ref="A44:D44"/>
    <mergeCell ref="E44:F44"/>
    <mergeCell ref="H44:I44"/>
    <mergeCell ref="J44:K44"/>
    <mergeCell ref="E46:F46"/>
    <mergeCell ref="H46:I46"/>
    <mergeCell ref="J46:K46"/>
    <mergeCell ref="C47:D47"/>
    <mergeCell ref="A51:D51"/>
    <mergeCell ref="E51:F51"/>
    <mergeCell ref="H51:I51"/>
    <mergeCell ref="J51:K51"/>
    <mergeCell ref="C42:D42"/>
    <mergeCell ref="B43:L43"/>
    <mergeCell ref="C57:D57"/>
    <mergeCell ref="A54:D54"/>
    <mergeCell ref="E54:F54"/>
    <mergeCell ref="H54:I54"/>
    <mergeCell ref="J54:K54"/>
    <mergeCell ref="G64:H64"/>
    <mergeCell ref="A65:M65"/>
    <mergeCell ref="A4:M4"/>
    <mergeCell ref="B58:L58"/>
    <mergeCell ref="C55:D55"/>
    <mergeCell ref="A56:D56"/>
    <mergeCell ref="E56:F56"/>
    <mergeCell ref="C52:D52"/>
    <mergeCell ref="B53:L53"/>
    <mergeCell ref="A49:D49"/>
    <mergeCell ref="E49:F49"/>
    <mergeCell ref="H49:I49"/>
    <mergeCell ref="J49:K49"/>
    <mergeCell ref="C50:D50"/>
    <mergeCell ref="B48:L48"/>
    <mergeCell ref="H56:I56"/>
    <mergeCell ref="J56:K56"/>
    <mergeCell ref="C45:D45"/>
    <mergeCell ref="A46:D4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3" workbookViewId="0">
      <selection activeCell="H17" sqref="H17"/>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272</v>
      </c>
      <c r="B1" s="59"/>
      <c r="C1" s="59"/>
      <c r="D1" s="59"/>
      <c r="E1" s="59"/>
      <c r="F1" s="59"/>
      <c r="G1" s="59"/>
      <c r="H1" s="59"/>
      <c r="I1" s="59"/>
      <c r="J1" s="59"/>
      <c r="K1" s="59"/>
      <c r="L1" s="59"/>
      <c r="M1" s="59"/>
      <c r="N1" s="59"/>
    </row>
    <row r="2" spans="1:14" ht="18" customHeight="1">
      <c r="A2" s="6" t="s">
        <v>228</v>
      </c>
    </row>
    <row r="3" spans="1:14" ht="18" customHeight="1">
      <c r="A3" s="15" t="str">
        <f>IF(_xlfn.IFNA(VLOOKUP(封面!B1,'2020决算导出'!A:AB,28,FALSE),"")=0,"本年度无此项支出。","")</f>
        <v/>
      </c>
    </row>
    <row r="4" spans="1:14" ht="18" customHeight="1">
      <c r="A4" s="7" t="s">
        <v>229</v>
      </c>
      <c r="F4" s="61">
        <f>_xlfn.IFNA(VLOOKUP(封面!B1,'2020决算导出'!A:AB,28,FALSE),"")</f>
        <v>5197.76</v>
      </c>
      <c r="G4" s="61"/>
      <c r="H4" s="7" t="s">
        <v>187</v>
      </c>
      <c r="I4" s="7" t="s">
        <v>230</v>
      </c>
    </row>
    <row r="5" spans="1:14" ht="18" customHeight="1">
      <c r="A5" s="69">
        <f>_xlfn.IFNA(VLOOKUP(封面!B1,'2020决算导出'!A:AC,29,FALSE),"")</f>
        <v>27000</v>
      </c>
      <c r="B5" s="69"/>
      <c r="C5" s="7" t="s">
        <v>186</v>
      </c>
      <c r="D5" s="29" t="str">
        <f>IF(F4&gt;A5,"增加","减少")</f>
        <v>减少</v>
      </c>
      <c r="E5" s="69">
        <f>ABS(F4-A5)</f>
        <v>21802.239999999998</v>
      </c>
      <c r="F5" s="69"/>
      <c r="G5" s="7" t="s">
        <v>232</v>
      </c>
    </row>
    <row r="6" spans="1:14" ht="18" customHeight="1">
      <c r="A6" s="7" t="s">
        <v>233</v>
      </c>
    </row>
    <row r="7" spans="1:14" ht="18" customHeight="1">
      <c r="A7" s="55" t="s">
        <v>444</v>
      </c>
      <c r="B7" s="18"/>
      <c r="C7" s="18"/>
      <c r="D7" s="18"/>
      <c r="E7" s="18"/>
      <c r="F7" s="18"/>
      <c r="G7" s="18"/>
      <c r="H7" s="18"/>
      <c r="I7" s="18"/>
      <c r="J7" s="18"/>
      <c r="K7" s="18"/>
      <c r="L7" s="18"/>
      <c r="M7" s="18"/>
      <c r="N7" s="18"/>
    </row>
    <row r="8" spans="1:14" ht="18" customHeight="1">
      <c r="A8" s="7" t="s">
        <v>235</v>
      </c>
    </row>
    <row r="9" spans="1:14" ht="39" customHeight="1">
      <c r="A9" s="70" t="s">
        <v>236</v>
      </c>
      <c r="B9" s="70"/>
      <c r="C9" s="70"/>
      <c r="D9" s="70"/>
      <c r="E9" s="70"/>
      <c r="F9" s="70"/>
      <c r="G9" s="70"/>
      <c r="H9" s="70"/>
      <c r="I9" s="70"/>
      <c r="J9" s="70"/>
      <c r="K9" s="70"/>
      <c r="L9" s="70"/>
      <c r="M9" s="70"/>
      <c r="N9" s="70"/>
    </row>
    <row r="10" spans="1:14" ht="18" customHeight="1">
      <c r="A10" s="7" t="s">
        <v>237</v>
      </c>
    </row>
    <row r="11" spans="1:14" ht="18" customHeight="1">
      <c r="A11" s="66" t="s">
        <v>234</v>
      </c>
      <c r="B11" s="66"/>
      <c r="C11" s="34">
        <f>_xlfn.IFNA(VLOOKUP(封面!B1,'2020决算导出'!A:AI,35,FALSE),"")</f>
        <v>5197.76</v>
      </c>
      <c r="D11" s="7" t="s">
        <v>187</v>
      </c>
      <c r="E11" s="66" t="s">
        <v>238</v>
      </c>
      <c r="F11" s="66"/>
      <c r="G11" s="66"/>
      <c r="H11" s="69">
        <f>_xlfn.IFNA(VLOOKUP(封面!B1,'2020决算导出'!A:AJ,36,FALSE),"")</f>
        <v>27000</v>
      </c>
      <c r="I11" s="69"/>
      <c r="J11" s="15" t="s">
        <v>186</v>
      </c>
      <c r="K11" s="29" t="str">
        <f>IF(C11&gt;H11,"增加","减少")</f>
        <v>减少</v>
      </c>
      <c r="L11" s="69">
        <f>ABS(C11-H11)</f>
        <v>21802.239999999998</v>
      </c>
      <c r="M11" s="69"/>
      <c r="N11" s="7" t="s">
        <v>231</v>
      </c>
    </row>
    <row r="12" spans="1:14" ht="18" customHeight="1">
      <c r="A12" s="66" t="s">
        <v>239</v>
      </c>
      <c r="B12" s="66"/>
      <c r="C12" s="66"/>
      <c r="D12" s="66"/>
      <c r="E12" s="66"/>
      <c r="F12" s="69">
        <f>_xlfn.IFNA(VLOOKUP(封面!B1,'2020决算导出'!A:AK,37,FALSE),"")</f>
        <v>0</v>
      </c>
      <c r="G12" s="69"/>
      <c r="H12" s="16" t="s">
        <v>187</v>
      </c>
      <c r="I12" s="66" t="s">
        <v>238</v>
      </c>
      <c r="J12" s="66"/>
      <c r="K12" s="66"/>
      <c r="L12" s="69">
        <f>_xlfn.IFNA(VLOOKUP(封面!B1,'2020决算导出'!A:AL,38,FALSE),"")</f>
        <v>0</v>
      </c>
      <c r="M12" s="69"/>
      <c r="N12" s="7" t="s">
        <v>186</v>
      </c>
    </row>
    <row r="13" spans="1:14" ht="18" customHeight="1">
      <c r="A13" s="14" t="str">
        <f>IF(F12&gt;L12,"增加","减少")</f>
        <v>减少</v>
      </c>
      <c r="B13" s="69">
        <f>ABS(F12-L12)</f>
        <v>0</v>
      </c>
      <c r="C13" s="69"/>
      <c r="D13" s="7" t="s">
        <v>231</v>
      </c>
      <c r="H13" s="69"/>
      <c r="I13" s="69"/>
      <c r="J13" s="15"/>
    </row>
    <row r="14" spans="1:14" ht="36" customHeight="1">
      <c r="A14" s="64" t="s">
        <v>453</v>
      </c>
      <c r="B14" s="64"/>
      <c r="C14" s="64"/>
      <c r="D14" s="64"/>
      <c r="E14" s="64"/>
      <c r="F14" s="64"/>
      <c r="G14" s="64"/>
      <c r="H14" s="64"/>
      <c r="I14" s="64"/>
      <c r="J14" s="64"/>
      <c r="K14" s="64"/>
      <c r="L14" s="64"/>
      <c r="M14" s="64"/>
      <c r="N14" s="64"/>
    </row>
    <row r="15" spans="1:14" ht="18" customHeight="1">
      <c r="A15" s="66" t="s">
        <v>240</v>
      </c>
      <c r="B15" s="66"/>
      <c r="C15" s="66"/>
      <c r="D15" s="8">
        <f>_xlfn.IFNA(VLOOKUP(封面!B1,'2020决算导出'!A:AM,39,FALSE),"")</f>
        <v>0</v>
      </c>
      <c r="E15" s="7" t="s">
        <v>241</v>
      </c>
      <c r="F15" s="66" t="s">
        <v>242</v>
      </c>
      <c r="G15" s="66"/>
      <c r="H15" s="69">
        <f>IF(D15=0,0,F12/D15)</f>
        <v>0</v>
      </c>
      <c r="I15" s="69"/>
      <c r="J15" s="7" t="s">
        <v>231</v>
      </c>
    </row>
    <row r="16" spans="1:14" ht="18" customHeight="1">
      <c r="A16" s="63" t="s">
        <v>243</v>
      </c>
      <c r="B16" s="63"/>
      <c r="C16" s="63"/>
      <c r="D16" s="63"/>
      <c r="E16" s="63"/>
      <c r="F16" s="69">
        <f>_xlfn.IFNA(VLOOKUP(封面!B1,'2020决算导出'!A:AO,41,FALSE),"")</f>
        <v>5197.76</v>
      </c>
      <c r="G16" s="69" t="s">
        <v>187</v>
      </c>
      <c r="H16" s="7" t="s">
        <v>187</v>
      </c>
      <c r="I16" s="7" t="s">
        <v>238</v>
      </c>
      <c r="L16" s="69">
        <f>_xlfn.IFNA(VLOOKUP(封面!B1,'2020决算导出'!A:AP,42,FALSE),"")</f>
        <v>27000</v>
      </c>
      <c r="M16" s="69" t="s">
        <v>187</v>
      </c>
      <c r="N16" s="7" t="s">
        <v>187</v>
      </c>
    </row>
    <row r="17" spans="1:14" ht="18" customHeight="1">
      <c r="A17" s="14" t="str">
        <f>IF(F16&gt;L16,"增加","减少")</f>
        <v>减少</v>
      </c>
      <c r="B17" s="69">
        <f>ABS(F16-L16)</f>
        <v>21802.239999999998</v>
      </c>
      <c r="C17" s="69"/>
      <c r="D17" s="7" t="s">
        <v>231</v>
      </c>
    </row>
    <row r="18" spans="1:14" ht="36" customHeight="1">
      <c r="A18" s="64" t="s">
        <v>244</v>
      </c>
      <c r="B18" s="64"/>
      <c r="C18" s="64"/>
      <c r="D18" s="64"/>
      <c r="E18" s="64"/>
      <c r="F18" s="64"/>
      <c r="G18" s="64"/>
      <c r="H18" s="64"/>
      <c r="I18" s="64"/>
      <c r="J18" s="64"/>
      <c r="K18" s="64"/>
      <c r="L18" s="64"/>
      <c r="M18" s="64"/>
      <c r="N18" s="64"/>
    </row>
    <row r="19" spans="1:14" ht="18" customHeight="1">
      <c r="A19" s="66" t="s">
        <v>245</v>
      </c>
      <c r="B19" s="66"/>
      <c r="C19" s="66"/>
      <c r="D19" s="66"/>
      <c r="E19" s="66"/>
      <c r="F19" s="66"/>
      <c r="G19" s="69">
        <f>_xlfn.IFNA(VLOOKUP(封面!B1,'2020决算导出'!A:AQ,43,FALSE),"")</f>
        <v>0</v>
      </c>
      <c r="H19" s="69" t="s">
        <v>187</v>
      </c>
      <c r="I19" s="7" t="s">
        <v>187</v>
      </c>
      <c r="J19" s="7" t="s">
        <v>246</v>
      </c>
      <c r="L19" s="69">
        <f>_xlfn.IFNA(VLOOKUP(封面!B1,'2020决算导出'!A:AR,44,FALSE),"")</f>
        <v>1087</v>
      </c>
      <c r="M19" s="69" t="s">
        <v>187</v>
      </c>
      <c r="N19" s="7" t="s">
        <v>187</v>
      </c>
    </row>
    <row r="20" spans="1:14" ht="18" customHeight="1">
      <c r="A20" s="66" t="s">
        <v>247</v>
      </c>
      <c r="B20" s="66"/>
      <c r="C20" s="69">
        <f>_xlfn.IFNA(VLOOKUP(封面!B1,'2020决算导出'!A:AS,45,FALSE),"")</f>
        <v>1529.76</v>
      </c>
      <c r="D20" s="69" t="s">
        <v>187</v>
      </c>
      <c r="E20" s="7" t="s">
        <v>187</v>
      </c>
      <c r="F20" s="66" t="s">
        <v>248</v>
      </c>
      <c r="G20" s="66"/>
      <c r="H20" s="66"/>
      <c r="I20" s="69">
        <f>_xlfn.IFNA(VLOOKUP(封面!B1,'2020决算导出'!A:AT,46,FALSE),"")</f>
        <v>2581</v>
      </c>
      <c r="J20" s="69" t="s">
        <v>187</v>
      </c>
      <c r="K20" s="7" t="s">
        <v>231</v>
      </c>
    </row>
    <row r="21" spans="1:14" ht="18" customHeight="1">
      <c r="A21" s="66" t="s">
        <v>249</v>
      </c>
      <c r="B21" s="66"/>
      <c r="C21" s="66"/>
      <c r="D21" s="8">
        <f>_xlfn.IFNA(VLOOKUP(封面!B1,'2020决算导出'!A:AU,47,FALSE),"")</f>
        <v>1</v>
      </c>
      <c r="E21" s="67" t="s">
        <v>440</v>
      </c>
      <c r="F21" s="67"/>
      <c r="G21" s="67"/>
      <c r="H21" s="67"/>
      <c r="I21" s="67"/>
      <c r="J21" s="67"/>
      <c r="K21" s="67"/>
      <c r="L21" s="67"/>
      <c r="M21" s="54">
        <f>F16/D21</f>
        <v>5197.76</v>
      </c>
      <c r="N21" s="7" t="s">
        <v>231</v>
      </c>
    </row>
    <row r="22" spans="1:14" ht="18" customHeight="1">
      <c r="A22" s="6" t="s">
        <v>250</v>
      </c>
    </row>
    <row r="23" spans="1:14" ht="18" customHeight="1">
      <c r="A23" s="7" t="s">
        <v>251</v>
      </c>
    </row>
    <row r="24" spans="1:14" ht="18" customHeight="1">
      <c r="A24" s="6" t="s">
        <v>252</v>
      </c>
    </row>
    <row r="25" spans="1:14" ht="18" customHeight="1">
      <c r="A25" s="66" t="s">
        <v>253</v>
      </c>
      <c r="B25" s="66"/>
      <c r="C25" s="66"/>
      <c r="D25" s="66"/>
      <c r="E25" s="61">
        <f>_xlfn.IFNA(VLOOKUP(封面!B1,'2020决算导出'!A:AW,49,FALSE),"")</f>
        <v>498078</v>
      </c>
      <c r="F25" s="61"/>
      <c r="G25" s="7" t="s">
        <v>187</v>
      </c>
      <c r="H25" s="66" t="s">
        <v>254</v>
      </c>
      <c r="I25" s="66"/>
      <c r="J25" s="66"/>
      <c r="K25" s="66"/>
      <c r="L25" s="61">
        <f>_xlfn.IFNA(VLOOKUP(封面!B1,'2020决算导出'!A:AX,50,FALSE),"")</f>
        <v>0</v>
      </c>
      <c r="M25" s="61" t="s">
        <v>187</v>
      </c>
      <c r="N25" s="7" t="s">
        <v>187</v>
      </c>
    </row>
    <row r="26" spans="1:14" ht="18" customHeight="1">
      <c r="A26" s="66" t="s">
        <v>255</v>
      </c>
      <c r="B26" s="66"/>
      <c r="C26" s="66"/>
      <c r="D26" s="61">
        <f>_xlfn.IFNA(VLOOKUP(封面!B1,'2020决算导出'!A:AY,51,FALSE),"")</f>
        <v>0</v>
      </c>
      <c r="E26" s="61" t="s">
        <v>187</v>
      </c>
      <c r="F26" s="7" t="s">
        <v>187</v>
      </c>
      <c r="G26" s="66" t="s">
        <v>256</v>
      </c>
      <c r="H26" s="66"/>
      <c r="I26" s="66"/>
      <c r="J26" s="61">
        <f>_xlfn.IFNA(VLOOKUP(封面!B1,'2020决算导出'!A:AZ,52,FALSE),"")</f>
        <v>498078</v>
      </c>
      <c r="K26" s="61" t="s">
        <v>187</v>
      </c>
      <c r="L26" s="7" t="s">
        <v>231</v>
      </c>
    </row>
    <row r="27" spans="1:14" ht="18" customHeight="1">
      <c r="A27" s="66" t="s">
        <v>257</v>
      </c>
      <c r="B27" s="66"/>
      <c r="C27" s="66"/>
      <c r="D27" s="66"/>
      <c r="E27" s="61">
        <f>_xlfn.IFNA(VLOOKUP(封面!B1,'2020决算导出'!A:BA,53,FALSE),"")</f>
        <v>202750</v>
      </c>
      <c r="F27" s="61" t="s">
        <v>187</v>
      </c>
      <c r="G27" s="7" t="s">
        <v>187</v>
      </c>
      <c r="H27" s="63" t="s">
        <v>258</v>
      </c>
      <c r="I27" s="63"/>
      <c r="J27" s="63"/>
      <c r="K27" s="28">
        <f>E27/$E$25</f>
        <v>0.40706475692562211</v>
      </c>
      <c r="L27" s="17" t="s">
        <v>343</v>
      </c>
      <c r="M27" s="7" t="s">
        <v>441</v>
      </c>
    </row>
    <row r="28" spans="1:14" ht="18" customHeight="1">
      <c r="A28" s="66" t="s">
        <v>259</v>
      </c>
      <c r="B28" s="66"/>
      <c r="C28" s="66"/>
      <c r="D28" s="66"/>
      <c r="E28" s="61">
        <f>_xlfn.IFNA(VLOOKUP(封面!B1,'2020决算导出'!A:BB,54,FALSE),"")</f>
        <v>202750</v>
      </c>
      <c r="F28" s="61" t="s">
        <v>187</v>
      </c>
      <c r="G28" s="7" t="s">
        <v>187</v>
      </c>
      <c r="H28" s="63" t="s">
        <v>258</v>
      </c>
      <c r="I28" s="63"/>
      <c r="J28" s="63"/>
      <c r="K28" s="28">
        <f>E28/$E$25</f>
        <v>0.40706475692562211</v>
      </c>
      <c r="L28" s="17" t="s">
        <v>345</v>
      </c>
    </row>
    <row r="29" spans="1:14" ht="18" customHeight="1">
      <c r="A29" s="6" t="s">
        <v>260</v>
      </c>
    </row>
    <row r="30" spans="1:14" ht="18" customHeight="1">
      <c r="A30" s="66" t="s">
        <v>261</v>
      </c>
      <c r="B30" s="66"/>
      <c r="C30" s="8">
        <f>_xlfn.IFNA(VLOOKUP(封面!B1,'2020决算导出'!A:BC,55,FALSE),"")</f>
        <v>1</v>
      </c>
      <c r="D30" s="7" t="s">
        <v>262</v>
      </c>
      <c r="M30" s="69">
        <f>_xlfn.IFNA(VLOOKUP(封面!B1,'2020决算导出'!A:BD,56,FALSE),"")</f>
        <v>140025</v>
      </c>
      <c r="N30" s="69" t="s">
        <v>187</v>
      </c>
    </row>
    <row r="31" spans="1:14" ht="18" customHeight="1">
      <c r="A31" s="12" t="s">
        <v>263</v>
      </c>
      <c r="B31" s="66" t="s">
        <v>264</v>
      </c>
      <c r="C31" s="66"/>
      <c r="D31" s="66"/>
      <c r="E31" s="66"/>
      <c r="F31" s="66"/>
      <c r="G31" s="8">
        <f>_xlfn.IFNA(VLOOKUP(封面!B1,'2020决算导出'!A:BE,57,FALSE),"")</f>
        <v>0</v>
      </c>
      <c r="H31" s="7" t="s">
        <v>265</v>
      </c>
      <c r="J31" s="7" t="s">
        <v>266</v>
      </c>
    </row>
    <row r="32" spans="1:14" ht="18" customHeight="1">
      <c r="A32" s="12">
        <f>_xlfn.IFNA(VLOOKUP(封面!B1,'2020决算导出'!A:BF,58,FALSE),"")</f>
        <v>0</v>
      </c>
      <c r="B32" s="7" t="s">
        <v>267</v>
      </c>
    </row>
    <row r="33" spans="1:14" ht="18" customHeight="1">
      <c r="A33" s="6" t="s">
        <v>268</v>
      </c>
    </row>
    <row r="34" spans="1:14" ht="18" customHeight="1">
      <c r="A34" s="7" t="s">
        <v>269</v>
      </c>
    </row>
    <row r="35" spans="1:14" ht="18" customHeight="1">
      <c r="A35" s="6" t="s">
        <v>270</v>
      </c>
    </row>
    <row r="36" spans="1:14" ht="304.2" customHeight="1">
      <c r="A36" s="64" t="s">
        <v>271</v>
      </c>
      <c r="B36" s="64"/>
      <c r="C36" s="64"/>
      <c r="D36" s="64"/>
      <c r="E36" s="64"/>
      <c r="F36" s="64"/>
      <c r="G36" s="64"/>
      <c r="H36" s="64"/>
      <c r="I36" s="64"/>
      <c r="J36" s="64"/>
      <c r="K36" s="64"/>
      <c r="L36" s="64"/>
      <c r="M36" s="64"/>
      <c r="N36" s="6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cols>
    <col min="14" max="14" width="26.44140625" customWidth="1"/>
  </cols>
  <sheetData>
    <row r="1" spans="1:14" s="7" customFormat="1" ht="35.4" customHeight="1">
      <c r="A1" s="59" t="s">
        <v>273</v>
      </c>
      <c r="B1" s="59"/>
      <c r="C1" s="59"/>
      <c r="D1" s="59"/>
      <c r="E1" s="59"/>
      <c r="F1" s="59"/>
      <c r="G1" s="59"/>
      <c r="H1" s="59"/>
      <c r="I1" s="59"/>
      <c r="J1" s="59"/>
      <c r="K1" s="59"/>
      <c r="L1" s="59"/>
      <c r="M1" s="59"/>
      <c r="N1" s="59"/>
    </row>
    <row r="2" spans="1:14" ht="409.2" customHeight="1">
      <c r="A2" s="71" t="s">
        <v>454</v>
      </c>
      <c r="B2" s="71"/>
      <c r="C2" s="71"/>
      <c r="D2" s="71"/>
      <c r="E2" s="71"/>
      <c r="F2" s="71"/>
      <c r="G2" s="71"/>
      <c r="H2" s="71"/>
      <c r="I2" s="71"/>
      <c r="J2" s="71"/>
      <c r="K2" s="71"/>
      <c r="L2" s="71"/>
      <c r="M2" s="71"/>
      <c r="N2" s="71"/>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RowHeight="13.8"/>
  <cols>
    <col min="1" max="1" width="8.88671875" style="35"/>
    <col min="2" max="2" width="18.88671875" style="35" customWidth="1"/>
    <col min="3" max="16384" width="8.88671875" style="35"/>
  </cols>
  <sheetData>
    <row r="1" spans="1:58" ht="60">
      <c r="A1" s="20" t="s">
        <v>279</v>
      </c>
      <c r="B1" s="21" t="s">
        <v>280</v>
      </c>
      <c r="C1" s="21" t="s">
        <v>275</v>
      </c>
      <c r="D1" s="21" t="s">
        <v>281</v>
      </c>
      <c r="E1" s="21" t="s">
        <v>282</v>
      </c>
      <c r="F1" s="21" t="s">
        <v>283</v>
      </c>
      <c r="G1" s="21" t="s">
        <v>284</v>
      </c>
      <c r="H1" s="21" t="s">
        <v>285</v>
      </c>
      <c r="I1" s="21" t="s">
        <v>286</v>
      </c>
      <c r="J1" s="21" t="s">
        <v>287</v>
      </c>
      <c r="K1" s="21" t="s">
        <v>288</v>
      </c>
      <c r="L1" s="21" t="s">
        <v>289</v>
      </c>
      <c r="M1" s="21" t="s">
        <v>290</v>
      </c>
      <c r="N1" s="21" t="s">
        <v>291</v>
      </c>
      <c r="O1" s="21" t="s">
        <v>292</v>
      </c>
      <c r="P1" s="21" t="s">
        <v>293</v>
      </c>
      <c r="Q1" s="21" t="s">
        <v>294</v>
      </c>
      <c r="R1" s="21" t="s">
        <v>295</v>
      </c>
      <c r="S1" s="21" t="s">
        <v>296</v>
      </c>
      <c r="T1" s="21" t="s">
        <v>297</v>
      </c>
      <c r="U1" s="21" t="s">
        <v>298</v>
      </c>
      <c r="V1" s="21" t="s">
        <v>299</v>
      </c>
      <c r="W1" s="21" t="s">
        <v>300</v>
      </c>
      <c r="X1" s="21" t="s">
        <v>301</v>
      </c>
      <c r="Y1" s="21" t="s">
        <v>302</v>
      </c>
      <c r="Z1" s="21" t="s">
        <v>347</v>
      </c>
      <c r="AA1" s="21" t="s">
        <v>303</v>
      </c>
      <c r="AB1" s="21" t="s">
        <v>304</v>
      </c>
      <c r="AC1" s="21" t="s">
        <v>305</v>
      </c>
      <c r="AD1" s="21" t="s">
        <v>306</v>
      </c>
      <c r="AE1" s="21" t="s">
        <v>307</v>
      </c>
      <c r="AF1" s="21" t="s">
        <v>308</v>
      </c>
      <c r="AG1" s="21" t="s">
        <v>309</v>
      </c>
      <c r="AH1" s="21" t="s">
        <v>310</v>
      </c>
      <c r="AI1" s="21" t="s">
        <v>311</v>
      </c>
      <c r="AJ1" s="21" t="s">
        <v>312</v>
      </c>
      <c r="AK1" s="21" t="s">
        <v>313</v>
      </c>
      <c r="AL1" s="21" t="s">
        <v>314</v>
      </c>
      <c r="AM1" s="21" t="s">
        <v>348</v>
      </c>
      <c r="AN1" s="21" t="s">
        <v>349</v>
      </c>
      <c r="AO1" s="21" t="s">
        <v>315</v>
      </c>
      <c r="AP1" s="21" t="s">
        <v>316</v>
      </c>
      <c r="AQ1" s="21" t="s">
        <v>317</v>
      </c>
      <c r="AR1" s="21" t="s">
        <v>318</v>
      </c>
      <c r="AS1" s="21" t="s">
        <v>319</v>
      </c>
      <c r="AT1" s="21" t="s">
        <v>320</v>
      </c>
      <c r="AU1" s="21" t="s">
        <v>321</v>
      </c>
      <c r="AV1" s="21" t="s">
        <v>350</v>
      </c>
      <c r="AW1" s="21" t="s">
        <v>322</v>
      </c>
      <c r="AX1" s="21" t="s">
        <v>323</v>
      </c>
      <c r="AY1" s="21" t="s">
        <v>324</v>
      </c>
      <c r="AZ1" s="21" t="s">
        <v>325</v>
      </c>
      <c r="BA1" s="21" t="s">
        <v>326</v>
      </c>
      <c r="BB1" s="21" t="s">
        <v>327</v>
      </c>
      <c r="BC1" s="21" t="s">
        <v>328</v>
      </c>
      <c r="BD1" s="21" t="s">
        <v>442</v>
      </c>
      <c r="BE1" s="21" t="s">
        <v>329</v>
      </c>
      <c r="BF1" s="21" t="s">
        <v>330</v>
      </c>
    </row>
    <row r="2" spans="1:58">
      <c r="A2" s="23">
        <v>255001</v>
      </c>
      <c r="B2" s="24" t="s">
        <v>331</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332</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333</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5"/>
    <col min="2" max="2" width="24.21875" style="35" customWidth="1"/>
    <col min="3" max="3" width="16.5546875" style="35" customWidth="1"/>
    <col min="4" max="4" width="13.109375" style="35" customWidth="1"/>
    <col min="5" max="5" width="14.44140625" style="35" customWidth="1"/>
    <col min="6" max="6" width="15.21875" style="35" customWidth="1"/>
    <col min="7" max="16384" width="8.88671875" style="35"/>
  </cols>
  <sheetData>
    <row r="1" spans="1:6" ht="24">
      <c r="A1" s="20" t="s">
        <v>279</v>
      </c>
      <c r="B1" s="21" t="s">
        <v>280</v>
      </c>
      <c r="C1" s="21" t="s">
        <v>334</v>
      </c>
      <c r="D1" s="21" t="s">
        <v>335</v>
      </c>
      <c r="E1" s="21" t="s">
        <v>336</v>
      </c>
      <c r="F1" s="21" t="s">
        <v>337</v>
      </c>
    </row>
    <row r="2" spans="1:6">
      <c r="A2" s="23">
        <v>255001</v>
      </c>
      <c r="B2" s="24" t="s">
        <v>331</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338</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339</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340</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341</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554687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351</v>
      </c>
      <c r="B1" s="41" t="s">
        <v>388</v>
      </c>
      <c r="C1" s="41" t="s">
        <v>389</v>
      </c>
      <c r="D1" s="41" t="s">
        <v>390</v>
      </c>
      <c r="E1" s="41" t="s">
        <v>391</v>
      </c>
      <c r="F1" s="41" t="s">
        <v>392</v>
      </c>
      <c r="G1" s="41" t="s">
        <v>393</v>
      </c>
      <c r="H1" s="41" t="s">
        <v>394</v>
      </c>
      <c r="I1" s="41" t="s">
        <v>395</v>
      </c>
      <c r="J1" s="41" t="s">
        <v>396</v>
      </c>
      <c r="K1" s="41" t="s">
        <v>397</v>
      </c>
      <c r="L1" s="41" t="s">
        <v>398</v>
      </c>
      <c r="M1" s="41" t="s">
        <v>399</v>
      </c>
      <c r="N1" s="41" t="s">
        <v>400</v>
      </c>
      <c r="O1" s="41" t="s">
        <v>401</v>
      </c>
      <c r="P1" s="41" t="s">
        <v>402</v>
      </c>
      <c r="Q1" s="41" t="s">
        <v>403</v>
      </c>
      <c r="R1" s="41" t="s">
        <v>404</v>
      </c>
      <c r="S1" s="41" t="s">
        <v>405</v>
      </c>
      <c r="T1" s="41" t="s">
        <v>406</v>
      </c>
      <c r="U1" s="41" t="s">
        <v>407</v>
      </c>
      <c r="V1" s="41" t="s">
        <v>408</v>
      </c>
      <c r="W1" s="41" t="s">
        <v>409</v>
      </c>
      <c r="X1" s="41" t="s">
        <v>410</v>
      </c>
      <c r="Y1" s="41" t="s">
        <v>411</v>
      </c>
      <c r="Z1" s="41" t="s">
        <v>412</v>
      </c>
      <c r="AA1" s="41" t="s">
        <v>413</v>
      </c>
      <c r="AB1" s="41" t="s">
        <v>414</v>
      </c>
      <c r="AC1" s="41" t="s">
        <v>415</v>
      </c>
      <c r="AD1" s="41" t="s">
        <v>416</v>
      </c>
      <c r="AE1" s="41" t="s">
        <v>417</v>
      </c>
      <c r="AF1" s="41" t="s">
        <v>418</v>
      </c>
      <c r="AG1" s="41" t="s">
        <v>419</v>
      </c>
      <c r="AH1" s="41" t="s">
        <v>420</v>
      </c>
      <c r="AI1" s="41" t="s">
        <v>421</v>
      </c>
      <c r="AJ1" s="41" t="s">
        <v>422</v>
      </c>
      <c r="AK1" s="41" t="s">
        <v>423</v>
      </c>
      <c r="AL1" s="41" t="s">
        <v>424</v>
      </c>
      <c r="AM1" s="41" t="s">
        <v>425</v>
      </c>
      <c r="AN1" s="41" t="s">
        <v>426</v>
      </c>
      <c r="AO1" s="41" t="s">
        <v>427</v>
      </c>
      <c r="AP1" s="41" t="s">
        <v>428</v>
      </c>
    </row>
    <row r="2" spans="1:42">
      <c r="A2" s="42">
        <v>255001</v>
      </c>
      <c r="B2" s="43" t="s">
        <v>331</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332</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429</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430</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2021-09-09T03:30:15Z</dcterms:modified>
</cp:coreProperties>
</file>