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5" l="1"/>
  <c r="E44" i="5"/>
  <c r="E56" i="5"/>
  <c r="E57" i="5"/>
  <c r="E59" i="5"/>
  <c r="E60" i="5"/>
  <c r="A11" i="1" l="1"/>
  <c r="A68" i="5" l="1"/>
  <c r="A3" i="6"/>
  <c r="J64" i="5" l="1"/>
  <c r="E64" i="5"/>
  <c r="J62" i="5"/>
  <c r="E62" i="5"/>
  <c r="J53" i="5"/>
  <c r="E53" i="5"/>
  <c r="J51" i="5"/>
  <c r="E51" i="5"/>
  <c r="J48" i="5"/>
  <c r="E48" i="5"/>
  <c r="J46" i="5"/>
  <c r="E46" i="5"/>
  <c r="J40" i="5"/>
  <c r="E40" i="5"/>
  <c r="J37" i="5"/>
  <c r="E37" i="5"/>
  <c r="J35" i="5"/>
  <c r="E35" i="5"/>
  <c r="D33" i="5"/>
  <c r="A14" i="6"/>
  <c r="G13" i="6"/>
  <c r="M12" i="6"/>
  <c r="C12" i="6"/>
  <c r="B65" i="5" l="1"/>
  <c r="F49" i="5"/>
  <c r="C52" i="5"/>
  <c r="G52" i="5" s="1"/>
  <c r="C63" i="5"/>
  <c r="G63" i="5" s="1"/>
  <c r="F36" i="5"/>
  <c r="F54" i="5"/>
  <c r="C65" i="5"/>
  <c r="G65" i="5" s="1"/>
  <c r="F65" i="5"/>
  <c r="F63" i="5"/>
  <c r="B63" i="5"/>
  <c r="B54" i="5"/>
  <c r="C54" i="5"/>
  <c r="G54" i="5" s="1"/>
  <c r="F52" i="5"/>
  <c r="B52" i="5"/>
  <c r="C49" i="5"/>
  <c r="G49" i="5" s="1"/>
  <c r="F38" i="5"/>
  <c r="F41" i="5"/>
  <c r="F47" i="5"/>
  <c r="B49" i="5"/>
  <c r="B47" i="5"/>
  <c r="C47" i="5"/>
  <c r="G47" i="5" s="1"/>
  <c r="C36" i="5"/>
  <c r="G36" i="5" s="1"/>
  <c r="B41" i="5"/>
  <c r="C41" i="5"/>
  <c r="G41" i="5" s="1"/>
  <c r="B38" i="5"/>
  <c r="C38" i="5"/>
  <c r="G38" i="5" s="1"/>
  <c r="B36"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3"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<sst xmlns="http://schemas.openxmlformats.org/spreadsheetml/2006/main" count="4606" uniqueCount="445">
  <si>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</si>
  <si>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</si>
  <si>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</si>
  <si>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</si>
  <si>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</si>
  <si>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</si>
  <si>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</si>
  <si>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</si>
  <si>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</si>
  <si>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</si>
  <si>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</si>
  <si>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</si>
  <si>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</si>
  <si>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</si>
  <si>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</si>
  <si>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</si>
  <si>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</si>
  <si>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</si>
  <si>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</si>
  <si>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</si>
  <si>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</si>
  <si>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</si>
  <si>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</si>
  <si>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</si>
  <si>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</si>
  <si>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</si>
  <si>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</si>
  <si>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</si>
  <si>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</si>
  <si>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</si>
  <si>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</si>
  <si>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</si>
  <si>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</si>
  <si>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</si>
  <si>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</si>
  <si>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</si>
  <si>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</si>
  <si>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</si>
  <si>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</si>
  <si>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</si>
  <si>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</si>
  <si>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</si>
  <si>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</si>
  <si>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</si>
  <si>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</si>
  <si>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</si>
  <si>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</si>
  <si>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</si>
  <si>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</si>
  <si>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</si>
  <si>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</si>
  <si>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</si>
  <si>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</si>
  <si>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</si>
  <si>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</si>
  <si>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</si>
  <si>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</si>
  <si>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</si>
  <si>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</si>
  <si>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</si>
  <si>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</si>
  <si>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</si>
  <si>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</si>
  <si>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</si>
  <si>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</si>
  <si>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</si>
  <si>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</si>
  <si>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</si>
  <si>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</si>
  <si>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</si>
  <si>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</si>
  <si>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</si>
  <si>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</si>
  <si>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</si>
  <si>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</si>
  <si>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</si>
  <si>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</si>
  <si>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</si>
  <si>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</si>
  <si>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</si>
  <si>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</si>
  <si>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</si>
  <si>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</si>
  <si>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</si>
  <si>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</si>
  <si>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</si>
  <si>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</si>
  <si>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</si>
  <si>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</si>
  <si>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</si>
  <si>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</si>
  <si>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</si>
  <si>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</si>
  <si>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</si>
  <si>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</si>
  <si>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</si>
  <si>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</si>
  <si>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</si>
  <si>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</si>
  <si>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</si>
  <si>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</si>
  <si>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</si>
  <si>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</si>
  <si>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</si>
  <si>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</si>
  <si>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</si>
  <si>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</si>
  <si>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</si>
  <si>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</si>
  <si>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</si>
  <si>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</si>
  <si>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</si>
  <si>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</si>
  <si>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</si>
  <si>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</si>
  <si>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</si>
  <si>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</si>
  <si>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</si>
  <si>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</si>
  <si>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</si>
  <si>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</si>
  <si>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</si>
  <si>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</si>
  <si>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</si>
  <si>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</si>
  <si>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</si>
  <si>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</si>
  <si>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</si>
  <si>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</si>
  <si>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</si>
  <si>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</si>
  <si>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</si>
  <si>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</si>
  <si>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</si>
  <si>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</si>
  <si>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</si>
  <si>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</si>
  <si>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</si>
  <si>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</si>
  <si>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</si>
  <si>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</si>
  <si>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</si>
  <si>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</si>
  <si>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</si>
  <si>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</si>
  <si>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</si>
  <si>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</si>
  <si>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</si>
  <si>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</si>
  <si>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</si>
  <si>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</si>
  <si>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</si>
  <si>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</si>
  <si>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</si>
  <si>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</si>
  <si>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</si>
  <si>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</si>
  <si>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</si>
  <si>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</si>
  <si>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</si>
  <si>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</si>
  <si>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</si>
  <si>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</si>
  <si>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</si>
  <si>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</si>
  <si>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</si>
  <si>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</si>
  <si>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</si>
  <si>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</si>
  <si>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</si>
  <si>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</si>
  <si>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</si>
  <si>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</si>
  <si>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</si>
  <si>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</si>
  <si>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</si>
  <si>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</si>
  <si>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</si>
  <si>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</si>
  <si>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</si>
  <si>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</si>
  <si>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</si>
  <si>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</si>
  <si>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</si>
  <si>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</si>
  <si>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</si>
  <si>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</si>
  <si>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</si>
  <si>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</si>
  <si>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</si>
  <si>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</si>
  <si>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</si>
  <si>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</si>
  <si>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</si>
  <si>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</si>
  <si>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</si>
  <si>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</si>
  <si>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</si>
  <si>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</si>
  <si>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</si>
  <si>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</si>
  <si>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</si>
  <si>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</si>
  <si>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</si>
  <si>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</si>
  <si>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</si>
  <si>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</si>
  <si>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</si>
  <si>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</si>
  <si>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</si>
  <si>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</si>
  <si>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</si>
  <si>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</si>
  <si>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</si>
  <si>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</si>
  <si>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</si>
  <si>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</si>
  <si>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</si>
  <si>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</si>
  <si>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</si>
  <si>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</si>
  <si>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</si>
  <si>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</si>
  <si>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</si>
  <si>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</si>
  <si>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</si>
  <si>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</si>
  <si>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</si>
  <si>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</si>
  <si>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</si>
  <si>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</si>
  <si>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</si>
  <si>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</si>
  <si>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</si>
  <si>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</si>
  <si>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</si>
  <si>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</si>
  <si>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</si>
  <si>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</si>
  <si>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</si>
  <si>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</si>
  <si>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</si>
  <si>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</si>
  <si>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</si>
  <si>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</si>
  <si>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</si>
  <si>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</si>
  <si>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</si>
  <si>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</si>
  <si>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</si>
  <si>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</si>
  <si>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</si>
  <si>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</si>
  <si>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</si>
  <si>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</si>
  <si>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</si>
  <si>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</si>
  <si>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</si>
  <si>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</si>
  <si>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</si>
  <si>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</si>
  <si>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</si>
  <si>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</si>
  <si>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</si>
  <si>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</si>
  <si>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</si>
  <si>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</si>
  <si>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</si>
  <si>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</si>
  <si>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</si>
  <si>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</si>
  <si>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</si>
  <si>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</si>
  <si>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</si>
  <si>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</si>
  <si>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</si>
  <si>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</si>
  <si>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</si>
  <si>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</si>
  <si>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</si>
  <si>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</si>
  <si>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</si>
  <si>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</si>
  <si>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</si>
  <si>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</si>
  <si>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</si>
  <si>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</si>
  <si>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</si>
  <si>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</si>
  <si>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</si>
  <si>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</si>
  <si>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</si>
  <si>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</si>
  <si>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</si>
  <si>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</si>
  <si>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</si>
  <si>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</si>
  <si>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</si>
  <si>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</si>
  <si>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</si>
  <si>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</si>
  <si>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</si>
  <si>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</si>
  <si>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</si>
  <si>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</si>
  <si>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</si>
  <si>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</si>
  <si>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</si>
  <si>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</si>
  <si>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</si>
  <si>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</si>
  <si>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</si>
  <si>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</si>
  <si>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</si>
  <si>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</si>
  <si>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</si>
  <si>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</si>
  <si>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</si>
  <si>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</si>
  <si>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</si>
  <si>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</si>
  <si>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</si>
  <si>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</si>
  <si>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</si>
  <si>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</si>
  <si>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</si>
  <si>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</si>
  <si>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</si>
  <si>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</si>
  <si>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</si>
  <si>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</si>
  <si>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</si>
  <si>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</si>
  <si>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</si>
  <si>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</si>
  <si>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</si>
  <si>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</si>
  <si>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</si>
  <si>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</si>
  <si>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</si>
  <si>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</si>
  <si>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</si>
  <si>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</si>
  <si>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</si>
  <si>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</si>
  <si>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</si>
  <si>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</si>
  <si>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</si>
  <si>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</si>
  <si>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</si>
  <si>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</si>
  <si>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</si>
  <si>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</si>
  <si>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</si>
  <si>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</si>
  <si>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</si>
  <si>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</si>
  <si>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</si>
  <si>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</si>
  <si>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</si>
  <si>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</si>
  <si>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</si>
  <si>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</si>
  <si>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</si>
  <si>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</si>
  <si>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</si>
  <si>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</si>
  <si>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</si>
  <si>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</si>
  <si>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</si>
  <si>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</si>
  <si>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</si>
  <si>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</si>
  <si>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</si>
  <si>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</si>
  <si>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</si>
  <si>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</si>
  <si>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</si>
  <si>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</si>
  <si>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</si>
  <si>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</si>
  <si>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</si>
  <si>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</si>
  <si>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</si>
  <si>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</si>
  <si>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</si>
  <si>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</si>
  <si>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</si>
  <si>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</si>
  <si>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</si>
  <si>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</si>
  <si>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</si>
  <si>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</si>
  <si>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</si>
  <si>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</si>
  <si>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</si>
  <si>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</si>
  <si>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</si>
  <si>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</si>
  <si>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</si>
  <si>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</si>
  <si>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</si>
  <si>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</si>
  <si>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</si>
  <si>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</si>
  <si>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</si>
  <si>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</si>
  <si>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</si>
  <si>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</si>
  <si>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</si>
  <si>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</si>
  <si>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</si>
  <si>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</si>
  <si>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</si>
  <si>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</si>
  <si>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</si>
  <si>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</si>
  <si>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</si>
  <si>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</si>
  <si>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</si>
  <si>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</si>
  <si>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</si>
  <si>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</si>
  <si>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</si>
  <si>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</si>
  <si>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</si>
  <si>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</si>
  <si>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</si>
  <si>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</si>
  <si>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</si>
  <si>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</si>
  <si>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</si>
  <si>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</si>
  <si>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</si>
  <si>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</si>
  <si>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</si>
  <si>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</si>
  <si>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承担教育督导教科研工作；协助组织开展对幼儿园班办园条件、安全卫生、保育教育、教职工队伍、内部管理等方面的督导工作；负责全区督学队伍培训、督导培训教材开发等工作；负责督导数据库的建立和管理。</t>
    <phoneticPr fontId="3" type="noConversion"/>
  </si>
  <si>
    <t>主要原因是：去年5月份单位才成立，人员经费和日常公用经费较上年支出月份增加，补发了全年一次性绩效工资，日常公用经费比上年增加。</t>
    <phoneticPr fontId="3" type="noConversion"/>
  </si>
  <si>
    <t>主要原因是根据财政统一安排2020年培训费调减50%</t>
    <phoneticPr fontId="3" type="noConversion"/>
  </si>
  <si>
    <t>主要原因是今年受疫情影响，有一段时间没有正常办公，导致今年部分支出比预算少受到影响。</t>
    <phoneticPr fontId="3" type="noConversion"/>
  </si>
  <si>
    <t>主要原因是7月份按照最新工资标准调整社保基数，因此养老保险金额有变动。</t>
    <phoneticPr fontId="3" type="noConversion"/>
  </si>
  <si>
    <t>主要原因是7月份按照最新工资标准调整社保基数，因此医疗保险金额有变动。</t>
    <phoneticPr fontId="3" type="noConversion"/>
  </si>
  <si>
    <t>主要原因是1月份按照最新工资标准调整公积金基数，因此住房公积金金额有变动。</t>
    <phoneticPr fontId="3" type="noConversion"/>
  </si>
  <si>
    <t xml:space="preserve">北京市西城区教育督导研修中心对2020年度部门项目支出实施绩效评价。本年度，我单位评价项目1个为督学办公支出项目，占项目总数的25%，涉及金额72565.96元，占项目预算总金额的61.69%。从支出进度来看，本年度我单位支出进度完成情况良好。
（一）绩效目标完成情况
1.做好督导室的保障服务工作。作为区教育督导室的业务直管单位，为督导室服务是中心的第一要务，要谋督导室所想，急督导室所需。
2.成为教育督导工作的主动参与者。关注西城区机构改革和职能变化，思考新形势下中心在教育督导工作中的作用，探索有效的工作内容和工作方式。
3.开展行之有效的督学培训活动。争取市督学研修中心等单位的支持帮助，建立督学书库、开展督学培训、开发培训课程体系、搭建研训信息化平台等。督学理论水平和业务能力得到提高；全区督导任务按期保质保量完成；取得阶段性经验成果。
4.坚持“实践—思考—提升—引领”的思路，努力开展教育督导科研工作。要在实践中寻找课题，通过研究，完善评价指标、改进评价方式、优化督导流程，改善督导效果，从而更好地服务于西城教育。
5.分类建立教育督导人才库，探索建立教育督导数据库，不断累积教育督导资源信息，为区域教育决策和发展提供有力支撑。
（二）原因分析
全部绩效项目依照预算申报方案执行，严格按照采购流程，加强项目实施管理，确保达到绩效目标。
四、预计社会效益实现情况
促进教育治理体系和治理能力现代化，同时为促进我区督学队伍建设的规范化、专业化、科学化，全面提高我区教育督导工作的质量和水平。
教育治理体系和治理能力现代化不断提高；督学队伍规范化、专业化、科学化建设水平不断提高；教育督导工作的质量和水平不断提高；人民群众对教育的获得感不断提高。
服务于督导室，服务于督学，服务于西城教育，促进西城教育优质均衡发展，为办好人民满意的教育尽责出力。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</si>
</sst>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3.5"/>
      <color theme="1"/>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7">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22" fillId="0" borderId="0" xfId="0" applyFont="1" applyAlignment="1">
      <alignment horizontal="left" vertical="top"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15" sqref="E15"/>
    </sheetView>
  </sheetViews>
  <sheetFormatPr defaultRowHeight="13.8"/>
  <cols>
    <col min="1" max="1" width="16.44140625" customWidth="1"/>
    <col min="2" max="2" width="12.77734375" bestFit="1" customWidth="1"/>
  </cols>
  <sheetData>
    <row r="1" spans="1:14" ht="37.950000000000003" customHeight="1">
      <c r="A1" s="25" t="s">
        <v>0</v>
      </c>
      <c r="B1" s="26">
        <v>255198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北京市西城区教育督导研修中心</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337</v>
      </c>
      <c r="B1" s="20" t="s">
        <v>266</v>
      </c>
      <c r="C1" s="34" t="s">
        <v>338</v>
      </c>
      <c r="D1" s="34" t="s">
        <v>339</v>
      </c>
      <c r="E1" s="35" t="s">
        <v>340</v>
      </c>
      <c r="F1" s="20" t="s">
        <v>341</v>
      </c>
      <c r="G1" s="20" t="s">
        <v>342</v>
      </c>
      <c r="H1" s="20" t="s">
        <v>343</v>
      </c>
    </row>
    <row r="2" spans="1:8">
      <c r="A2" s="22">
        <v>255001</v>
      </c>
      <c r="B2" s="23" t="s">
        <v>317</v>
      </c>
      <c r="C2" s="36" t="str">
        <f>LEFT(D2,3)</f>
        <v>205</v>
      </c>
      <c r="D2" s="36" t="str">
        <f>LEFT(E2,5)</f>
        <v>20502</v>
      </c>
      <c r="E2" s="36">
        <f>IF(ISNA(VLOOKUP(F2,'2020功能科目'!A:B,2,FALSE)),"",VLOOKUP(F2,'2020功能科目'!A:B,2,FALSE))</f>
        <v>2050201</v>
      </c>
      <c r="F2" s="23" t="s">
        <v>344</v>
      </c>
      <c r="G2" s="24">
        <v>91486047.549999997</v>
      </c>
      <c r="H2" s="24">
        <v>117849170.55</v>
      </c>
    </row>
    <row r="3" spans="1:8">
      <c r="A3" s="22">
        <v>255001</v>
      </c>
      <c r="B3" s="23" t="s">
        <v>317</v>
      </c>
      <c r="C3" s="36" t="str">
        <f t="shared" ref="C3:C66" si="0">LEFT(D3,3)</f>
        <v>205</v>
      </c>
      <c r="D3" s="36" t="str">
        <f t="shared" ref="D3:D66" si="1">LEFT(E3,5)</f>
        <v>20502</v>
      </c>
      <c r="E3" s="36">
        <f>IF(ISNA(VLOOKUP(F3,'2020功能科目'!A:B,2,FALSE)),"",VLOOKUP(F3,'2020功能科目'!A:B,2,FALSE))</f>
        <v>2050202</v>
      </c>
      <c r="F3" s="23" t="s">
        <v>345</v>
      </c>
      <c r="G3" s="24">
        <v>250000</v>
      </c>
      <c r="H3" s="24">
        <v>250000</v>
      </c>
    </row>
    <row r="4" spans="1:8">
      <c r="A4" s="22">
        <v>255001</v>
      </c>
      <c r="B4" s="23" t="s">
        <v>317</v>
      </c>
      <c r="C4" s="36" t="str">
        <f t="shared" si="0"/>
        <v>205</v>
      </c>
      <c r="D4" s="36" t="str">
        <f t="shared" si="1"/>
        <v>20502</v>
      </c>
      <c r="E4" s="36">
        <f>IF(ISNA(VLOOKUP(F4,'2020功能科目'!A:B,2,FALSE)),"",VLOOKUP(F4,'2020功能科目'!A:B,2,FALSE))</f>
        <v>2050204</v>
      </c>
      <c r="F4" s="23" t="s">
        <v>346</v>
      </c>
      <c r="G4" s="24">
        <v>1439000</v>
      </c>
      <c r="H4" s="24">
        <v>1439888.15</v>
      </c>
    </row>
    <row r="5" spans="1:8">
      <c r="A5" s="22">
        <v>255001</v>
      </c>
      <c r="B5" s="23" t="s">
        <v>317</v>
      </c>
      <c r="C5" s="36" t="str">
        <f t="shared" si="0"/>
        <v>205</v>
      </c>
      <c r="D5" s="36" t="str">
        <f t="shared" si="1"/>
        <v>20502</v>
      </c>
      <c r="E5" s="36">
        <f>IF(ISNA(VLOOKUP(F5,'2020功能科目'!A:B,2,FALSE)),"",VLOOKUP(F5,'2020功能科目'!A:B,2,FALSE))</f>
        <v>2050299</v>
      </c>
      <c r="F5" s="23" t="s">
        <v>347</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346</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347</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348</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349</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350</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351</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352</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353</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354</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355</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356</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357</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358</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359</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346</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347</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348</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349</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350</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351</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352</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353</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355</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356</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357</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358</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359</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346</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347</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348</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350</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351</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352</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353</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355</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356</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357</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358</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359</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346</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347</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348</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349</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350</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351</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352</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353</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355</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356</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357</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358</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359</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346</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348</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349</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350</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351</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352</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353</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355</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356</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357</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358</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359</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346</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349</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350</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351</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352</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353</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355</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356</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357</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358</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359</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346</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347</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348</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349</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350</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351</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352</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353</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354</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355</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356</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357</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358</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359</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346</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347</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348</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349</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350</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351</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352</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353</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355</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356</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357</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358</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359</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346</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347</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348</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349</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350</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351</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352</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353</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355</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356</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357</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358</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359</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346</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348</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349</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350</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351</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352</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353</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355</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356</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357</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358</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359</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346</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348</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349</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350</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351</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352</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353</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355</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356</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357</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358</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359</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346</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350</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351</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352</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353</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355</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356</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357</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358</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359</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346</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347</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348</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349</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350</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351</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352</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353</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355</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356</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357</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358</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359</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360</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347</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348</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349</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350</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351</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352</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353</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355</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356</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357</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358</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359</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346</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348</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349</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351</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352</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353</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355</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357</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358</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359</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346</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347</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348</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349</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350</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351</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352</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353</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355</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356</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357</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358</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359</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346</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347</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348</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349</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350</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351</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352</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353</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355</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356</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357</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358</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359</v>
      </c>
      <c r="G216" s="24">
        <v>4290503</v>
      </c>
      <c r="H216" s="24">
        <v>4304412</v>
      </c>
    </row>
    <row r="217" spans="1:8">
      <c r="A217" s="22">
        <v>255022</v>
      </c>
      <c r="B217" s="23" t="s">
        <v>318</v>
      </c>
      <c r="C217" s="36" t="str">
        <f t="shared" si="6"/>
        <v>205</v>
      </c>
      <c r="D217" s="36" t="str">
        <f t="shared" si="7"/>
        <v>20502</v>
      </c>
      <c r="E217" s="36">
        <f>IF(ISNA(VLOOKUP(F217,'2020功能科目'!A:B,2,FALSE)),"",VLOOKUP(F217,'2020功能科目'!A:B,2,FALSE))</f>
        <v>2050203</v>
      </c>
      <c r="F217" s="23" t="s">
        <v>360</v>
      </c>
      <c r="G217" s="24">
        <v>26873070.100000001</v>
      </c>
      <c r="H217" s="24">
        <v>22704196.510000002</v>
      </c>
    </row>
    <row r="218" spans="1:8">
      <c r="A218" s="22">
        <v>255022</v>
      </c>
      <c r="B218" s="23" t="s">
        <v>318</v>
      </c>
      <c r="C218" s="36" t="str">
        <f t="shared" si="6"/>
        <v>205</v>
      </c>
      <c r="D218" s="36" t="str">
        <f t="shared" si="7"/>
        <v>20502</v>
      </c>
      <c r="E218" s="36">
        <f>IF(ISNA(VLOOKUP(F218,'2020功能科目'!A:B,2,FALSE)),"",VLOOKUP(F218,'2020功能科目'!A:B,2,FALSE))</f>
        <v>2050204</v>
      </c>
      <c r="F218" s="23" t="s">
        <v>346</v>
      </c>
      <c r="G218" s="24">
        <v>46564</v>
      </c>
      <c r="H218" s="24">
        <v>51629</v>
      </c>
    </row>
    <row r="219" spans="1:8">
      <c r="A219" s="22">
        <v>255022</v>
      </c>
      <c r="B219" s="23" t="s">
        <v>318</v>
      </c>
      <c r="C219" s="36" t="str">
        <f t="shared" si="6"/>
        <v>205</v>
      </c>
      <c r="D219" s="36" t="str">
        <f t="shared" si="7"/>
        <v>20502</v>
      </c>
      <c r="E219" s="36">
        <f>IF(ISNA(VLOOKUP(F219,'2020功能科目'!A:B,2,FALSE)),"",VLOOKUP(F219,'2020功能科目'!A:B,2,FALSE))</f>
        <v>2050299</v>
      </c>
      <c r="F219" s="23" t="s">
        <v>347</v>
      </c>
      <c r="G219" s="24">
        <v>279.2</v>
      </c>
      <c r="H219" s="24">
        <v>0</v>
      </c>
    </row>
    <row r="220" spans="1:8">
      <c r="A220" s="22">
        <v>255022</v>
      </c>
      <c r="B220" s="23" t="s">
        <v>318</v>
      </c>
      <c r="C220" s="36" t="str">
        <f t="shared" si="6"/>
        <v>205</v>
      </c>
      <c r="D220" s="36" t="str">
        <f t="shared" si="7"/>
        <v>20508</v>
      </c>
      <c r="E220" s="36">
        <f>IF(ISNA(VLOOKUP(F220,'2020功能科目'!A:B,2,FALSE)),"",VLOOKUP(F220,'2020功能科目'!A:B,2,FALSE))</f>
        <v>2050803</v>
      </c>
      <c r="F220" s="23" t="s">
        <v>348</v>
      </c>
      <c r="G220" s="24">
        <v>36800</v>
      </c>
      <c r="H220" s="24">
        <v>73600</v>
      </c>
    </row>
    <row r="221" spans="1:8">
      <c r="A221" s="22">
        <v>255022</v>
      </c>
      <c r="B221" s="23" t="s">
        <v>318</v>
      </c>
      <c r="C221" s="36" t="str">
        <f t="shared" si="6"/>
        <v>205</v>
      </c>
      <c r="D221" s="36" t="str">
        <f t="shared" si="7"/>
        <v>20509</v>
      </c>
      <c r="E221" s="36">
        <f>IF(ISNA(VLOOKUP(F221,'2020功能科目'!A:B,2,FALSE)),"",VLOOKUP(F221,'2020功能科目'!A:B,2,FALSE))</f>
        <v>2050903</v>
      </c>
      <c r="F221" s="23" t="s">
        <v>349</v>
      </c>
      <c r="G221" s="24">
        <v>138743.4</v>
      </c>
      <c r="H221" s="24">
        <v>140000</v>
      </c>
    </row>
    <row r="222" spans="1:8">
      <c r="A222" s="22">
        <v>255022</v>
      </c>
      <c r="B222" s="23" t="s">
        <v>318</v>
      </c>
      <c r="C222" s="36" t="str">
        <f t="shared" si="6"/>
        <v>205</v>
      </c>
      <c r="D222" s="36" t="str">
        <f t="shared" si="7"/>
        <v>20509</v>
      </c>
      <c r="E222" s="36">
        <f>IF(ISNA(VLOOKUP(F222,'2020功能科目'!A:B,2,FALSE)),"",VLOOKUP(F222,'2020功能科目'!A:B,2,FALSE))</f>
        <v>2050904</v>
      </c>
      <c r="F222" s="23" t="s">
        <v>350</v>
      </c>
      <c r="G222" s="24">
        <v>1246675.0900000001</v>
      </c>
      <c r="H222" s="24">
        <v>1261160</v>
      </c>
    </row>
    <row r="223" spans="1:8">
      <c r="A223" s="22">
        <v>255022</v>
      </c>
      <c r="B223" s="23" t="s">
        <v>318</v>
      </c>
      <c r="C223" s="36" t="str">
        <f t="shared" si="6"/>
        <v>208</v>
      </c>
      <c r="D223" s="36" t="str">
        <f t="shared" si="7"/>
        <v>20805</v>
      </c>
      <c r="E223" s="36">
        <f>IF(ISNA(VLOOKUP(F223,'2020功能科目'!A:B,2,FALSE)),"",VLOOKUP(F223,'2020功能科目'!A:B,2,FALSE))</f>
        <v>2080502</v>
      </c>
      <c r="F223" s="23" t="s">
        <v>351</v>
      </c>
      <c r="G223" s="24">
        <v>2701675.56</v>
      </c>
      <c r="H223" s="24">
        <v>2070473.15</v>
      </c>
    </row>
    <row r="224" spans="1:8">
      <c r="A224" s="22">
        <v>255022</v>
      </c>
      <c r="B224" s="23" t="s">
        <v>318</v>
      </c>
      <c r="C224" s="36" t="str">
        <f t="shared" si="6"/>
        <v>208</v>
      </c>
      <c r="D224" s="36" t="str">
        <f t="shared" si="7"/>
        <v>20805</v>
      </c>
      <c r="E224" s="36">
        <f>IF(ISNA(VLOOKUP(F224,'2020功能科目'!A:B,2,FALSE)),"",VLOOKUP(F224,'2020功能科目'!A:B,2,FALSE))</f>
        <v>2080505</v>
      </c>
      <c r="F224" s="23" t="s">
        <v>352</v>
      </c>
      <c r="G224" s="24">
        <v>1964071.04</v>
      </c>
      <c r="H224" s="24">
        <v>2098399.36</v>
      </c>
    </row>
    <row r="225" spans="1:8">
      <c r="A225" s="22">
        <v>255022</v>
      </c>
      <c r="B225" s="23" t="s">
        <v>318</v>
      </c>
      <c r="C225" s="36" t="str">
        <f t="shared" si="6"/>
        <v>208</v>
      </c>
      <c r="D225" s="36" t="str">
        <f t="shared" si="7"/>
        <v>20805</v>
      </c>
      <c r="E225" s="36">
        <f>IF(ISNA(VLOOKUP(F225,'2020功能科目'!A:B,2,FALSE)),"",VLOOKUP(F225,'2020功能科目'!A:B,2,FALSE))</f>
        <v>2080506</v>
      </c>
      <c r="F225" s="23" t="s">
        <v>353</v>
      </c>
      <c r="G225" s="24">
        <v>982035.52</v>
      </c>
      <c r="H225" s="24">
        <v>1049199.68</v>
      </c>
    </row>
    <row r="226" spans="1:8">
      <c r="A226" s="22">
        <v>255022</v>
      </c>
      <c r="B226" s="23" t="s">
        <v>318</v>
      </c>
      <c r="C226" s="36" t="str">
        <f t="shared" si="6"/>
        <v>210</v>
      </c>
      <c r="D226" s="36" t="str">
        <f t="shared" si="7"/>
        <v>21011</v>
      </c>
      <c r="E226" s="36">
        <f>IF(ISNA(VLOOKUP(F226,'2020功能科目'!A:B,2,FALSE)),"",VLOOKUP(F226,'2020功能科目'!A:B,2,FALSE))</f>
        <v>2101102</v>
      </c>
      <c r="F226" s="23" t="s">
        <v>355</v>
      </c>
      <c r="G226" s="24">
        <v>2132507.06</v>
      </c>
      <c r="H226" s="24">
        <v>1704949.48</v>
      </c>
    </row>
    <row r="227" spans="1:8">
      <c r="A227" s="22">
        <v>255022</v>
      </c>
      <c r="B227" s="23" t="s">
        <v>318</v>
      </c>
      <c r="C227" s="36" t="str">
        <f t="shared" si="6"/>
        <v>210</v>
      </c>
      <c r="D227" s="36" t="str">
        <f t="shared" si="7"/>
        <v>21011</v>
      </c>
      <c r="E227" s="36">
        <f>IF(ISNA(VLOOKUP(F227,'2020功能科目'!A:B,2,FALSE)),"",VLOOKUP(F227,'2020功能科目'!A:B,2,FALSE))</f>
        <v>2101199</v>
      </c>
      <c r="F227" s="23" t="s">
        <v>356</v>
      </c>
      <c r="G227" s="24">
        <v>180000</v>
      </c>
      <c r="H227" s="24">
        <v>360000</v>
      </c>
    </row>
    <row r="228" spans="1:8">
      <c r="A228" s="22">
        <v>255022</v>
      </c>
      <c r="B228" s="23" t="s">
        <v>318</v>
      </c>
      <c r="C228" s="36" t="str">
        <f t="shared" si="6"/>
        <v>221</v>
      </c>
      <c r="D228" s="36" t="str">
        <f t="shared" si="7"/>
        <v>22102</v>
      </c>
      <c r="E228" s="36">
        <f>IF(ISNA(VLOOKUP(F228,'2020功能科目'!A:B,2,FALSE)),"",VLOOKUP(F228,'2020功能科目'!A:B,2,FALSE))</f>
        <v>2210201</v>
      </c>
      <c r="F228" s="23" t="s">
        <v>357</v>
      </c>
      <c r="G228" s="24">
        <v>2537027</v>
      </c>
      <c r="H228" s="24">
        <v>2125799.52</v>
      </c>
    </row>
    <row r="229" spans="1:8">
      <c r="A229" s="22">
        <v>255022</v>
      </c>
      <c r="B229" s="23" t="s">
        <v>318</v>
      </c>
      <c r="C229" s="36" t="str">
        <f t="shared" si="6"/>
        <v>221</v>
      </c>
      <c r="D229" s="36" t="str">
        <f t="shared" si="7"/>
        <v>22102</v>
      </c>
      <c r="E229" s="36">
        <f>IF(ISNA(VLOOKUP(F229,'2020功能科目'!A:B,2,FALSE)),"",VLOOKUP(F229,'2020功能科目'!A:B,2,FALSE))</f>
        <v>2210202</v>
      </c>
      <c r="F229" s="23" t="s">
        <v>358</v>
      </c>
      <c r="G229" s="24">
        <v>215560</v>
      </c>
      <c r="H229" s="24">
        <v>217920</v>
      </c>
    </row>
    <row r="230" spans="1:8">
      <c r="A230" s="22">
        <v>255022</v>
      </c>
      <c r="B230" s="23" t="s">
        <v>318</v>
      </c>
      <c r="C230" s="36" t="str">
        <f t="shared" si="6"/>
        <v>221</v>
      </c>
      <c r="D230" s="36" t="str">
        <f t="shared" si="7"/>
        <v>22102</v>
      </c>
      <c r="E230" s="36">
        <f>IF(ISNA(VLOOKUP(F230,'2020功能科目'!A:B,2,FALSE)),"",VLOOKUP(F230,'2020功能科目'!A:B,2,FALSE))</f>
        <v>2210203</v>
      </c>
      <c r="F230" s="23" t="s">
        <v>359</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346</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347</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348</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349</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350</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351</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352</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353</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355</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356</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357</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358</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359</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360</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347</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348</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349</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350</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351</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352</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353</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355</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356</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357</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358</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359</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360</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347</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348</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349</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350</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351</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352</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353</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355</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356</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357</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358</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359</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360</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346</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347</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348</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350</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351</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352</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353</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355</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356</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357</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358</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359</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360</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347</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348</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349</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350</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351</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352</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353</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355</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356</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357</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358</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359</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361</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362</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348</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363</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351</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352</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353</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354</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355</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356</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357</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358</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359</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347</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361</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348</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350</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363</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351</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352</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353</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355</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356</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357</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358</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359</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345</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346</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347</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348</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350</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351</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352</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353</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354</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355</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356</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357</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358</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359</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345</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347</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348</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350</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351</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352</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353</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355</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356</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357</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358</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359</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345</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347</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348</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350</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351</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352</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353</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355</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357</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358</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359</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345</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347</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348</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350</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351</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352</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353</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355</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357</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358</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359</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345</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347</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348</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350</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351</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352</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353</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355</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357</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358</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359</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345</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347</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348</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349</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350</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351</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352</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353</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355</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357</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358</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359</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345</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347</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348</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349</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350</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351</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352</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353</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355</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357</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358</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359</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345</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347</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348</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350</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351</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352</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353</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355</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357</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358</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359</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345</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347</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348</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349</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350</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351</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352</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353</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355</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357</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358</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359</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345</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347</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348</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349</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350</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351</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352</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353</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355</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356</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357</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358</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359</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345</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347</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348</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350</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351</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352</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353</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355</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357</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358</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359</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345</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347</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348</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349</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350</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351</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352</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353</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355</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356</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357</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358</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359</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345</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347</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348</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350</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351</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352</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353</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355</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357</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358</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359</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345</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347</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348</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349</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350</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351</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352</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353</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355</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356</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357</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358</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359</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345</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347</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348</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349</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350</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351</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352</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353</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355</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356</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357</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358</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359</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345</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347</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348</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349</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350</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351</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352</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353</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355</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357</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358</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359</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345</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347</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348</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349</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350</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351</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352</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353</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355</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356</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357</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358</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359</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345</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347</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348</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349</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350</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351</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352</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353</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355</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357</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358</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359</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345</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347</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348</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350</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351</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352</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353</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355</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357</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358</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359</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345</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347</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348</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349</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350</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351</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352</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353</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355</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357</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358</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359</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345</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347</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348</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349</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350</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351</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352</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353</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355</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356</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357</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358</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359</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345</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347</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348</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349</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350</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351</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352</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353</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355</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357</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358</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359</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345</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347</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348</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349</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350</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351</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352</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353</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355</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356</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357</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358</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359</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345</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347</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348</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349</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350</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351</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352</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353</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355</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357</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358</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359</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345</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347</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348</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349</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350</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364</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351</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352</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353</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354</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355</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357</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358</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359</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345</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347</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348</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350</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351</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352</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353</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355</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356</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357</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358</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359</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345</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347</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348</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349</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350</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351</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352</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353</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355</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356</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357</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358</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359</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345</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347</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348</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349</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350</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351</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352</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353</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355</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356</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357</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358</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359</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345</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347</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348</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350</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351</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352</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353</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355</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356</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357</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358</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359</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345</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347</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348</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349</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350</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351</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352</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353</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355</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356</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357</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358</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359</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345</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347</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348</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349</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350</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351</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352</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353</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355</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356</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357</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358</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359</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345</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347</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348</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350</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351</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352</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353</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355</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357</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358</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359</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345</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347</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348</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349</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350</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351</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352</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353</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355</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356</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357</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358</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359</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345</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347</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348</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349</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350</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351</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352</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353</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355</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356</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357</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358</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359</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344</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348</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364</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351</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352</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353</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355</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356</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357</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358</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359</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344</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348</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364</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351</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352</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353</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355</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356</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357</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358</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359</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344</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348</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364</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351</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352</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353</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355</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356</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357</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358</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359</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344</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348</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364</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351</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352</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353</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355</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357</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358</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359</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344</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348</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364</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351</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352</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353</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355</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357</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358</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359</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344</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348</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364</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351</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352</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353</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355</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356</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357</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358</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359</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344</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348</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364</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351</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352</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353</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355</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357</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358</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359</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344</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348</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364</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351</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352</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353</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355</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357</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358</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359</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351</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358</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344</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346</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347</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365</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348</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349</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350</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351</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352</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353</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355</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357</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358</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359</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344</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347</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365</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366</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348</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349</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350</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351</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352</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353</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355</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357</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358</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359</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347</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367</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348</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350</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351</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352</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353</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354</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355</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357</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358</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359</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347</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348</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364</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351</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352</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353</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355</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356</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357</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358</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359</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347</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348</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364</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368</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351</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352</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353</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355</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356</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357</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358</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359</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347</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348</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364</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351</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352</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353</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355</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357</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358</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359</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347</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348</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364</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351</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352</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353</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355</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357</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358</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359</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347</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348</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364</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351</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352</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353</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355</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357</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358</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359</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347</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348</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364</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351</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352</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353</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355</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357</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358</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359</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347</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348</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364</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351</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352</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353</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355</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357</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358</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359</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347</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369</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348</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364</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351</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352</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353</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355</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356</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357</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358</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359</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347</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348</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364</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351</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352</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353</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355</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357</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358</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359</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347</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348</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364</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351</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352</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353</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354</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355</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357</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358</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359</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347</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369</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348</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364</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351</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352</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353</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355</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357</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358</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359</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347</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348</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364</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351</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352</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353</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355</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357</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358</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359</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347</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348</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351</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352</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353</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355</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357</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358</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359</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347</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348</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352</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353</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355</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357</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358</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359</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347</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348</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364</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351</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352</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353</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355</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357</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358</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359</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347</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364</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351</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352</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353</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355</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357</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358</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359</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344</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348</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364</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351</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352</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353</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355</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357</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358</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359</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345</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347</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348</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349</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350</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351</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352</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353</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355</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357</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358</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359</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347</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348</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351</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352</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353</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355</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357</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358</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359</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346</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347</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348</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349</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350</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351</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352</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353</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355</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356</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357</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358</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359</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346</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347</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348</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349</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350</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351</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352</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353</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355</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356</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357</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358</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359</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346</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347</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348</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350</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351</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352</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353</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355</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356</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357</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358</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359</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346</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348</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349</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350</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351</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352</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353</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355</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356</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357</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358</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359</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346</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347</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348</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349</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350</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351</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352</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353</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355</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356</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357</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358</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359</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347</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361</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362</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348</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363</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351</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352</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353</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355</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356</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370</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357</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358</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359</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346</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348</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351</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352</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353</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355</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356</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357</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358</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359</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346</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347</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348</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349</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350</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351</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352</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353</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355</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356</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357</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358</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359</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346</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347</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348</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350</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351</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352</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353</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355</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356</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357</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358</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359</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346</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347</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348</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349</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350</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351</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352</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353</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355</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356</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357</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358</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359</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345</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347</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348</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349</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350</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351</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352</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353</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355</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356</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357</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358</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359</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345</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347</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348</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349</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350</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351</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352</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353</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355</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356</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357</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358</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359</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345</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347</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348</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349</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350</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351</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352</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353</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355</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357</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358</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359</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345</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347</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348</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349</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350</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351</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352</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353</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355</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356</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357</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358</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359</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345</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347</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348</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349</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350</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351</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352</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353</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354</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355</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356</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357</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358</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359</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345</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347</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348</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349</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350</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351</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352</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353</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355</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357</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358</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359</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345</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347</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348</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350</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351</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352</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353</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355</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357</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358</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359</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345</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347</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348</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349</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350</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351</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352</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353</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355</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357</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358</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359</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345</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347</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348</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350</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351</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352</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353</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355</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356</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357</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358</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359</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345</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347</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348</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349</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350</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351</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352</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353</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355</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356</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357</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358</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359</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345</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348</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350</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351</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352</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353</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355</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356</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357</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358</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359</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345</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347</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348</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349</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350</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351</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352</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353</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354</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355</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357</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358</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359</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345</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347</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348</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349</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350</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351</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352</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353</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355</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356</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357</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358</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359</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345</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347</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348</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349</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350</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351</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352</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353</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355</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357</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358</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359</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345</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347</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348</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349</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350</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351</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352</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353</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355</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356</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357</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358</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359</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345</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347</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348</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349</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350</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351</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352</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353</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355</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357</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358</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359</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345</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348</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349</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350</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351</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352</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353</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355</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356</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357</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358</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359</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345</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347</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348</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349</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350</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351</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352</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353</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355</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357</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358</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359</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345</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348</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349</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350</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351</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352</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353</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355</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357</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358</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359</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345</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347</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348</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350</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351</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352</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353</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355</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357</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358</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359</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345</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347</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348</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349</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350</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351</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352</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353</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355</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357</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358</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359</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345</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347</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348</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349</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350</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351</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352</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353</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355</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357</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358</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359</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344</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348</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364</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351</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352</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353</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355</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357</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358</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359</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344</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348</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364</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351</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352</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353</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355</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356</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357</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358</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359</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344</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348</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364</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351</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352</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353</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355</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356</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357</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358</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359</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344</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348</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351</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352</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353</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355</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357</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358</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359</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344</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348</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364</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351</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352</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353</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355</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357</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358</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359</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344</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348</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364</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351</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352</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353</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355</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357</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358</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359</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344</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348</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364</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351</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352</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353</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355</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357</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358</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359</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344</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348</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351</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352</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353</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355</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357</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358</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359</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344</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348</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364</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351</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352</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353</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355</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357</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358</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359</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344</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348</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364</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351</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352</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353</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355</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356</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357</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358</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359</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344</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348</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364</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351</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352</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353</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355</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357</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358</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359</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344</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348</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364</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351</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352</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353</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355</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357</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358</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359</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344</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348</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364</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351</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352</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353</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355</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357</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358</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359</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371</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348</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364</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351</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352</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353</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355</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356</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357</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358</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359</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372</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348</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364</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351</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352</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353</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355</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357</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358</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359</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347</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369</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348</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364</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351</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352</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353</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355</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356</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357</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358</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359</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347</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348</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364</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351</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352</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353</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355</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356</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357</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358</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359</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347</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348</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364</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368</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351</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352</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353</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355</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357</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358</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359</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347</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348</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364</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351</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352</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353</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355</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357</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358</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359</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347</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348</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351</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352</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353</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354</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355</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357</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358</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359</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344</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345</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360</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346</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347</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348</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349</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364</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351</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352</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353</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354</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355</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356</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373</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357</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358</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359</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347</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361</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362</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348</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363</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351</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352</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353</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355</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356</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357</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358</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359</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346</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347</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348</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349</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350</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351</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352</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353</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355</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356</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357</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358</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359</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346</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347</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348</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349</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350</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351</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352</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353</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355</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357</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358</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359</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347</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348</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364</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351</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352</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353</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355</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357</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358</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359</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344</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348</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364</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352</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353</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355</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357</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358</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359</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344</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348</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364</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352</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353</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355</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357</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358</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359</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345</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347</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348</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349</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350</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352</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353</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355</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357</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358</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359</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344</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348</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364</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351</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352</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353</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355</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357</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358</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359</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344</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348</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364</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352</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353</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355</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357</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358</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359</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344</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348</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364</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352</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353</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355</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357</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358</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359</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344</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348</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364</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352</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353</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355</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357</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358</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359</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344</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348</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364</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352</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353</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355</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357</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358</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359</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347</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348</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352</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353</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355</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357</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358</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359</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347</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352</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353</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355</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357</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347</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348</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364</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352</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353</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355</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357</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358</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359</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345</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348</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350</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352</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353</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355</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357</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358</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359</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344</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345</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360</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346</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347</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361</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362</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371</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372</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365</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367</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366</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369</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348</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349</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350</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363</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364</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368</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351</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352</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353</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354</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355</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356</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373</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370</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357</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358</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359</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417</v>
      </c>
      <c r="B1" s="49" t="s">
        <v>418</v>
      </c>
    </row>
    <row r="2" spans="1:2">
      <c r="A2" s="51" t="s">
        <v>419</v>
      </c>
      <c r="B2" s="49">
        <v>2050101</v>
      </c>
    </row>
    <row r="3" spans="1:2">
      <c r="A3" s="51" t="s">
        <v>420</v>
      </c>
      <c r="B3" s="49">
        <v>2050102</v>
      </c>
    </row>
    <row r="4" spans="1:2">
      <c r="A4" s="51" t="s">
        <v>344</v>
      </c>
      <c r="B4" s="49">
        <v>2050201</v>
      </c>
    </row>
    <row r="5" spans="1:2">
      <c r="A5" s="51" t="s">
        <v>345</v>
      </c>
      <c r="B5" s="49">
        <v>2050202</v>
      </c>
    </row>
    <row r="6" spans="1:2">
      <c r="A6" s="51" t="s">
        <v>360</v>
      </c>
      <c r="B6" s="49">
        <v>2050203</v>
      </c>
    </row>
    <row r="7" spans="1:2">
      <c r="A7" s="51" t="s">
        <v>346</v>
      </c>
      <c r="B7" s="49">
        <v>2050204</v>
      </c>
    </row>
    <row r="8" spans="1:2">
      <c r="A8" s="51" t="s">
        <v>347</v>
      </c>
      <c r="B8" s="49">
        <v>2050299</v>
      </c>
    </row>
    <row r="9" spans="1:2">
      <c r="A9" s="51" t="s">
        <v>361</v>
      </c>
      <c r="B9" s="49">
        <v>2050302</v>
      </c>
    </row>
    <row r="10" spans="1:2">
      <c r="A10" s="51" t="s">
        <v>421</v>
      </c>
      <c r="B10" s="49">
        <v>2050304</v>
      </c>
    </row>
    <row r="11" spans="1:2">
      <c r="A11" s="51" t="s">
        <v>362</v>
      </c>
      <c r="B11" s="49">
        <v>2050399</v>
      </c>
    </row>
    <row r="12" spans="1:2">
      <c r="A12" s="51" t="s">
        <v>371</v>
      </c>
      <c r="B12" s="49">
        <v>2050403</v>
      </c>
    </row>
    <row r="13" spans="1:2">
      <c r="A13" s="51" t="s">
        <v>372</v>
      </c>
      <c r="B13" s="49">
        <v>2050404</v>
      </c>
    </row>
    <row r="14" spans="1:2">
      <c r="A14" s="51" t="s">
        <v>365</v>
      </c>
      <c r="B14" s="49">
        <v>2050701</v>
      </c>
    </row>
    <row r="15" spans="1:2">
      <c r="A15" s="51" t="s">
        <v>367</v>
      </c>
      <c r="B15" s="49">
        <v>2050702</v>
      </c>
    </row>
    <row r="16" spans="1:2">
      <c r="A16" s="51" t="s">
        <v>366</v>
      </c>
      <c r="B16" s="49">
        <v>2050799</v>
      </c>
    </row>
    <row r="17" spans="1:2">
      <c r="A17" s="51" t="s">
        <v>369</v>
      </c>
      <c r="B17" s="49">
        <v>2050801</v>
      </c>
    </row>
    <row r="18" spans="1:2">
      <c r="A18" s="51" t="s">
        <v>348</v>
      </c>
      <c r="B18" s="49">
        <v>2050803</v>
      </c>
    </row>
    <row r="19" spans="1:2">
      <c r="A19" s="51" t="s">
        <v>349</v>
      </c>
      <c r="B19" s="49">
        <v>2050903</v>
      </c>
    </row>
    <row r="20" spans="1:2">
      <c r="A20" s="51" t="s">
        <v>350</v>
      </c>
      <c r="B20" s="49">
        <v>2050904</v>
      </c>
    </row>
    <row r="21" spans="1:2">
      <c r="A21" s="51" t="s">
        <v>363</v>
      </c>
      <c r="B21" s="49">
        <v>2050905</v>
      </c>
    </row>
    <row r="22" spans="1:2">
      <c r="A22" s="51" t="s">
        <v>364</v>
      </c>
      <c r="B22" s="49">
        <v>2050999</v>
      </c>
    </row>
    <row r="23" spans="1:2">
      <c r="A23" s="51" t="s">
        <v>368</v>
      </c>
      <c r="B23" s="49">
        <v>2060702</v>
      </c>
    </row>
    <row r="24" spans="1:2">
      <c r="A24" s="51" t="s">
        <v>422</v>
      </c>
      <c r="B24" s="49">
        <v>2080501</v>
      </c>
    </row>
    <row r="25" spans="1:2">
      <c r="A25" s="51" t="s">
        <v>351</v>
      </c>
      <c r="B25" s="49">
        <v>2080502</v>
      </c>
    </row>
    <row r="26" spans="1:2">
      <c r="A26" s="51" t="s">
        <v>352</v>
      </c>
      <c r="B26" s="49">
        <v>2080505</v>
      </c>
    </row>
    <row r="27" spans="1:2">
      <c r="A27" s="51" t="s">
        <v>353</v>
      </c>
      <c r="B27" s="49">
        <v>2080506</v>
      </c>
    </row>
    <row r="28" spans="1:2">
      <c r="A28" s="51" t="s">
        <v>354</v>
      </c>
      <c r="B28" s="49">
        <v>2080801</v>
      </c>
    </row>
    <row r="29" spans="1:2">
      <c r="A29" s="51" t="s">
        <v>423</v>
      </c>
      <c r="B29" s="49">
        <v>2101101</v>
      </c>
    </row>
    <row r="30" spans="1:2">
      <c r="A30" s="51" t="s">
        <v>355</v>
      </c>
      <c r="B30" s="49">
        <v>2101102</v>
      </c>
    </row>
    <row r="31" spans="1:2">
      <c r="A31" s="51" t="s">
        <v>356</v>
      </c>
      <c r="B31" s="49">
        <v>2101199</v>
      </c>
    </row>
    <row r="32" spans="1:2">
      <c r="A32" s="51" t="s">
        <v>373</v>
      </c>
      <c r="B32" s="49">
        <v>2120399</v>
      </c>
    </row>
    <row r="33" spans="1:2">
      <c r="A33" s="51" t="s">
        <v>357</v>
      </c>
      <c r="B33" s="49">
        <v>2210201</v>
      </c>
    </row>
    <row r="34" spans="1:2">
      <c r="A34" s="51" t="s">
        <v>358</v>
      </c>
      <c r="B34" s="49">
        <v>2210202</v>
      </c>
    </row>
    <row r="35" spans="1:2">
      <c r="A35" s="51" t="s">
        <v>359</v>
      </c>
      <c r="B35" s="49">
        <v>2210203</v>
      </c>
    </row>
    <row r="36" spans="1:2">
      <c r="A36" s="51" t="s">
        <v>424</v>
      </c>
      <c r="B36" s="49">
        <v>2296003</v>
      </c>
    </row>
    <row r="37" spans="1:2">
      <c r="A37" s="51" t="s">
        <v>425</v>
      </c>
      <c r="B37" s="49">
        <v>2340201</v>
      </c>
    </row>
    <row r="38" spans="1:2">
      <c r="A38" s="51" t="s">
        <v>370</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I21" sqref="I21"/>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429</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zoomScaleNormal="100" workbookViewId="0">
      <selection activeCell="A69" sqref="A69:XFD7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46.5" customHeight="1">
      <c r="A4" s="57" t="s">
        <v>437</v>
      </c>
      <c r="B4" s="57"/>
      <c r="C4" s="57"/>
      <c r="D4" s="57"/>
      <c r="E4" s="57"/>
      <c r="F4" s="57"/>
      <c r="G4" s="57"/>
      <c r="H4" s="57"/>
      <c r="I4" s="57"/>
      <c r="J4" s="57"/>
      <c r="K4" s="57"/>
      <c r="L4" s="57"/>
      <c r="M4" s="57"/>
      <c r="N4" s="17"/>
    </row>
    <row r="5" spans="1:14" ht="18" customHeight="1">
      <c r="A5" s="7" t="s">
        <v>183</v>
      </c>
    </row>
    <row r="6" spans="1:14" ht="18" customHeight="1">
      <c r="A6" s="63" t="s">
        <v>260</v>
      </c>
      <c r="B6" s="63"/>
      <c r="C6" s="10">
        <v>21</v>
      </c>
      <c r="D6" s="10" t="s">
        <v>262</v>
      </c>
      <c r="E6" s="8">
        <f>_xlfn.IFNA(VLOOKUP(封面!B1,'2020决算导出'!A:C,3,FALSE),"")</f>
        <v>6</v>
      </c>
      <c r="F6" s="10" t="s">
        <v>263</v>
      </c>
      <c r="G6" s="10"/>
      <c r="H6" s="10"/>
      <c r="I6" s="10"/>
      <c r="J6" s="10"/>
      <c r="K6" s="10"/>
      <c r="L6" s="10"/>
      <c r="M6" s="10"/>
      <c r="N6" s="10"/>
    </row>
    <row r="7" spans="1:14" ht="18" customHeight="1">
      <c r="A7" s="6" t="s">
        <v>184</v>
      </c>
    </row>
    <row r="8" spans="1:14" ht="18" customHeight="1">
      <c r="A8" s="63" t="s">
        <v>185</v>
      </c>
      <c r="B8" s="63"/>
      <c r="C8" s="63"/>
      <c r="D8" s="13">
        <f>_xlfn.IFNA(VLOOKUP(封面!B1,'2020决算导出'!A:D,4,FALSE),"")</f>
        <v>2835175.33</v>
      </c>
      <c r="E8" s="7" t="s">
        <v>187</v>
      </c>
      <c r="F8" s="18" t="s">
        <v>264</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1213796.07</v>
      </c>
      <c r="I8" s="15" t="s">
        <v>187</v>
      </c>
      <c r="J8" s="28" t="str">
        <f>IF(ISNA(VLOOKUP(封面!B1,'2019决算导出'!A:C,3,FALSE)),"",IF(D8-VLOOKUP(封面!B1,'2019决算导出'!A:C,3,FALSE)&gt;0,"增长","下降"))</f>
        <v>增长</v>
      </c>
      <c r="K8" s="29">
        <f>IF(ISNA(VLOOKUP(封面!B1,'2019决算导出'!A:C,3,FALSE)),"",H8/VLOOKUP(封面!B1,'2019决算导出'!A:C,3,FALSE))</f>
        <v>0.74861946241991528</v>
      </c>
      <c r="L8" s="7" t="s">
        <v>328</v>
      </c>
    </row>
    <row r="9" spans="1:14" ht="18" customHeight="1">
      <c r="A9" s="7" t="s">
        <v>188</v>
      </c>
      <c r="G9" s="30"/>
      <c r="H9" s="30"/>
      <c r="I9" s="30"/>
      <c r="J9" s="30"/>
      <c r="K9" s="30"/>
    </row>
    <row r="10" spans="1:14" ht="18" customHeight="1">
      <c r="A10" s="63" t="s">
        <v>189</v>
      </c>
      <c r="B10" s="63"/>
      <c r="C10" s="63"/>
      <c r="D10" s="13">
        <f>_xlfn.IFNA(VLOOKUP(封面!B1,'2020决算导出'!A:E,5,FALSE),"")</f>
        <v>2835175.33</v>
      </c>
      <c r="E10" s="7" t="s">
        <v>187</v>
      </c>
      <c r="F10" s="18" t="s">
        <v>264</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1213796.07</v>
      </c>
      <c r="I10" s="15" t="s">
        <v>187</v>
      </c>
      <c r="J10" s="28" t="str">
        <f>IF(ISNA(VLOOKUP(封面!B1,'2019决算导出'!A:D,4,FALSE)),"",IF(D10-VLOOKUP(封面!B1,'2019决算导出'!A:D,4,FALSE)&gt;0,"增长","下降"))</f>
        <v>增长</v>
      </c>
      <c r="K10" s="29">
        <f>IF(ISNA(VLOOKUP(封面!B1,'2019决算导出'!A:D,4,FALSE)),"",H10/VLOOKUP(封面!B1,'2019决算导出'!A:D,4,FALSE))</f>
        <v>0.74861946241991528</v>
      </c>
      <c r="L10" s="7" t="s">
        <v>329</v>
      </c>
    </row>
    <row r="11" spans="1:14" ht="18" customHeight="1">
      <c r="A11" s="63" t="s">
        <v>190</v>
      </c>
      <c r="B11" s="63"/>
      <c r="C11" s="63"/>
      <c r="D11" s="13">
        <f>_xlfn.IFNA(VLOOKUP(封面!B1,'2020决算导出'!A:F,6,FALSE),"")</f>
        <v>2835175.33</v>
      </c>
      <c r="E11" s="7" t="s">
        <v>187</v>
      </c>
      <c r="F11" s="63" t="s">
        <v>191</v>
      </c>
      <c r="G11" s="63"/>
      <c r="H11" s="27">
        <f>D11/$D$10</f>
        <v>1</v>
      </c>
      <c r="I11" s="7" t="s">
        <v>330</v>
      </c>
    </row>
    <row r="12" spans="1:14" ht="18" customHeight="1">
      <c r="A12" s="63" t="s">
        <v>192</v>
      </c>
      <c r="B12" s="63"/>
      <c r="C12" s="63"/>
      <c r="D12" s="13">
        <f>_xlfn.IFNA(VLOOKUP(封面!B1,'2020决算导出'!A:G,7,FALSE),"")</f>
        <v>0</v>
      </c>
      <c r="E12" s="7" t="s">
        <v>187</v>
      </c>
      <c r="F12" s="63" t="s">
        <v>191</v>
      </c>
      <c r="G12" s="63"/>
      <c r="H12" s="27">
        <f t="shared" ref="H12:H15" si="0">D12/$D$10</f>
        <v>0</v>
      </c>
      <c r="I12" s="7" t="s">
        <v>330</v>
      </c>
    </row>
    <row r="13" spans="1:14" ht="18" customHeight="1">
      <c r="A13" s="63" t="s">
        <v>193</v>
      </c>
      <c r="B13" s="63"/>
      <c r="C13" s="63"/>
      <c r="D13" s="13">
        <f>_xlfn.IFNA(VLOOKUP(封面!B1,'2020决算导出'!A:H,8,FALSE),"")</f>
        <v>0</v>
      </c>
      <c r="E13" s="7" t="s">
        <v>187</v>
      </c>
      <c r="F13" s="63" t="s">
        <v>191</v>
      </c>
      <c r="G13" s="63"/>
      <c r="H13" s="27">
        <f t="shared" si="0"/>
        <v>0</v>
      </c>
      <c r="I13" s="7" t="s">
        <v>330</v>
      </c>
    </row>
    <row r="14" spans="1:14" ht="18" customHeight="1">
      <c r="A14" s="63" t="s">
        <v>194</v>
      </c>
      <c r="B14" s="63"/>
      <c r="C14" s="63"/>
      <c r="D14" s="13">
        <f>_xlfn.IFNA(VLOOKUP(封面!B1,'2020决算导出'!A:I,9,FALSE),"")</f>
        <v>0</v>
      </c>
      <c r="E14" s="7" t="s">
        <v>187</v>
      </c>
      <c r="F14" s="63" t="s">
        <v>191</v>
      </c>
      <c r="G14" s="63"/>
      <c r="H14" s="27">
        <f t="shared" si="0"/>
        <v>0</v>
      </c>
      <c r="I14" s="7" t="s">
        <v>330</v>
      </c>
    </row>
    <row r="15" spans="1:14" ht="18" customHeight="1">
      <c r="A15" s="63" t="s">
        <v>195</v>
      </c>
      <c r="B15" s="63"/>
      <c r="C15" s="63"/>
      <c r="D15" s="13">
        <f>_xlfn.IFNA(VLOOKUP(封面!B1,'2020决算导出'!A:J,10,FALSE),"")</f>
        <v>0</v>
      </c>
      <c r="E15" s="7" t="s">
        <v>187</v>
      </c>
      <c r="F15" s="63" t="s">
        <v>191</v>
      </c>
      <c r="G15" s="63"/>
      <c r="H15" s="27">
        <f t="shared" si="0"/>
        <v>0</v>
      </c>
      <c r="I15" s="7" t="s">
        <v>331</v>
      </c>
    </row>
    <row r="16" spans="1:14" ht="18" customHeight="1">
      <c r="A16" s="7" t="s">
        <v>196</v>
      </c>
    </row>
    <row r="17" spans="1:13" ht="18" customHeight="1">
      <c r="A17" s="63" t="s">
        <v>197</v>
      </c>
      <c r="B17" s="63"/>
      <c r="C17" s="63"/>
      <c r="D17" s="13">
        <f>_xlfn.IFNA(VLOOKUP(封面!B1,'2020决算导出'!A:K,11,FALSE),"")</f>
        <v>2835175.33</v>
      </c>
      <c r="E17" s="7" t="s">
        <v>187</v>
      </c>
      <c r="F17" s="18" t="s">
        <v>264</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1213796.07</v>
      </c>
      <c r="I17" s="7" t="s">
        <v>187</v>
      </c>
      <c r="J17" s="28" t="str">
        <f>IF(ISNA(VLOOKUP(封面!B1,'2019决算导出'!A:E,5,FALSE)),"",IF(D17-VLOOKUP(封面!B1,'2019决算导出'!A:E,5,FALSE)&gt;0,"增长","下降"))</f>
        <v>增长</v>
      </c>
      <c r="K17" s="29">
        <f>IF(ISNA(VLOOKUP(封面!B1,'2019决算导出'!A:E,5,FALSE)),"",H17/VLOOKUP(封面!B1,'2019决算导出'!A:E,5,FALSE))</f>
        <v>0.74861946241991528</v>
      </c>
      <c r="L17" s="7" t="s">
        <v>332</v>
      </c>
    </row>
    <row r="18" spans="1:13" ht="18" customHeight="1">
      <c r="A18" s="63" t="s">
        <v>198</v>
      </c>
      <c r="B18" s="63"/>
      <c r="C18" s="63"/>
      <c r="D18" s="13">
        <f>_xlfn.IFNA(VLOOKUP(封面!B1,'2020决算导出'!A:L,12,FALSE),"")</f>
        <v>2717542.77</v>
      </c>
      <c r="E18" s="7" t="s">
        <v>187</v>
      </c>
      <c r="F18" s="63" t="s">
        <v>199</v>
      </c>
      <c r="G18" s="63"/>
      <c r="H18" s="27">
        <f>D18/$D$17</f>
        <v>0.9585095994751055</v>
      </c>
      <c r="I18" s="7" t="s">
        <v>330</v>
      </c>
    </row>
    <row r="19" spans="1:13" ht="18" customHeight="1">
      <c r="A19" s="63" t="s">
        <v>200</v>
      </c>
      <c r="B19" s="63"/>
      <c r="C19" s="63"/>
      <c r="D19" s="13">
        <f>_xlfn.IFNA(VLOOKUP(封面!B1,'2020决算导出'!A:M,13,FALSE),"")</f>
        <v>117632.56</v>
      </c>
      <c r="E19" s="7" t="s">
        <v>187</v>
      </c>
      <c r="F19" s="63" t="s">
        <v>199</v>
      </c>
      <c r="G19" s="63"/>
      <c r="H19" s="27">
        <f t="shared" ref="H19:H20" si="1">D19/$D$17</f>
        <v>4.149040052489452E-2</v>
      </c>
      <c r="I19" s="7" t="s">
        <v>330</v>
      </c>
    </row>
    <row r="20" spans="1:13" ht="18" customHeight="1">
      <c r="A20" s="63" t="s">
        <v>201</v>
      </c>
      <c r="B20" s="63"/>
      <c r="C20" s="63"/>
      <c r="D20" s="13">
        <f>_xlfn.IFNA(VLOOKUP(封面!B1,'2020决算导出'!A:N,14,FALSE),"")</f>
        <v>0</v>
      </c>
      <c r="E20" s="7" t="s">
        <v>187</v>
      </c>
      <c r="F20" s="63" t="s">
        <v>199</v>
      </c>
      <c r="G20" s="63"/>
      <c r="H20" s="27">
        <f t="shared" si="1"/>
        <v>0</v>
      </c>
      <c r="I20" s="7" t="s">
        <v>331</v>
      </c>
    </row>
    <row r="21" spans="1:13" ht="18" customHeight="1">
      <c r="A21" s="6" t="s">
        <v>202</v>
      </c>
    </row>
    <row r="22" spans="1:13" ht="18" customHeight="1">
      <c r="A22" s="63" t="s">
        <v>203</v>
      </c>
      <c r="B22" s="63"/>
      <c r="C22" s="63"/>
      <c r="D22" s="63"/>
      <c r="E22" s="58">
        <f>_xlfn.IFNA(VLOOKUP(封面!B1,'2020决算导出'!A:O,15,FALSE),"")</f>
        <v>2835175.33</v>
      </c>
      <c r="F22" s="58"/>
      <c r="G22" s="14" t="s">
        <v>264</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1213796.07</v>
      </c>
      <c r="J22" s="7" t="s">
        <v>187</v>
      </c>
      <c r="K22" s="28" t="str">
        <f>IF(ISNA(VLOOKUP(封面!B1,'2019决算导出'!A:F,6,FALSE)),"",IF(E22-VLOOKUP(封面!B1,'2019决算导出'!A:F,6,FALSE)&gt;0,"增长","下降"))</f>
        <v>增长</v>
      </c>
      <c r="L22" s="29">
        <f>IF(ISNA(VLOOKUP(封面!B1,'2019决算导出'!A:F,6,FALSE)),"",I22/VLOOKUP(封面!B1,'2019决算导出'!A:F,6,FALSE))</f>
        <v>0.74861946241991528</v>
      </c>
      <c r="M22" s="7" t="s">
        <v>328</v>
      </c>
    </row>
    <row r="23" spans="1:13" ht="63.6" customHeight="1">
      <c r="B23" s="64" t="s">
        <v>438</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3" t="s">
        <v>206</v>
      </c>
      <c r="B26" s="63"/>
      <c r="C26" s="63"/>
      <c r="D26" s="63"/>
      <c r="E26" s="63"/>
      <c r="F26" s="58">
        <f>_xlfn.IFNA(VLOOKUP(封面!B1,'2020决算导出'!A:P,16,FALSE),"")</f>
        <v>2835175.33</v>
      </c>
      <c r="G26" s="58"/>
      <c r="H26" s="7" t="s">
        <v>187</v>
      </c>
      <c r="I26" s="10" t="s">
        <v>207</v>
      </c>
      <c r="J26" s="10"/>
      <c r="K26" s="10"/>
      <c r="L26" s="10"/>
      <c r="M26" s="10"/>
    </row>
    <row r="27" spans="1:13" ht="18" customHeight="1">
      <c r="A27" s="63" t="s">
        <v>210</v>
      </c>
      <c r="B27" s="63"/>
      <c r="C27" s="63"/>
      <c r="D27" s="58">
        <f>_xlfn.IFNA(VLOOKUP(封面!B1,'2020决算导出'!A:Q,17,FALSE),"")</f>
        <v>1972671.84</v>
      </c>
      <c r="E27" s="58"/>
      <c r="F27" s="7" t="s">
        <v>187</v>
      </c>
      <c r="G27" s="59" t="s">
        <v>209</v>
      </c>
      <c r="H27" s="59"/>
      <c r="I27" s="27">
        <f>D27/$F$26</f>
        <v>0.69578477885528156</v>
      </c>
      <c r="J27" s="7" t="s">
        <v>330</v>
      </c>
      <c r="K27" s="9"/>
      <c r="L27" s="9"/>
      <c r="M27" s="9"/>
    </row>
    <row r="28" spans="1:13" ht="18" customHeight="1">
      <c r="A28" s="63" t="s">
        <v>211</v>
      </c>
      <c r="B28" s="63"/>
      <c r="C28" s="63"/>
      <c r="D28" s="58">
        <f>_xlfn.IFNA(VLOOKUP(封面!B1,'2020决算导出'!A:R,18,FALSE),"")</f>
        <v>0</v>
      </c>
      <c r="E28" s="58"/>
      <c r="F28" s="7" t="s">
        <v>187</v>
      </c>
      <c r="G28" s="59" t="s">
        <v>209</v>
      </c>
      <c r="H28" s="59"/>
      <c r="I28" s="27">
        <f t="shared" ref="I28:I33" si="2">D28/$F$26</f>
        <v>0</v>
      </c>
      <c r="J28" s="7" t="s">
        <v>330</v>
      </c>
      <c r="K28" s="9"/>
      <c r="L28" s="9"/>
      <c r="M28" s="9"/>
    </row>
    <row r="29" spans="1:13" ht="18" customHeight="1">
      <c r="A29" s="63" t="s">
        <v>208</v>
      </c>
      <c r="B29" s="63"/>
      <c r="C29" s="63"/>
      <c r="D29" s="58">
        <f>_xlfn.IFNA(VLOOKUP(封面!B1,'2020决算导出'!A:S,19,FALSE),"")</f>
        <v>271380.24</v>
      </c>
      <c r="E29" s="58"/>
      <c r="F29" s="7" t="s">
        <v>187</v>
      </c>
      <c r="G29" s="59" t="s">
        <v>209</v>
      </c>
      <c r="H29" s="59"/>
      <c r="I29" s="27">
        <f t="shared" si="2"/>
        <v>9.5719032656791631E-2</v>
      </c>
      <c r="J29" s="7" t="s">
        <v>330</v>
      </c>
    </row>
    <row r="30" spans="1:13" ht="18" customHeight="1">
      <c r="A30" s="63" t="s">
        <v>212</v>
      </c>
      <c r="B30" s="63"/>
      <c r="C30" s="63"/>
      <c r="D30" s="58">
        <f>_xlfn.IFNA(VLOOKUP(封面!B1,'2020决算导出'!A:T,20,FALSE),"")</f>
        <v>149316.25</v>
      </c>
      <c r="E30" s="58"/>
      <c r="F30" s="7" t="s">
        <v>187</v>
      </c>
      <c r="G30" s="59" t="s">
        <v>209</v>
      </c>
      <c r="H30" s="59"/>
      <c r="I30" s="27">
        <f t="shared" si="2"/>
        <v>5.266561415797872E-2</v>
      </c>
      <c r="J30" s="7" t="s">
        <v>330</v>
      </c>
    </row>
    <row r="31" spans="1:13" ht="18" customHeight="1">
      <c r="A31" s="63" t="s">
        <v>213</v>
      </c>
      <c r="B31" s="63"/>
      <c r="C31" s="63"/>
      <c r="D31" s="58">
        <f>_xlfn.IFNA(VLOOKUP(封面!B1,'2020决算导出'!A:U,21,FALSE),"")</f>
        <v>0</v>
      </c>
      <c r="E31" s="58"/>
      <c r="F31" s="7" t="s">
        <v>187</v>
      </c>
      <c r="G31" s="59" t="s">
        <v>209</v>
      </c>
      <c r="H31" s="59"/>
      <c r="I31" s="27">
        <f t="shared" si="2"/>
        <v>0</v>
      </c>
      <c r="J31" s="7" t="s">
        <v>330</v>
      </c>
    </row>
    <row r="32" spans="1:13" ht="18" customHeight="1">
      <c r="A32" s="63" t="s">
        <v>214</v>
      </c>
      <c r="B32" s="63"/>
      <c r="C32" s="63"/>
      <c r="D32" s="58">
        <f>_xlfn.IFNA(VLOOKUP(封面!B1,'2020决算导出'!A:V,22,FALSE),"")</f>
        <v>0</v>
      </c>
      <c r="E32" s="58"/>
      <c r="F32" s="7" t="s">
        <v>187</v>
      </c>
      <c r="G32" s="59" t="s">
        <v>209</v>
      </c>
      <c r="H32" s="59"/>
      <c r="I32" s="27">
        <f t="shared" si="2"/>
        <v>0</v>
      </c>
      <c r="J32" s="7" t="s">
        <v>330</v>
      </c>
    </row>
    <row r="33" spans="1:12" ht="18" customHeight="1">
      <c r="A33" s="63" t="s">
        <v>215</v>
      </c>
      <c r="B33" s="63"/>
      <c r="C33" s="63"/>
      <c r="D33" s="58">
        <f>_xlfn.IFNA(VLOOKUP(封面!B1,'2020决算导出'!A:W,23,FALSE),"")</f>
        <v>441807</v>
      </c>
      <c r="E33" s="58"/>
      <c r="F33" s="7" t="s">
        <v>187</v>
      </c>
      <c r="G33" s="59" t="s">
        <v>209</v>
      </c>
      <c r="H33" s="59"/>
      <c r="I33" s="27">
        <f t="shared" si="2"/>
        <v>0.15583057432994804</v>
      </c>
      <c r="J33" s="7" t="s">
        <v>331</v>
      </c>
    </row>
    <row r="34" spans="1:12" ht="18" customHeight="1">
      <c r="A34" s="7" t="s">
        <v>216</v>
      </c>
    </row>
    <row r="35" spans="1:12" ht="18" customHeight="1">
      <c r="A35" s="60" t="s">
        <v>430</v>
      </c>
      <c r="B35" s="60"/>
      <c r="C35" s="60"/>
      <c r="D35" s="60"/>
      <c r="E35" s="58">
        <f>_xlfn.IFNA(VLOOKUP(封面!B1,一般公共预算财政拨款支出决算具体情况!A:C,3,FALSE),"")</f>
        <v>1972671.84</v>
      </c>
      <c r="F35" s="58"/>
      <c r="G35" s="7" t="s">
        <v>187</v>
      </c>
      <c r="H35" s="59" t="s">
        <v>217</v>
      </c>
      <c r="I35" s="59"/>
      <c r="J35" s="58">
        <f>_xlfn.IFNA(VLOOKUP(封面!B1,一般公共预算财政拨款支出决算具体情况!A:D,4,FALSE),"")</f>
        <v>2044272.66</v>
      </c>
      <c r="K35" s="58"/>
      <c r="L35" s="11" t="s">
        <v>186</v>
      </c>
    </row>
    <row r="36" spans="1:12" ht="18" customHeight="1">
      <c r="B36" s="14" t="str">
        <f>IF(E35&gt;J35,"增加","减少")</f>
        <v>减少</v>
      </c>
      <c r="C36" s="58">
        <f>ABS(E35-J35)</f>
        <v>71600.819999999832</v>
      </c>
      <c r="D36" s="58"/>
      <c r="E36" s="7" t="s">
        <v>187</v>
      </c>
      <c r="F36" s="14" t="str">
        <f>IF(E35&gt;J35,"增长","下降")</f>
        <v>下降</v>
      </c>
      <c r="G36" s="32">
        <f>C36/J35</f>
        <v>3.5025083200007107E-2</v>
      </c>
      <c r="H36" s="7" t="s">
        <v>331</v>
      </c>
      <c r="I36" s="11" t="s">
        <v>218</v>
      </c>
    </row>
    <row r="37" spans="1:12" ht="18" customHeight="1">
      <c r="A37" s="63" t="s">
        <v>219</v>
      </c>
      <c r="B37" s="63"/>
      <c r="C37" s="63"/>
      <c r="D37" s="63"/>
      <c r="E37" s="58">
        <f>_xlfn.IFNA(VLOOKUP(封面!B1,一般公共预算财政拨款支出决算具体情况!A:E,5,FALSE),"")</f>
        <v>1969871.84</v>
      </c>
      <c r="F37" s="58"/>
      <c r="G37" s="7" t="s">
        <v>187</v>
      </c>
      <c r="H37" s="59" t="s">
        <v>217</v>
      </c>
      <c r="I37" s="59"/>
      <c r="J37" s="58">
        <f>_xlfn.IFNA(VLOOKUP(封面!B1,一般公共预算财政拨款支出决算具体情况!A:F,6,FALSE),"")</f>
        <v>2038672.66</v>
      </c>
      <c r="K37" s="58"/>
      <c r="L37" s="11" t="s">
        <v>186</v>
      </c>
    </row>
    <row r="38" spans="1:12" ht="18" customHeight="1">
      <c r="A38" s="14"/>
      <c r="B38" s="14" t="str">
        <f>IF(E37&gt;J37,"增加","减少")</f>
        <v>减少</v>
      </c>
      <c r="C38" s="58">
        <f>ABS(E37-J37)</f>
        <v>68800.819999999832</v>
      </c>
      <c r="D38" s="58"/>
      <c r="E38" s="7" t="s">
        <v>187</v>
      </c>
      <c r="F38" s="14" t="str">
        <f>IF(E37&gt;J37,"增长","下降")</f>
        <v>下降</v>
      </c>
      <c r="G38" s="32">
        <f>C38/J37</f>
        <v>3.3747850427346113E-2</v>
      </c>
      <c r="H38" s="7" t="s">
        <v>331</v>
      </c>
    </row>
    <row r="39" spans="1:12" ht="36" customHeight="1">
      <c r="B39" s="57" t="s">
        <v>440</v>
      </c>
      <c r="C39" s="57"/>
      <c r="D39" s="57"/>
      <c r="E39" s="57"/>
      <c r="F39" s="57"/>
      <c r="G39" s="57"/>
      <c r="H39" s="57"/>
      <c r="I39" s="57"/>
      <c r="J39" s="57"/>
      <c r="K39" s="57"/>
      <c r="L39" s="57"/>
    </row>
    <row r="40" spans="1:12" ht="18" customHeight="1">
      <c r="A40" s="63" t="s">
        <v>220</v>
      </c>
      <c r="B40" s="63"/>
      <c r="C40" s="63"/>
      <c r="D40" s="63"/>
      <c r="E40" s="58">
        <f>_xlfn.IFNA(VLOOKUP(封面!B1,一般公共预算财政拨款支出决算具体情况!A:M,13,FALSE),"")</f>
        <v>2800</v>
      </c>
      <c r="F40" s="58"/>
      <c r="G40" s="7" t="s">
        <v>187</v>
      </c>
      <c r="H40" s="59" t="s">
        <v>217</v>
      </c>
      <c r="I40" s="59"/>
      <c r="J40" s="58">
        <f>_xlfn.IFNA(VLOOKUP(封面!B1,一般公共预算财政拨款支出决算具体情况!A:N,14,FALSE),"")</f>
        <v>5600</v>
      </c>
      <c r="K40" s="58"/>
      <c r="L40" s="11" t="s">
        <v>186</v>
      </c>
    </row>
    <row r="41" spans="1:12" ht="18" customHeight="1">
      <c r="A41" s="14"/>
      <c r="B41" s="14" t="str">
        <f>IF(E40&gt;J40,"增加","减少")</f>
        <v>减少</v>
      </c>
      <c r="C41" s="58">
        <f>ABS(E40-J40)</f>
        <v>2800</v>
      </c>
      <c r="D41" s="58"/>
      <c r="E41" s="7" t="s">
        <v>187</v>
      </c>
      <c r="F41" s="14" t="str">
        <f>IF(E40&gt;J40,"增长","下降")</f>
        <v>下降</v>
      </c>
      <c r="G41" s="32">
        <f>C41/J40</f>
        <v>0.5</v>
      </c>
      <c r="H41" s="7" t="s">
        <v>331</v>
      </c>
    </row>
    <row r="42" spans="1:12" ht="36" customHeight="1">
      <c r="B42" s="57" t="s">
        <v>439</v>
      </c>
      <c r="C42" s="57"/>
      <c r="D42" s="57"/>
      <c r="E42" s="57"/>
      <c r="F42" s="57"/>
      <c r="G42" s="57"/>
      <c r="H42" s="57"/>
      <c r="I42" s="57"/>
      <c r="J42" s="57"/>
      <c r="K42" s="57"/>
      <c r="L42" s="57"/>
    </row>
    <row r="43" spans="1:12" ht="18" customHeight="1">
      <c r="A43" s="61" t="s">
        <v>431</v>
      </c>
      <c r="B43" s="61"/>
      <c r="C43" s="61"/>
      <c r="D43" s="61"/>
      <c r="E43" s="58">
        <f>_xlfn.IFNA(VLOOKUP(封面!B1,一般公共预算财政拨款支出决算具体情况!A:Q,17,FALSE),"")</f>
        <v>0</v>
      </c>
      <c r="F43" s="58"/>
      <c r="G43" s="7" t="s">
        <v>187</v>
      </c>
      <c r="H43" s="60" t="s">
        <v>428</v>
      </c>
      <c r="I43" s="60"/>
      <c r="J43" s="60"/>
      <c r="K43" s="60"/>
      <c r="L43" s="11"/>
    </row>
    <row r="44" spans="1:12" ht="18" customHeight="1">
      <c r="A44" s="63" t="s">
        <v>221</v>
      </c>
      <c r="B44" s="63"/>
      <c r="C44" s="63"/>
      <c r="D44" s="63"/>
      <c r="E44" s="58">
        <f>_xlfn.IFNA(VLOOKUP(封面!B1,一般公共预算财政拨款支出决算具体情况!A:S,19,FALSE),"")</f>
        <v>0</v>
      </c>
      <c r="F44" s="58"/>
      <c r="G44" s="7" t="s">
        <v>187</v>
      </c>
      <c r="H44" s="60" t="s">
        <v>222</v>
      </c>
      <c r="I44" s="60"/>
      <c r="J44" s="60"/>
      <c r="K44" s="60"/>
      <c r="L44" s="11"/>
    </row>
    <row r="45" spans="1:12" ht="36" customHeight="1">
      <c r="B45" s="57"/>
      <c r="C45" s="57"/>
      <c r="D45" s="57"/>
      <c r="E45" s="57"/>
      <c r="F45" s="57"/>
      <c r="G45" s="57"/>
      <c r="H45" s="57"/>
      <c r="I45" s="57"/>
      <c r="J45" s="57"/>
      <c r="K45" s="57"/>
      <c r="L45" s="57"/>
    </row>
    <row r="46" spans="1:12" ht="18" customHeight="1">
      <c r="A46" s="61" t="s">
        <v>432</v>
      </c>
      <c r="B46" s="61"/>
      <c r="C46" s="61"/>
      <c r="D46" s="61"/>
      <c r="E46" s="58">
        <f>_xlfn.IFNA(VLOOKUP(封面!B1,一般公共预算财政拨款支出决算具体情况!A:U,21,FALSE),"")</f>
        <v>271380.24</v>
      </c>
      <c r="F46" s="58"/>
      <c r="G46" s="7" t="s">
        <v>187</v>
      </c>
      <c r="H46" s="59" t="s">
        <v>217</v>
      </c>
      <c r="I46" s="59"/>
      <c r="J46" s="58">
        <f>_xlfn.IFNA(VLOOKUP(封面!B1,一般公共预算财政拨款支出决算具体情况!A:V,22,FALSE),"")</f>
        <v>271188</v>
      </c>
      <c r="K46" s="58"/>
      <c r="L46" s="11" t="s">
        <v>186</v>
      </c>
    </row>
    <row r="47" spans="1:12" ht="18" customHeight="1">
      <c r="B47" s="14" t="str">
        <f>IF(E46&gt;J46,"增加","减少")</f>
        <v>增加</v>
      </c>
      <c r="C47" s="58">
        <f>ABS(E46-J46)</f>
        <v>192.23999999999069</v>
      </c>
      <c r="D47" s="58"/>
      <c r="E47" s="7" t="s">
        <v>187</v>
      </c>
      <c r="F47" s="14" t="str">
        <f>IF(E46&gt;J46,"增长","下降")</f>
        <v>增长</v>
      </c>
      <c r="G47" s="32">
        <f>C47/J46</f>
        <v>7.0888092393465302E-4</v>
      </c>
      <c r="H47" s="7" t="s">
        <v>331</v>
      </c>
      <c r="I47" s="11" t="s">
        <v>218</v>
      </c>
    </row>
    <row r="48" spans="1:12" ht="18" customHeight="1">
      <c r="A48" s="62" t="s">
        <v>223</v>
      </c>
      <c r="B48" s="62"/>
      <c r="C48" s="62"/>
      <c r="D48" s="62"/>
      <c r="E48" s="58">
        <f>_xlfn.IFNA(VLOOKUP(封面!B1,一般公共预算财政拨款支出决算具体情况!A:W,23,FALSE),"")</f>
        <v>271380.24</v>
      </c>
      <c r="F48" s="58"/>
      <c r="G48" s="7" t="s">
        <v>187</v>
      </c>
      <c r="H48" s="59" t="s">
        <v>217</v>
      </c>
      <c r="I48" s="59"/>
      <c r="J48" s="58">
        <f>_xlfn.IFNA(VLOOKUP(封面!B1,一般公共预算财政拨款支出决算具体情况!A:X,24,FALSE),"")</f>
        <v>271188</v>
      </c>
      <c r="K48" s="58"/>
      <c r="L48" s="11" t="s">
        <v>186</v>
      </c>
    </row>
    <row r="49" spans="1:12" ht="18" customHeight="1">
      <c r="A49" s="14"/>
      <c r="B49" s="14" t="str">
        <f>IF(E48&gt;J48,"增加","减少")</f>
        <v>增加</v>
      </c>
      <c r="C49" s="58">
        <f>ABS(E48-J48)</f>
        <v>192.23999999999069</v>
      </c>
      <c r="D49" s="58"/>
      <c r="E49" s="7" t="s">
        <v>187</v>
      </c>
      <c r="F49" s="14" t="str">
        <f>IF(E48&gt;J48,"增长","下降")</f>
        <v>增长</v>
      </c>
      <c r="G49" s="32">
        <f>C49/J48</f>
        <v>7.0888092393465302E-4</v>
      </c>
      <c r="H49" s="7" t="s">
        <v>331</v>
      </c>
    </row>
    <row r="50" spans="1:12" ht="36" customHeight="1">
      <c r="B50" s="57" t="s">
        <v>441</v>
      </c>
      <c r="C50" s="57"/>
      <c r="D50" s="57"/>
      <c r="E50" s="57"/>
      <c r="F50" s="57"/>
      <c r="G50" s="57"/>
      <c r="H50" s="57"/>
      <c r="I50" s="57"/>
      <c r="J50" s="57"/>
      <c r="K50" s="57"/>
      <c r="L50" s="57"/>
    </row>
    <row r="51" spans="1:12" ht="18" customHeight="1">
      <c r="A51" s="61" t="s">
        <v>433</v>
      </c>
      <c r="B51" s="61"/>
      <c r="C51" s="61"/>
      <c r="D51" s="61"/>
      <c r="E51" s="58">
        <f>_xlfn.IFNA(VLOOKUP(封面!B1,一般公共预算财政拨款支出决算具体情况!A:AA,27,FALSE),"")</f>
        <v>149316.25</v>
      </c>
      <c r="F51" s="58"/>
      <c r="G51" s="7" t="s">
        <v>187</v>
      </c>
      <c r="H51" s="59" t="s">
        <v>217</v>
      </c>
      <c r="I51" s="59"/>
      <c r="J51" s="58">
        <f>_xlfn.IFNA(VLOOKUP(封面!B1,一般公共预算财政拨款支出决算具体情况!A:AB,28,FALSE),"")</f>
        <v>146893.5</v>
      </c>
      <c r="K51" s="58"/>
      <c r="L51" s="11" t="s">
        <v>186</v>
      </c>
    </row>
    <row r="52" spans="1:12" ht="18" customHeight="1">
      <c r="B52" s="14" t="str">
        <f>IF(E51&gt;J51,"增加","减少")</f>
        <v>增加</v>
      </c>
      <c r="C52" s="58">
        <f>ABS(E51-J51)</f>
        <v>2422.75</v>
      </c>
      <c r="D52" s="58"/>
      <c r="E52" s="7" t="s">
        <v>187</v>
      </c>
      <c r="F52" s="14" t="str">
        <f>IF(E51&gt;J51,"增长","下降")</f>
        <v>增长</v>
      </c>
      <c r="G52" s="32">
        <f>C52/J51</f>
        <v>1.6493241702321752E-2</v>
      </c>
      <c r="H52" s="7" t="s">
        <v>331</v>
      </c>
      <c r="I52" s="11" t="s">
        <v>218</v>
      </c>
    </row>
    <row r="53" spans="1:12" ht="18" customHeight="1">
      <c r="A53" s="62" t="s">
        <v>224</v>
      </c>
      <c r="B53" s="62"/>
      <c r="C53" s="62"/>
      <c r="D53" s="62"/>
      <c r="E53" s="58">
        <f>_xlfn.IFNA(VLOOKUP(封面!B1,一般公共预算财政拨款支出决算具体情况!A:AC,29,FALSE),"")</f>
        <v>149316.25</v>
      </c>
      <c r="F53" s="58"/>
      <c r="G53" s="7" t="s">
        <v>187</v>
      </c>
      <c r="H53" s="59" t="s">
        <v>217</v>
      </c>
      <c r="I53" s="59"/>
      <c r="J53" s="58">
        <f>_xlfn.IFNA(VLOOKUP(封面!B1,一般公共预算财政拨款支出决算具体情况!A:AD,30,FALSE),"")</f>
        <v>146893.5</v>
      </c>
      <c r="K53" s="58"/>
      <c r="L53" s="11" t="s">
        <v>186</v>
      </c>
    </row>
    <row r="54" spans="1:12" ht="18" customHeight="1">
      <c r="A54" s="14"/>
      <c r="B54" s="14" t="str">
        <f>IF(E53&gt;J53,"增加","减少")</f>
        <v>增加</v>
      </c>
      <c r="C54" s="58">
        <f>ABS(E53-J53)</f>
        <v>2422.75</v>
      </c>
      <c r="D54" s="58"/>
      <c r="E54" s="7" t="s">
        <v>187</v>
      </c>
      <c r="F54" s="14" t="str">
        <f>IF(E53&gt;J53,"增长","下降")</f>
        <v>增长</v>
      </c>
      <c r="G54" s="32">
        <f>C54/J53</f>
        <v>1.6493241702321752E-2</v>
      </c>
      <c r="H54" s="7" t="s">
        <v>331</v>
      </c>
    </row>
    <row r="55" spans="1:12" ht="36" customHeight="1">
      <c r="B55" s="57" t="s">
        <v>442</v>
      </c>
      <c r="C55" s="57"/>
      <c r="D55" s="57"/>
      <c r="E55" s="57"/>
      <c r="F55" s="57"/>
      <c r="G55" s="57"/>
      <c r="H55" s="57"/>
      <c r="I55" s="57"/>
      <c r="J55" s="57"/>
      <c r="K55" s="57"/>
      <c r="L55" s="57"/>
    </row>
    <row r="56" spans="1:12" ht="18" customHeight="1">
      <c r="A56" s="61" t="s">
        <v>434</v>
      </c>
      <c r="B56" s="61"/>
      <c r="C56" s="61"/>
      <c r="D56" s="61"/>
      <c r="E56" s="58">
        <f>_xlfn.IFNA(VLOOKUP(封面!B1,一般公共预算财政拨款支出决算具体情况!A:AE,31,FALSE),"")</f>
        <v>0</v>
      </c>
      <c r="F56" s="58"/>
      <c r="G56" s="7" t="s">
        <v>187</v>
      </c>
      <c r="H56" s="60" t="s">
        <v>222</v>
      </c>
      <c r="I56" s="60"/>
      <c r="J56" s="60"/>
      <c r="K56" s="60"/>
      <c r="L56" s="11"/>
    </row>
    <row r="57" spans="1:12" ht="18" customHeight="1">
      <c r="A57" s="62" t="s">
        <v>225</v>
      </c>
      <c r="B57" s="62"/>
      <c r="C57" s="62"/>
      <c r="D57" s="62"/>
      <c r="E57" s="58">
        <f>_xlfn.IFNA(VLOOKUP(封面!B1,一般公共预算财政拨款支出决算具体情况!A:AG,33,FALSE),"")</f>
        <v>0</v>
      </c>
      <c r="F57" s="58"/>
      <c r="G57" s="7" t="s">
        <v>187</v>
      </c>
      <c r="H57" s="60" t="s">
        <v>222</v>
      </c>
      <c r="I57" s="60"/>
      <c r="J57" s="60"/>
      <c r="K57" s="60"/>
      <c r="L57" s="11"/>
    </row>
    <row r="58" spans="1:12" ht="36" customHeight="1">
      <c r="B58" s="57"/>
      <c r="C58" s="57"/>
      <c r="D58" s="57"/>
      <c r="E58" s="57"/>
      <c r="F58" s="57"/>
      <c r="G58" s="57"/>
      <c r="H58" s="57"/>
      <c r="I58" s="57"/>
      <c r="J58" s="57"/>
      <c r="K58" s="57"/>
      <c r="L58" s="57"/>
    </row>
    <row r="59" spans="1:12" ht="18" customHeight="1">
      <c r="A59" s="61" t="s">
        <v>435</v>
      </c>
      <c r="B59" s="61"/>
      <c r="C59" s="61"/>
      <c r="D59" s="61"/>
      <c r="E59" s="58">
        <f>_xlfn.IFNA(VLOOKUP(封面!B1,一般公共预算财政拨款支出决算具体情况!A:AI,35,FALSE),"")</f>
        <v>0</v>
      </c>
      <c r="F59" s="58"/>
      <c r="G59" s="7" t="s">
        <v>187</v>
      </c>
      <c r="H59" s="60" t="s">
        <v>222</v>
      </c>
      <c r="I59" s="60"/>
      <c r="J59" s="60"/>
      <c r="K59" s="60"/>
      <c r="L59" s="11"/>
    </row>
    <row r="60" spans="1:12" ht="18" customHeight="1">
      <c r="A60" s="62" t="s">
        <v>226</v>
      </c>
      <c r="B60" s="62"/>
      <c r="C60" s="62"/>
      <c r="D60" s="62"/>
      <c r="E60" s="58">
        <f>_xlfn.IFNA(VLOOKUP(封面!B1,一般公共预算财政拨款支出决算具体情况!A:AK,37,FALSE),"")</f>
        <v>0</v>
      </c>
      <c r="F60" s="58"/>
      <c r="G60" s="7" t="s">
        <v>187</v>
      </c>
      <c r="H60" s="60" t="s">
        <v>222</v>
      </c>
      <c r="I60" s="60"/>
      <c r="J60" s="60"/>
      <c r="K60" s="60"/>
      <c r="L60" s="11"/>
    </row>
    <row r="61" spans="1:12" ht="36" customHeight="1">
      <c r="B61" s="57"/>
      <c r="C61" s="57"/>
      <c r="D61" s="57"/>
      <c r="E61" s="57"/>
      <c r="F61" s="57"/>
      <c r="G61" s="57"/>
      <c r="H61" s="57"/>
      <c r="I61" s="57"/>
      <c r="J61" s="57"/>
      <c r="K61" s="57"/>
      <c r="L61" s="57"/>
    </row>
    <row r="62" spans="1:12" ht="18" customHeight="1">
      <c r="A62" s="61" t="s">
        <v>436</v>
      </c>
      <c r="B62" s="61"/>
      <c r="C62" s="61"/>
      <c r="D62" s="61"/>
      <c r="E62" s="58">
        <f>_xlfn.IFNA(VLOOKUP(封面!B1,一般公共预算财政拨款支出决算具体情况!A:AM,39,FALSE),"")</f>
        <v>441807</v>
      </c>
      <c r="F62" s="58"/>
      <c r="G62" s="7" t="s">
        <v>187</v>
      </c>
      <c r="H62" s="59" t="s">
        <v>217</v>
      </c>
      <c r="I62" s="59"/>
      <c r="J62" s="58">
        <f>_xlfn.IFNA(VLOOKUP(封面!B1,一般公共预算财政拨款支出决算具体情况!A:AN,40,FALSE),"")</f>
        <v>396066</v>
      </c>
      <c r="K62" s="58"/>
      <c r="L62" s="11" t="s">
        <v>186</v>
      </c>
    </row>
    <row r="63" spans="1:12" ht="18" customHeight="1">
      <c r="B63" s="14" t="str">
        <f>IF(E62&gt;J62,"增加","减少")</f>
        <v>增加</v>
      </c>
      <c r="C63" s="58">
        <f>ABS(E62-J62)</f>
        <v>45741</v>
      </c>
      <c r="D63" s="58"/>
      <c r="E63" s="7" t="s">
        <v>187</v>
      </c>
      <c r="F63" s="14" t="str">
        <f>IF(E62&gt;J62,"增长","下降")</f>
        <v>增长</v>
      </c>
      <c r="G63" s="32">
        <f>C63/J62</f>
        <v>0.1154883277029586</v>
      </c>
      <c r="H63" s="7" t="s">
        <v>331</v>
      </c>
      <c r="I63" s="11" t="s">
        <v>218</v>
      </c>
    </row>
    <row r="64" spans="1:12" ht="18" customHeight="1">
      <c r="A64" s="62" t="s">
        <v>227</v>
      </c>
      <c r="B64" s="62"/>
      <c r="C64" s="62"/>
      <c r="D64" s="62"/>
      <c r="E64" s="58">
        <f>_xlfn.IFNA(VLOOKUP(封面!B1,一般公共预算财政拨款支出决算具体情况!A:AO,41,FALSE),"")</f>
        <v>441807</v>
      </c>
      <c r="F64" s="58"/>
      <c r="G64" s="7" t="s">
        <v>187</v>
      </c>
      <c r="H64" s="59" t="s">
        <v>217</v>
      </c>
      <c r="I64" s="59"/>
      <c r="J64" s="58">
        <f>_xlfn.IFNA(VLOOKUP(封面!B1,一般公共预算财政拨款支出决算具体情况!A:AP,42,FALSE),"")</f>
        <v>396066</v>
      </c>
      <c r="K64" s="58"/>
      <c r="L64" s="11" t="s">
        <v>186</v>
      </c>
    </row>
    <row r="65" spans="1:13" ht="18" customHeight="1">
      <c r="A65" s="14"/>
      <c r="B65" s="14" t="str">
        <f>IF(E64&gt;J64,"增加","减少")</f>
        <v>增加</v>
      </c>
      <c r="C65" s="58">
        <f>ABS(E64-J64)</f>
        <v>45741</v>
      </c>
      <c r="D65" s="58"/>
      <c r="E65" s="7" t="s">
        <v>187</v>
      </c>
      <c r="F65" s="14" t="str">
        <f>IF(E64&gt;J64,"增长","下降")</f>
        <v>增长</v>
      </c>
      <c r="G65" s="32">
        <f>C65/J64</f>
        <v>0.1154883277029586</v>
      </c>
      <c r="H65" s="7" t="s">
        <v>331</v>
      </c>
    </row>
    <row r="66" spans="1:13" ht="36" customHeight="1">
      <c r="B66" s="57" t="s">
        <v>443</v>
      </c>
      <c r="C66" s="57"/>
      <c r="D66" s="57"/>
      <c r="E66" s="57"/>
      <c r="F66" s="57"/>
      <c r="G66" s="57"/>
      <c r="H66" s="57"/>
      <c r="I66" s="57"/>
      <c r="J66" s="57"/>
      <c r="K66" s="57"/>
      <c r="L66" s="57"/>
    </row>
    <row r="67" spans="1:13" ht="18" customHeight="1">
      <c r="A67" s="6" t="s">
        <v>228</v>
      </c>
    </row>
    <row r="68" spans="1:13" ht="18" customHeight="1">
      <c r="A68" s="7" t="str">
        <f>IF(_xlfn.IFNA(VLOOKUP(封面!B1,'2020决算导出'!A:X,24,FALSE),"")=0,"本年度无此项支出。","")</f>
        <v>本年度无此项支出。</v>
      </c>
    </row>
    <row r="69" spans="1:13" ht="36" customHeight="1">
      <c r="B69" s="57"/>
      <c r="C69" s="57"/>
      <c r="D69" s="57"/>
      <c r="E69" s="57"/>
      <c r="F69" s="57"/>
      <c r="G69" s="57"/>
      <c r="H69" s="57"/>
      <c r="I69" s="57"/>
      <c r="J69" s="57"/>
      <c r="K69" s="57"/>
      <c r="L69" s="57"/>
    </row>
    <row r="70" spans="1:13" ht="18" customHeight="1">
      <c r="A70" s="6" t="s">
        <v>229</v>
      </c>
    </row>
    <row r="71" spans="1:13" ht="18" customHeight="1">
      <c r="A71" s="7" t="s">
        <v>230</v>
      </c>
    </row>
    <row r="72" spans="1:13" ht="18" customHeight="1">
      <c r="A72" s="6" t="s">
        <v>231</v>
      </c>
    </row>
    <row r="73" spans="1:13" ht="18" customHeight="1">
      <c r="A73" s="7" t="s">
        <v>232</v>
      </c>
      <c r="G73" s="58">
        <f>_xlfn.IFNA(VLOOKUP(封面!B1,'2020决算导出'!A:AA,27,FALSE),"")</f>
        <v>2717542.77</v>
      </c>
      <c r="H73" s="58"/>
      <c r="I73" s="11" t="s">
        <v>187</v>
      </c>
    </row>
    <row r="74" spans="1:13" ht="130.19999999999999" customHeight="1">
      <c r="A74" s="57" t="s">
        <v>233</v>
      </c>
      <c r="B74" s="57"/>
      <c r="C74" s="57"/>
      <c r="D74" s="57"/>
      <c r="E74" s="57"/>
      <c r="F74" s="57"/>
      <c r="G74" s="57"/>
      <c r="H74" s="57"/>
      <c r="I74" s="57"/>
      <c r="J74" s="57"/>
      <c r="K74" s="57"/>
      <c r="L74" s="57"/>
      <c r="M74" s="57"/>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2">
    <mergeCell ref="A10:C10"/>
    <mergeCell ref="A11:C11"/>
    <mergeCell ref="F11:G11"/>
    <mergeCell ref="A12:C12"/>
    <mergeCell ref="F12:G12"/>
    <mergeCell ref="A8:C8"/>
    <mergeCell ref="A6:B6"/>
    <mergeCell ref="A17:C17"/>
    <mergeCell ref="A1:M1"/>
    <mergeCell ref="A4:M4"/>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2:C32"/>
    <mergeCell ref="D32:E32"/>
    <mergeCell ref="G32:H32"/>
    <mergeCell ref="A33:C33"/>
    <mergeCell ref="D33:E33"/>
    <mergeCell ref="G33:H33"/>
    <mergeCell ref="A31:C31"/>
    <mergeCell ref="D31:E31"/>
    <mergeCell ref="G31:H31"/>
    <mergeCell ref="C36:D36"/>
    <mergeCell ref="C38:D38"/>
    <mergeCell ref="A37:D37"/>
    <mergeCell ref="E37:F37"/>
    <mergeCell ref="H37:I37"/>
    <mergeCell ref="J37:K37"/>
    <mergeCell ref="A35:D35"/>
    <mergeCell ref="E35:F35"/>
    <mergeCell ref="H35:I35"/>
    <mergeCell ref="J35:K35"/>
    <mergeCell ref="A43:D43"/>
    <mergeCell ref="E43:F43"/>
    <mergeCell ref="C41:D41"/>
    <mergeCell ref="B42:L42"/>
    <mergeCell ref="A40:D40"/>
    <mergeCell ref="E40:F40"/>
    <mergeCell ref="H40:I40"/>
    <mergeCell ref="J40:K40"/>
    <mergeCell ref="B39:L39"/>
    <mergeCell ref="B50:L50"/>
    <mergeCell ref="B45:L45"/>
    <mergeCell ref="H44:K44"/>
    <mergeCell ref="A46:D46"/>
    <mergeCell ref="E46:F46"/>
    <mergeCell ref="H46:I46"/>
    <mergeCell ref="J46:K46"/>
    <mergeCell ref="A44:D44"/>
    <mergeCell ref="E44:F44"/>
    <mergeCell ref="C47:D47"/>
    <mergeCell ref="A48:D48"/>
    <mergeCell ref="E48:F48"/>
    <mergeCell ref="H48:I48"/>
    <mergeCell ref="J48:K48"/>
    <mergeCell ref="C49:D49"/>
    <mergeCell ref="H53:I53"/>
    <mergeCell ref="J53:K53"/>
    <mergeCell ref="C54:D54"/>
    <mergeCell ref="B55:L55"/>
    <mergeCell ref="A51:D51"/>
    <mergeCell ref="E51:F51"/>
    <mergeCell ref="H51:I51"/>
    <mergeCell ref="J51:K51"/>
    <mergeCell ref="C52:D52"/>
    <mergeCell ref="H43:K43"/>
    <mergeCell ref="B69:L69"/>
    <mergeCell ref="G73:H73"/>
    <mergeCell ref="A53:D53"/>
    <mergeCell ref="E53:F53"/>
    <mergeCell ref="B66:L66"/>
    <mergeCell ref="C63:D63"/>
    <mergeCell ref="A64:D64"/>
    <mergeCell ref="E64:F64"/>
    <mergeCell ref="H64:I64"/>
    <mergeCell ref="J64:K64"/>
    <mergeCell ref="C65:D65"/>
    <mergeCell ref="A74:M74"/>
    <mergeCell ref="E62:F62"/>
    <mergeCell ref="H62:I62"/>
    <mergeCell ref="J62:K62"/>
    <mergeCell ref="B58:L58"/>
    <mergeCell ref="H56:K56"/>
    <mergeCell ref="H57:K57"/>
    <mergeCell ref="A59:D59"/>
    <mergeCell ref="E59:F59"/>
    <mergeCell ref="H59:K59"/>
    <mergeCell ref="A56:D56"/>
    <mergeCell ref="E56:F56"/>
    <mergeCell ref="A57:D57"/>
    <mergeCell ref="E57:F57"/>
    <mergeCell ref="A62:D62"/>
    <mergeCell ref="B61:L61"/>
    <mergeCell ref="H60:K60"/>
    <mergeCell ref="E60:F60"/>
    <mergeCell ref="A60:D60"/>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6" workbookViewId="0">
      <selection activeCell="A4" sqref="A4:XFD2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258</v>
      </c>
      <c r="B1" s="55"/>
      <c r="C1" s="55"/>
      <c r="D1" s="55"/>
      <c r="E1" s="55"/>
      <c r="F1" s="55"/>
      <c r="G1" s="55"/>
      <c r="H1" s="55"/>
      <c r="I1" s="55"/>
      <c r="J1" s="55"/>
      <c r="K1" s="55"/>
      <c r="L1" s="55"/>
      <c r="M1" s="55"/>
      <c r="N1" s="55"/>
    </row>
    <row r="2" spans="1:14" ht="18" customHeight="1">
      <c r="A2" s="6" t="s">
        <v>234</v>
      </c>
    </row>
    <row r="3" spans="1:14" ht="18" customHeight="1">
      <c r="A3" s="15" t="str">
        <f>IF(_xlfn.IFNA(VLOOKUP(封面!B1,'2020决算导出'!A:AB,28,FALSE),"")=0,"本年度无此项支出。","")</f>
        <v>本年度无此项支出。</v>
      </c>
    </row>
    <row r="4" spans="1:14" ht="18" customHeight="1">
      <c r="A4" s="6" t="s">
        <v>236</v>
      </c>
    </row>
    <row r="5" spans="1:14" ht="18" customHeight="1">
      <c r="A5" s="7" t="s">
        <v>237</v>
      </c>
    </row>
    <row r="6" spans="1:14" ht="18" customHeight="1">
      <c r="A6" s="6" t="s">
        <v>238</v>
      </c>
    </row>
    <row r="7" spans="1:14" ht="18" customHeight="1">
      <c r="A7" s="63" t="s">
        <v>239</v>
      </c>
      <c r="B7" s="63"/>
      <c r="C7" s="63"/>
      <c r="D7" s="63"/>
      <c r="E7" s="58">
        <f>_xlfn.IFNA(VLOOKUP(封面!B1,'2020决算导出'!A:AW,49,FALSE),"")</f>
        <v>0</v>
      </c>
      <c r="F7" s="58"/>
      <c r="G7" s="7" t="s">
        <v>187</v>
      </c>
      <c r="H7" s="63" t="s">
        <v>240</v>
      </c>
      <c r="I7" s="63"/>
      <c r="J7" s="63"/>
      <c r="K7" s="63"/>
      <c r="L7" s="58">
        <f>_xlfn.IFNA(VLOOKUP(封面!B1,'2020决算导出'!A:AX,50,FALSE),"")</f>
        <v>0</v>
      </c>
      <c r="M7" s="58" t="s">
        <v>187</v>
      </c>
      <c r="N7" s="7" t="s">
        <v>187</v>
      </c>
    </row>
    <row r="8" spans="1:14" ht="18" customHeight="1">
      <c r="A8" s="63" t="s">
        <v>241</v>
      </c>
      <c r="B8" s="63"/>
      <c r="C8" s="63"/>
      <c r="D8" s="58">
        <f>_xlfn.IFNA(VLOOKUP(封面!B1,'2020决算导出'!A:AY,51,FALSE),"")</f>
        <v>0</v>
      </c>
      <c r="E8" s="58" t="s">
        <v>187</v>
      </c>
      <c r="F8" s="7" t="s">
        <v>187</v>
      </c>
      <c r="G8" s="63" t="s">
        <v>242</v>
      </c>
      <c r="H8" s="63"/>
      <c r="I8" s="63"/>
      <c r="J8" s="58">
        <f>_xlfn.IFNA(VLOOKUP(封面!B1,'2020决算导出'!A:AZ,52,FALSE),"")</f>
        <v>0</v>
      </c>
      <c r="K8" s="58" t="s">
        <v>187</v>
      </c>
      <c r="L8" s="7" t="s">
        <v>235</v>
      </c>
    </row>
    <row r="9" spans="1:14" ht="18" customHeight="1">
      <c r="A9" s="63" t="s">
        <v>243</v>
      </c>
      <c r="B9" s="63"/>
      <c r="C9" s="63"/>
      <c r="D9" s="63"/>
      <c r="E9" s="58">
        <f>_xlfn.IFNA(VLOOKUP(封面!B1,'2020决算导出'!A:BA,53,FALSE),"")</f>
        <v>0</v>
      </c>
      <c r="F9" s="58" t="s">
        <v>187</v>
      </c>
      <c r="G9" s="7" t="s">
        <v>187</v>
      </c>
      <c r="H9" s="59" t="s">
        <v>244</v>
      </c>
      <c r="I9" s="59"/>
      <c r="J9" s="59"/>
      <c r="K9" s="27" t="e">
        <f>E9/$E$7</f>
        <v>#DIV/0!</v>
      </c>
      <c r="L9" s="16" t="s">
        <v>329</v>
      </c>
      <c r="M9" s="7" t="s">
        <v>426</v>
      </c>
    </row>
    <row r="10" spans="1:14" ht="18" customHeight="1">
      <c r="A10" s="63" t="s">
        <v>245</v>
      </c>
      <c r="B10" s="63"/>
      <c r="C10" s="63"/>
      <c r="D10" s="63"/>
      <c r="E10" s="58">
        <f>_xlfn.IFNA(VLOOKUP(封面!B1,'2020决算导出'!A:BB,54,FALSE),"")</f>
        <v>0</v>
      </c>
      <c r="F10" s="58" t="s">
        <v>187</v>
      </c>
      <c r="G10" s="7" t="s">
        <v>187</v>
      </c>
      <c r="H10" s="59" t="s">
        <v>244</v>
      </c>
      <c r="I10" s="59"/>
      <c r="J10" s="59"/>
      <c r="K10" s="27" t="e">
        <f>E10/$E$7</f>
        <v>#DIV/0!</v>
      </c>
      <c r="L10" s="16" t="s">
        <v>331</v>
      </c>
    </row>
    <row r="11" spans="1:14" ht="18" customHeight="1">
      <c r="A11" s="6" t="s">
        <v>246</v>
      </c>
    </row>
    <row r="12" spans="1:14" ht="18" customHeight="1">
      <c r="A12" s="63" t="s">
        <v>247</v>
      </c>
      <c r="B12" s="63"/>
      <c r="C12" s="8">
        <f>_xlfn.IFNA(VLOOKUP(封面!B1,'2020决算导出'!A:BC,55,FALSE),"")</f>
        <v>0</v>
      </c>
      <c r="D12" s="7" t="s">
        <v>248</v>
      </c>
      <c r="M12" s="65">
        <f>_xlfn.IFNA(VLOOKUP(封面!B1,'2020决算导出'!A:BD,56,FALSE),"")</f>
        <v>0</v>
      </c>
      <c r="N12" s="65" t="s">
        <v>187</v>
      </c>
    </row>
    <row r="13" spans="1:14" ht="18" customHeight="1">
      <c r="A13" s="12" t="s">
        <v>249</v>
      </c>
      <c r="B13" s="63" t="s">
        <v>250</v>
      </c>
      <c r="C13" s="63"/>
      <c r="D13" s="63"/>
      <c r="E13" s="63"/>
      <c r="F13" s="63"/>
      <c r="G13" s="8">
        <f>_xlfn.IFNA(VLOOKUP(封面!B1,'2020决算导出'!A:BE,57,FALSE),"")</f>
        <v>0</v>
      </c>
      <c r="H13" s="7" t="s">
        <v>251</v>
      </c>
      <c r="J13" s="7" t="s">
        <v>252</v>
      </c>
    </row>
    <row r="14" spans="1:14" ht="18" customHeight="1">
      <c r="A14" s="12">
        <f>_xlfn.IFNA(VLOOKUP(封面!B1,'2020决算导出'!A:BF,58,FALSE),"")</f>
        <v>0</v>
      </c>
      <c r="B14" s="7" t="s">
        <v>253</v>
      </c>
    </row>
    <row r="15" spans="1:14" ht="18" customHeight="1">
      <c r="A15" s="6" t="s">
        <v>254</v>
      </c>
    </row>
    <row r="16" spans="1:14" ht="18" customHeight="1">
      <c r="A16" s="7" t="s">
        <v>255</v>
      </c>
    </row>
    <row r="17" spans="1:14" ht="18" customHeight="1">
      <c r="A17" s="6" t="s">
        <v>256</v>
      </c>
    </row>
    <row r="18" spans="1:14" ht="304.2" customHeight="1">
      <c r="A18" s="57" t="s">
        <v>257</v>
      </c>
      <c r="B18" s="57"/>
      <c r="C18" s="57"/>
      <c r="D18" s="57"/>
      <c r="E18" s="57"/>
      <c r="F18" s="57"/>
      <c r="G18" s="57"/>
      <c r="H18" s="57"/>
      <c r="I18" s="57"/>
      <c r="J18" s="57"/>
      <c r="K18" s="57"/>
      <c r="L18" s="57"/>
      <c r="M18" s="57"/>
      <c r="N18" s="57"/>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cols>
    <col min="14" max="14" width="13.6640625" customWidth="1"/>
  </cols>
  <sheetData>
    <row r="1" spans="1:14" s="7" customFormat="1" ht="35.4" customHeight="1">
      <c r="A1" s="55" t="s">
        <v>259</v>
      </c>
      <c r="B1" s="55"/>
      <c r="C1" s="55"/>
      <c r="D1" s="55"/>
      <c r="E1" s="55"/>
      <c r="F1" s="55"/>
      <c r="G1" s="55"/>
      <c r="H1" s="55"/>
      <c r="I1" s="55"/>
      <c r="J1" s="55"/>
      <c r="K1" s="55"/>
      <c r="L1" s="55"/>
      <c r="M1" s="55"/>
      <c r="N1" s="55"/>
    </row>
    <row r="2" spans="1:14" ht="409.5" customHeight="1">
      <c r="A2" s="66" t="s">
        <v>444</v>
      </c>
      <c r="B2" s="66"/>
      <c r="C2" s="66"/>
      <c r="D2" s="66"/>
      <c r="E2" s="66"/>
      <c r="F2" s="66"/>
      <c r="G2" s="66"/>
      <c r="H2" s="66"/>
      <c r="I2" s="66"/>
      <c r="J2" s="66"/>
      <c r="K2" s="66"/>
      <c r="L2" s="66"/>
      <c r="M2" s="66"/>
      <c r="N2" s="66"/>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265</v>
      </c>
      <c r="B1" s="20" t="s">
        <v>266</v>
      </c>
      <c r="C1" s="20" t="s">
        <v>261</v>
      </c>
      <c r="D1" s="20" t="s">
        <v>267</v>
      </c>
      <c r="E1" s="20" t="s">
        <v>268</v>
      </c>
      <c r="F1" s="20" t="s">
        <v>269</v>
      </c>
      <c r="G1" s="20" t="s">
        <v>270</v>
      </c>
      <c r="H1" s="20" t="s">
        <v>271</v>
      </c>
      <c r="I1" s="20" t="s">
        <v>272</v>
      </c>
      <c r="J1" s="20" t="s">
        <v>273</v>
      </c>
      <c r="K1" s="20" t="s">
        <v>274</v>
      </c>
      <c r="L1" s="20" t="s">
        <v>275</v>
      </c>
      <c r="M1" s="20" t="s">
        <v>276</v>
      </c>
      <c r="N1" s="20" t="s">
        <v>277</v>
      </c>
      <c r="O1" s="20" t="s">
        <v>278</v>
      </c>
      <c r="P1" s="20" t="s">
        <v>279</v>
      </c>
      <c r="Q1" s="20" t="s">
        <v>280</v>
      </c>
      <c r="R1" s="20" t="s">
        <v>281</v>
      </c>
      <c r="S1" s="20" t="s">
        <v>282</v>
      </c>
      <c r="T1" s="20" t="s">
        <v>283</v>
      </c>
      <c r="U1" s="20" t="s">
        <v>284</v>
      </c>
      <c r="V1" s="20" t="s">
        <v>285</v>
      </c>
      <c r="W1" s="20" t="s">
        <v>286</v>
      </c>
      <c r="X1" s="20" t="s">
        <v>287</v>
      </c>
      <c r="Y1" s="20" t="s">
        <v>288</v>
      </c>
      <c r="Z1" s="20" t="s">
        <v>333</v>
      </c>
      <c r="AA1" s="20" t="s">
        <v>289</v>
      </c>
      <c r="AB1" s="20" t="s">
        <v>290</v>
      </c>
      <c r="AC1" s="20" t="s">
        <v>291</v>
      </c>
      <c r="AD1" s="20" t="s">
        <v>292</v>
      </c>
      <c r="AE1" s="20" t="s">
        <v>293</v>
      </c>
      <c r="AF1" s="20" t="s">
        <v>294</v>
      </c>
      <c r="AG1" s="20" t="s">
        <v>295</v>
      </c>
      <c r="AH1" s="20" t="s">
        <v>296</v>
      </c>
      <c r="AI1" s="20" t="s">
        <v>297</v>
      </c>
      <c r="AJ1" s="20" t="s">
        <v>298</v>
      </c>
      <c r="AK1" s="20" t="s">
        <v>299</v>
      </c>
      <c r="AL1" s="20" t="s">
        <v>300</v>
      </c>
      <c r="AM1" s="20" t="s">
        <v>334</v>
      </c>
      <c r="AN1" s="20" t="s">
        <v>335</v>
      </c>
      <c r="AO1" s="20" t="s">
        <v>301</v>
      </c>
      <c r="AP1" s="20" t="s">
        <v>302</v>
      </c>
      <c r="AQ1" s="20" t="s">
        <v>303</v>
      </c>
      <c r="AR1" s="20" t="s">
        <v>304</v>
      </c>
      <c r="AS1" s="20" t="s">
        <v>305</v>
      </c>
      <c r="AT1" s="20" t="s">
        <v>306</v>
      </c>
      <c r="AU1" s="20" t="s">
        <v>307</v>
      </c>
      <c r="AV1" s="20" t="s">
        <v>336</v>
      </c>
      <c r="AW1" s="20" t="s">
        <v>308</v>
      </c>
      <c r="AX1" s="20" t="s">
        <v>309</v>
      </c>
      <c r="AY1" s="20" t="s">
        <v>310</v>
      </c>
      <c r="AZ1" s="20" t="s">
        <v>311</v>
      </c>
      <c r="BA1" s="20" t="s">
        <v>312</v>
      </c>
      <c r="BB1" s="20" t="s">
        <v>313</v>
      </c>
      <c r="BC1" s="20" t="s">
        <v>314</v>
      </c>
      <c r="BD1" s="20" t="s">
        <v>427</v>
      </c>
      <c r="BE1" s="20" t="s">
        <v>315</v>
      </c>
      <c r="BF1" s="20" t="s">
        <v>316</v>
      </c>
    </row>
    <row r="2" spans="1:58">
      <c r="A2" s="22">
        <v>255001</v>
      </c>
      <c r="B2" s="23" t="s">
        <v>317</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318</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319</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265</v>
      </c>
      <c r="B1" s="20" t="s">
        <v>266</v>
      </c>
      <c r="C1" s="20" t="s">
        <v>320</v>
      </c>
      <c r="D1" s="20" t="s">
        <v>321</v>
      </c>
      <c r="E1" s="20" t="s">
        <v>322</v>
      </c>
      <c r="F1" s="20" t="s">
        <v>323</v>
      </c>
    </row>
    <row r="2" spans="1:6">
      <c r="A2" s="22">
        <v>255001</v>
      </c>
      <c r="B2" s="23" t="s">
        <v>317</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324</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325</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326</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327</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337</v>
      </c>
      <c r="B1" s="39" t="s">
        <v>374</v>
      </c>
      <c r="C1" s="39" t="s">
        <v>375</v>
      </c>
      <c r="D1" s="39" t="s">
        <v>376</v>
      </c>
      <c r="E1" s="39" t="s">
        <v>377</v>
      </c>
      <c r="F1" s="39" t="s">
        <v>378</v>
      </c>
      <c r="G1" s="39" t="s">
        <v>379</v>
      </c>
      <c r="H1" s="39" t="s">
        <v>380</v>
      </c>
      <c r="I1" s="39" t="s">
        <v>381</v>
      </c>
      <c r="J1" s="39" t="s">
        <v>382</v>
      </c>
      <c r="K1" s="39" t="s">
        <v>383</v>
      </c>
      <c r="L1" s="39" t="s">
        <v>384</v>
      </c>
      <c r="M1" s="39" t="s">
        <v>385</v>
      </c>
      <c r="N1" s="39" t="s">
        <v>386</v>
      </c>
      <c r="O1" s="39" t="s">
        <v>387</v>
      </c>
      <c r="P1" s="39" t="s">
        <v>388</v>
      </c>
      <c r="Q1" s="39" t="s">
        <v>389</v>
      </c>
      <c r="R1" s="39" t="s">
        <v>390</v>
      </c>
      <c r="S1" s="39" t="s">
        <v>391</v>
      </c>
      <c r="T1" s="39" t="s">
        <v>392</v>
      </c>
      <c r="U1" s="39" t="s">
        <v>393</v>
      </c>
      <c r="V1" s="39" t="s">
        <v>394</v>
      </c>
      <c r="W1" s="39" t="s">
        <v>395</v>
      </c>
      <c r="X1" s="39" t="s">
        <v>396</v>
      </c>
      <c r="Y1" s="39" t="s">
        <v>397</v>
      </c>
      <c r="Z1" s="39" t="s">
        <v>398</v>
      </c>
      <c r="AA1" s="39" t="s">
        <v>399</v>
      </c>
      <c r="AB1" s="39" t="s">
        <v>400</v>
      </c>
      <c r="AC1" s="39" t="s">
        <v>401</v>
      </c>
      <c r="AD1" s="39" t="s">
        <v>402</v>
      </c>
      <c r="AE1" s="39" t="s">
        <v>403</v>
      </c>
      <c r="AF1" s="39" t="s">
        <v>404</v>
      </c>
      <c r="AG1" s="39" t="s">
        <v>405</v>
      </c>
      <c r="AH1" s="39" t="s">
        <v>406</v>
      </c>
      <c r="AI1" s="39" t="s">
        <v>407</v>
      </c>
      <c r="AJ1" s="39" t="s">
        <v>408</v>
      </c>
      <c r="AK1" s="39" t="s">
        <v>409</v>
      </c>
      <c r="AL1" s="39" t="s">
        <v>410</v>
      </c>
      <c r="AM1" s="39" t="s">
        <v>411</v>
      </c>
      <c r="AN1" s="39" t="s">
        <v>412</v>
      </c>
      <c r="AO1" s="39" t="s">
        <v>413</v>
      </c>
      <c r="AP1" s="39" t="s">
        <v>414</v>
      </c>
    </row>
    <row r="2" spans="1:42">
      <c r="A2" s="40">
        <v>255001</v>
      </c>
      <c r="B2" s="41" t="s">
        <v>317</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318</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415</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416</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2021-09-07T07:51:25Z</dcterms:modified>
</cp:coreProperties>
</file>