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 (1)\"/>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7" i="5"/>
  <c r="A75" i="5"/>
  <c r="A11" i="1"/>
  <c r="D10" i="5"/>
  <c r="J10" i="5" s="1"/>
  <c r="H10" i="5" l="1"/>
  <c r="K10" i="5" s="1"/>
  <c r="G10" i="5"/>
  <c r="G87"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s="1"/>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c r="C625" i="10" s="1"/>
  <c r="E624" i="10"/>
  <c r="D624" i="10" s="1"/>
  <c r="C624" i="10" s="1"/>
  <c r="E623" i="10"/>
  <c r="D623" i="10" s="1"/>
  <c r="C623" i="10" s="1"/>
  <c r="E622" i="10"/>
  <c r="D622" i="10" s="1"/>
  <c r="C622" i="10" s="1"/>
  <c r="E621" i="10"/>
  <c r="D621" i="10" s="1"/>
  <c r="C621" i="10" s="1"/>
  <c r="E620" i="10"/>
  <c r="D620" i="10" s="1"/>
  <c r="C620" i="10" s="1"/>
  <c r="E619" i="10"/>
  <c r="D619" i="10"/>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s="1"/>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s="1"/>
  <c r="C478" i="10" s="1"/>
  <c r="E477" i="10"/>
  <c r="D477" i="10"/>
  <c r="C477" i="10" s="1"/>
  <c r="E476" i="10"/>
  <c r="D476" i="10" s="1"/>
  <c r="E475" i="10"/>
  <c r="D475" i="10" s="1"/>
  <c r="C475" i="10" s="1"/>
  <c r="E474" i="10"/>
  <c r="D474" i="10" s="1"/>
  <c r="C474" i="10" s="1"/>
  <c r="E473" i="10"/>
  <c r="D473" i="10" s="1"/>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E447" i="10"/>
  <c r="D447" i="10"/>
  <c r="C447" i="10" s="1"/>
  <c r="E446" i="10"/>
  <c r="D446" i="10" s="1"/>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s="1"/>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8" i="10" l="1"/>
  <c r="S4" i="11"/>
  <c r="T4" i="11"/>
  <c r="C839" i="10"/>
  <c r="S73" i="11"/>
  <c r="T73" i="11"/>
  <c r="C871" i="10"/>
  <c r="S76" i="11"/>
  <c r="T76" i="11"/>
  <c r="C901" i="10"/>
  <c r="S79" i="11"/>
  <c r="T79" i="11"/>
  <c r="C1363" i="10"/>
  <c r="T120" i="11"/>
  <c r="S120" i="11"/>
  <c r="C605" i="10"/>
  <c r="S52" i="11"/>
  <c r="T52" i="11"/>
  <c r="C355" i="10"/>
  <c r="S31" i="11"/>
  <c r="T31" i="11"/>
  <c r="C521" i="10"/>
  <c r="S45" i="11"/>
  <c r="T45" i="11"/>
  <c r="C790" i="10"/>
  <c r="S68" i="11"/>
  <c r="T68" i="11"/>
  <c r="C881" i="10"/>
  <c r="S77" i="11"/>
  <c r="T77" i="11"/>
  <c r="C769" i="10"/>
  <c r="S66" i="11"/>
  <c r="T66"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S127" i="11"/>
  <c r="T127" i="11"/>
  <c r="C1459" i="10"/>
  <c r="S129" i="11"/>
  <c r="T129" i="11"/>
  <c r="C1488" i="10"/>
  <c r="S132" i="11"/>
  <c r="T132" i="11"/>
  <c r="C1610" i="10"/>
  <c r="S144" i="11"/>
  <c r="T144" i="11"/>
  <c r="C1681" i="10"/>
  <c r="S150" i="11"/>
  <c r="T150" i="11"/>
  <c r="C1717" i="10"/>
  <c r="S154" i="11"/>
  <c r="T154" i="11"/>
  <c r="S155" i="11"/>
  <c r="T155" i="11"/>
  <c r="C1733" i="10"/>
  <c r="S156" i="11"/>
  <c r="T156" i="11"/>
  <c r="C1741" i="10"/>
  <c r="S157" i="11"/>
  <c r="T157" i="11"/>
  <c r="C1756" i="10"/>
  <c r="S159" i="11"/>
  <c r="T159" i="11"/>
  <c r="C1764" i="10"/>
  <c r="S160" i="11"/>
  <c r="T160" i="11"/>
  <c r="C1772" i="10"/>
  <c r="T161" i="11"/>
  <c r="S161" i="11"/>
  <c r="C5" i="10"/>
  <c r="S3" i="11"/>
  <c r="T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S123" i="11"/>
  <c r="T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44" i="10"/>
  <c r="S6" i="11"/>
  <c r="T6" i="11"/>
  <c r="C57" i="10"/>
  <c r="S7" i="11"/>
  <c r="E51" i="5" s="1"/>
  <c r="T7" i="11"/>
  <c r="C149" i="10"/>
  <c r="S14" i="11"/>
  <c r="T14" i="11"/>
  <c r="C161" i="10"/>
  <c r="S15" i="11"/>
  <c r="T15" i="11"/>
  <c r="C207" i="10"/>
  <c r="S19" i="11"/>
  <c r="T19" i="11"/>
  <c r="C97" i="10"/>
  <c r="S10" i="11"/>
  <c r="T10" i="11"/>
  <c r="C109" i="10"/>
  <c r="S11" i="11"/>
  <c r="T11"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702" i="10"/>
  <c r="S60" i="11"/>
  <c r="T60"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55" i="10"/>
  <c r="S111" i="11"/>
  <c r="T111" i="11"/>
  <c r="C1281" i="10"/>
  <c r="S113" i="11"/>
  <c r="T113" i="11"/>
  <c r="C1304" i="10"/>
  <c r="S115" i="11"/>
  <c r="T115" i="11"/>
  <c r="C1316" i="10"/>
  <c r="S116" i="11"/>
  <c r="T116" i="11"/>
  <c r="C1327" i="10"/>
  <c r="S117" i="11"/>
  <c r="T117" i="11"/>
  <c r="C1407" i="10"/>
  <c r="S124" i="11"/>
  <c r="T124" i="11"/>
  <c r="C1478" i="10"/>
  <c r="S131" i="11"/>
  <c r="T131" i="11"/>
  <c r="C1508" i="10"/>
  <c r="S134" i="11"/>
  <c r="T134" i="11"/>
  <c r="C1527" i="10"/>
  <c r="S136" i="11"/>
  <c r="T136" i="11"/>
  <c r="C1537" i="10"/>
  <c r="S137" i="11"/>
  <c r="T137" i="11"/>
  <c r="C1588" i="10"/>
  <c r="S142" i="11"/>
  <c r="T142" i="11"/>
  <c r="C1600" i="10"/>
  <c r="S143" i="11"/>
  <c r="T143" i="11"/>
  <c r="C1671" i="10"/>
  <c r="S149" i="11"/>
  <c r="T149" i="11"/>
  <c r="S151" i="11"/>
  <c r="T151" i="11"/>
  <c r="C1708" i="10"/>
  <c r="S153" i="11"/>
  <c r="T153" i="11"/>
  <c r="C84" i="10"/>
  <c r="S9" i="11"/>
  <c r="T9" i="11"/>
  <c r="C257" i="10"/>
  <c r="S23" i="11"/>
  <c r="T23" i="11"/>
  <c r="C2" i="10"/>
  <c r="T2" i="11"/>
  <c r="S2"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E53" i="5" s="1"/>
  <c r="Q7" i="11"/>
  <c r="E50" i="5" s="1"/>
  <c r="AL7" i="11"/>
  <c r="J69" i="5" s="1"/>
  <c r="AH7" i="11"/>
  <c r="J65" i="5" s="1"/>
  <c r="AD7" i="11"/>
  <c r="J60" i="5" s="1"/>
  <c r="D7" i="11"/>
  <c r="J34" i="5" s="1"/>
  <c r="AK7" i="11"/>
  <c r="E69" i="5" s="1"/>
  <c r="AG7" i="11"/>
  <c r="E65" i="5" s="1"/>
  <c r="AC7" i="11"/>
  <c r="E60" i="5" s="1"/>
  <c r="C7" i="11"/>
  <c r="E34" i="5" s="1"/>
  <c r="X7" i="11"/>
  <c r="J53" i="5" s="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E71" i="5" s="1"/>
  <c r="AI7" i="11"/>
  <c r="E67" i="5" s="1"/>
  <c r="AE7" i="11"/>
  <c r="E62" i="5" s="1"/>
  <c r="AA7" i="11"/>
  <c r="E58" i="5" s="1"/>
  <c r="M7" i="11"/>
  <c r="E45" i="5" s="1"/>
  <c r="I7" i="11"/>
  <c r="E41" i="5" s="1"/>
  <c r="E7" i="11"/>
  <c r="E36" i="5" s="1"/>
  <c r="Z7" i="11"/>
  <c r="J55" i="5" s="1"/>
  <c r="V7" i="11"/>
  <c r="P7" i="11"/>
  <c r="J48" i="5" s="1"/>
  <c r="L7" i="11"/>
  <c r="J43" i="5" s="1"/>
  <c r="H7" i="11"/>
  <c r="J39" i="5" s="1"/>
  <c r="Y7" i="11"/>
  <c r="E55" i="5" s="1"/>
  <c r="U7" i="11"/>
  <c r="E52" i="5" s="1"/>
  <c r="O7" i="11"/>
  <c r="E48" i="5" s="1"/>
  <c r="K7" i="11"/>
  <c r="E43" i="5" s="1"/>
  <c r="G7" i="11"/>
  <c r="E39" i="5" s="1"/>
  <c r="AN7" i="11"/>
  <c r="J71" i="5" s="1"/>
  <c r="AJ7" i="11"/>
  <c r="J67" i="5" s="1"/>
  <c r="AF7" i="11"/>
  <c r="J62" i="5" s="1"/>
  <c r="AB7" i="11"/>
  <c r="N7" i="11"/>
  <c r="J45" i="5" s="1"/>
  <c r="J7" i="11"/>
  <c r="J41" i="5" s="1"/>
  <c r="F7" i="11"/>
  <c r="J36" i="5" s="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C44" i="5"/>
  <c r="G44" i="5" s="1"/>
  <c r="F44" i="5"/>
  <c r="B44" i="5"/>
  <c r="AD119" i="11"/>
  <c r="X113" i="11"/>
  <c r="C66" i="5"/>
  <c r="G66" i="5" s="1"/>
  <c r="F66" i="5"/>
  <c r="B66" i="5"/>
  <c r="Q138" i="11"/>
  <c r="F49" i="5"/>
  <c r="C49" i="5"/>
  <c r="G49" i="5" s="1"/>
  <c r="B49" i="5"/>
  <c r="B37" i="5"/>
  <c r="F37" i="5"/>
  <c r="C37" i="5"/>
  <c r="G37" i="5" s="1"/>
  <c r="B63" i="5"/>
  <c r="C63" i="5"/>
  <c r="G63" i="5" s="1"/>
  <c r="F63" i="5"/>
  <c r="C119" i="11"/>
  <c r="F70" i="5"/>
  <c r="C70" i="5"/>
  <c r="G70" i="5" s="1"/>
  <c r="B70" i="5"/>
  <c r="C163" i="11"/>
  <c r="W163" i="11"/>
  <c r="D163" i="11"/>
  <c r="X163" i="11"/>
  <c r="Q163" i="11"/>
  <c r="AC163" i="11"/>
  <c r="AG163" i="11"/>
  <c r="AK163" i="11"/>
  <c r="R163" i="11"/>
  <c r="AD163" i="11"/>
  <c r="AH163" i="11"/>
  <c r="AL163" i="11"/>
  <c r="AG130" i="11"/>
  <c r="AD87" i="11"/>
  <c r="C42" i="5"/>
  <c r="G42" i="5" s="1"/>
  <c r="B42" i="5"/>
  <c r="F42" i="5"/>
  <c r="F68" i="5"/>
  <c r="B68" i="5"/>
  <c r="C68" i="5"/>
  <c r="G68" i="5" s="1"/>
  <c r="AC101" i="11"/>
  <c r="F35" i="5"/>
  <c r="C35" i="5"/>
  <c r="G35" i="5" s="1"/>
  <c r="B35" i="5"/>
  <c r="Q162" i="11"/>
  <c r="AC162" i="11"/>
  <c r="AG162" i="11"/>
  <c r="AK162" i="11"/>
  <c r="R162" i="11"/>
  <c r="AD162" i="11"/>
  <c r="AH162" i="11"/>
  <c r="AL162" i="11"/>
  <c r="C162" i="11"/>
  <c r="W162" i="11"/>
  <c r="D162" i="11"/>
  <c r="X162" i="11"/>
  <c r="F40" i="5"/>
  <c r="B40" i="5"/>
  <c r="C40" i="5"/>
  <c r="G40" i="5" s="1"/>
  <c r="C56" i="5"/>
  <c r="G56" i="5" s="1"/>
  <c r="F56" i="5"/>
  <c r="B56" i="5"/>
  <c r="B46" i="5"/>
  <c r="C46" i="5"/>
  <c r="G46" i="5" s="1"/>
  <c r="F46" i="5"/>
  <c r="B72" i="5"/>
  <c r="C72" i="5"/>
  <c r="G72" i="5" s="1"/>
  <c r="F72" i="5"/>
  <c r="D113" i="11"/>
  <c r="C61" i="5"/>
  <c r="G61" i="5" s="1"/>
  <c r="F61" i="5"/>
  <c r="B61" i="5"/>
  <c r="F54" i="5"/>
  <c r="B54" i="5"/>
  <c r="C54" i="5"/>
  <c r="G54" i="5" s="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2" i="5" l="1"/>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<sst xmlns="http://schemas.openxmlformats.org/spreadsheetml/2006/main" count="4853" uniqueCount="487">
  <si>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</si>
  <si>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</si>
  <si>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</si>
  <si>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</si>
  <si>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</si>
  <si>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</si>
  <si>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</si>
  <si>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</si>
  <si>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</si>
  <si>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</si>
  <si>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</si>
  <si>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</si>
  <si>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</si>
  <si>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</si>
  <si>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</si>
  <si>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</si>
  <si>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</si>
  <si>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</si>
  <si>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</si>
  <si>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</si>
  <si>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</si>
  <si>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</si>
  <si>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</si>
  <si>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</si>
  <si>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</si>
  <si>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</si>
  <si>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</si>
  <si>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</si>
  <si>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</si>
  <si>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</si>
  <si>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</si>
  <si>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</si>
  <si>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</si>
  <si>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</si>
  <si>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</si>
  <si>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</si>
  <si>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</si>
  <si>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</si>
  <si>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</si>
  <si>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</si>
  <si>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</si>
  <si>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</si>
  <si>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</si>
  <si>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</si>
  <si>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</si>
  <si>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</si>
  <si>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</si>
  <si>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</si>
  <si>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</si>
  <si>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</si>
  <si>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</si>
  <si>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</si>
  <si>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</si>
  <si>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</si>
  <si>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</si>
  <si>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</si>
  <si>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</si>
  <si>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</si>
  <si>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</si>
  <si>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</si>
  <si>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</si>
  <si>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</si>
  <si>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</si>
  <si>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</si>
  <si>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</si>
  <si>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</si>
  <si>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</si>
  <si>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</si>
  <si>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</si>
  <si>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</si>
  <si>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</si>
  <si>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</si>
  <si>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</si>
  <si>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</si>
  <si>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</si>
  <si>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</si>
  <si>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</si>
  <si>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</si>
  <si>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</si>
  <si>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</si>
  <si>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</si>
  <si>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</si>
  <si>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</si>
  <si>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</si>
  <si>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</si>
  <si>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</si>
  <si>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</si>
  <si>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</si>
  <si>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</si>
  <si>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</si>
  <si>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</si>
  <si>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</si>
  <si>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</si>
  <si>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</si>
  <si>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</si>
  <si>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</si>
  <si>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</si>
  <si>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</si>
  <si>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</si>
  <si>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</si>
  <si>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</si>
  <si>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</si>
  <si>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</si>
  <si>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</si>
  <si>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</si>
  <si>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</si>
  <si>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</si>
  <si>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</si>
  <si>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</si>
  <si>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</si>
  <si>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</si>
  <si>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</si>
  <si>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</si>
  <si>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</si>
  <si>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</si>
  <si>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</si>
  <si>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</si>
  <si>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</si>
  <si>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</si>
  <si>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</si>
  <si>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</si>
  <si>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</si>
  <si>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</si>
  <si>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</si>
  <si>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</si>
  <si>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</si>
  <si>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</si>
  <si>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</si>
  <si>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</si>
  <si>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</si>
  <si>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</si>
  <si>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</si>
  <si>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</si>
  <si>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</si>
  <si>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</si>
  <si>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</si>
  <si>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</si>
  <si>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</si>
  <si>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</si>
  <si>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</si>
  <si>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</si>
  <si>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</si>
  <si>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</si>
  <si>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</si>
  <si>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</si>
  <si>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</si>
  <si>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</si>
  <si>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</si>
  <si>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</si>
  <si>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</si>
  <si>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</si>
  <si>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</si>
  <si>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</si>
  <si>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</si>
  <si>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</si>
  <si>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</si>
  <si>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</si>
  <si>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</si>
  <si>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</si>
  <si>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</si>
  <si>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</si>
  <si>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</si>
  <si>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</si>
  <si>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</si>
  <si>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</si>
  <si>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</si>
  <si>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</si>
  <si>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</si>
  <si>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</si>
  <si>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</si>
  <si>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</si>
  <si>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</si>
  <si>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</si>
  <si>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</si>
  <si>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</si>
  <si>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</si>
  <si>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</si>
  <si>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</si>
  <si>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</si>
  <si>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</si>
  <si>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</si>
  <si>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</si>
  <si>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</si>
  <si>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</si>
  <si>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</si>
  <si>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</si>
  <si>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</si>
  <si>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</si>
  <si>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</si>
  <si>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</si>
  <si>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</si>
  <si>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</si>
  <si>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</si>
  <si>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</si>
  <si>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</si>
  <si>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</si>
  <si>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</si>
  <si>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</si>
  <si>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</si>
  <si>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</si>
  <si>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</si>
  <si>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</si>
  <si>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</si>
  <si>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</si>
  <si>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</si>
  <si>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</si>
  <si>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</si>
  <si>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</si>
  <si>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</si>
  <si>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</si>
  <si>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</si>
  <si>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</si>
  <si>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</si>
  <si>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</si>
  <si>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</si>
  <si>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</si>
  <si>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</si>
  <si>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</si>
  <si>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</si>
  <si>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</si>
  <si>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</si>
  <si>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</si>
  <si>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</si>
  <si>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</si>
  <si>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</si>
  <si>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</si>
  <si>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</si>
  <si>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</si>
  <si>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</si>
  <si>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</si>
  <si>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</si>
  <si>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</si>
  <si>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</si>
  <si>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</si>
  <si>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</si>
  <si>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</si>
  <si>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</si>
  <si>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</si>
  <si>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</si>
  <si>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</si>
  <si>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</si>
  <si>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</si>
  <si>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</si>
  <si>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</si>
  <si>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</si>
  <si>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</si>
  <si>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</si>
  <si>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</si>
  <si>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</si>
  <si>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</si>
  <si>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</si>
  <si>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</si>
  <si>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</si>
  <si>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</si>
  <si>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</si>
  <si>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</si>
  <si>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</si>
  <si>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</si>
  <si>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</si>
  <si>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</si>
  <si>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</si>
  <si>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</si>
  <si>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</si>
  <si>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</si>
  <si>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</si>
  <si>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</si>
  <si>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</si>
  <si>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</si>
  <si>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</si>
  <si>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</si>
  <si>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</si>
  <si>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</si>
  <si>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</si>
  <si>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</si>
  <si>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</si>
  <si>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</si>
  <si>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</si>
  <si>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</si>
  <si>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</si>
  <si>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</si>
  <si>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</si>
  <si>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</si>
  <si>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</si>
  <si>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</si>
  <si>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</si>
  <si>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</si>
  <si>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</si>
  <si>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</si>
  <si>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</si>
  <si>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</si>
  <si>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</si>
  <si>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</si>
  <si>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</si>
  <si>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</si>
  <si>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</si>
  <si>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</si>
  <si>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</si>
  <si>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</si>
  <si>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</si>
  <si>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</si>
  <si>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</si>
  <si>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</si>
  <si>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</si>
  <si>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</si>
  <si>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</si>
  <si>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</si>
  <si>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</si>
  <si>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</si>
  <si>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</si>
  <si>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</si>
  <si>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</si>
  <si>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</si>
  <si>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</si>
  <si>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</si>
  <si>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</si>
  <si>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</si>
  <si>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</si>
  <si>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</si>
  <si>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</si>
  <si>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</si>
  <si>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</si>
  <si>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</si>
  <si>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</si>
  <si>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</si>
  <si>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</si>
  <si>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</si>
  <si>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</si>
  <si>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</si>
  <si>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</si>
  <si>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</si>
  <si>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</si>
  <si>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</si>
  <si>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</si>
  <si>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</si>
  <si>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</si>
  <si>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</si>
  <si>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</si>
  <si>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</si>
  <si>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</si>
  <si>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</si>
  <si>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</si>
  <si>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</si>
  <si>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</si>
  <si>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</si>
  <si>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</si>
  <si>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</si>
  <si>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</si>
  <si>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</si>
  <si>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</si>
  <si>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</si>
  <si>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</si>
  <si>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</si>
  <si>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</si>
  <si>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</si>
  <si>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</si>
  <si>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</si>
  <si>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</si>
  <si>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</si>
  <si>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</si>
  <si>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</si>
  <si>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</si>
  <si>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</si>
  <si>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</si>
  <si>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</si>
  <si>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</si>
  <si>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</si>
  <si>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</si>
  <si>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</si>
  <si>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</si>
  <si>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</si>
  <si>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</si>
  <si>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</si>
  <si>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</si>
  <si>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</si>
  <si>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</si>
  <si>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</si>
  <si>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</si>
  <si>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</si>
  <si>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</si>
  <si>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</si>
  <si>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</si>
  <si>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</si>
  <si>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</si>
  <si>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</si>
  <si>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</si>
  <si>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</si>
  <si>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</si>
  <si>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</si>
  <si>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</si>
  <si>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</si>
  <si>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</si>
  <si>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</si>
  <si>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</si>
  <si>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</si>
  <si>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</si>
  <si>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</si>
  <si>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</si>
  <si>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</si>
  <si>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</si>
  <si>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</si>
  <si>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</si>
  <si>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</si>
  <si>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</si>
  <si>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</si>
  <si>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</si>
  <si>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</si>
  <si>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</si>
  <si>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</si>
  <si>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</si>
  <si>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</si>
  <si>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</si>
  <si>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</si>
  <si>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</si>
  <si>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</si>
  <si>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</si>
  <si>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</si>
  <si>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</si>
  <si>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</si>
  <si>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</si>
  <si>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</si>
  <si>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</si>
  <si>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</si>
  <si>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</si>
  <si>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</si>
  <si>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</si>
  <si>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</si>
  <si>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</si>
  <si>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</si>
  <si>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</si>
  <si>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</si>
  <si>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</si>
  <si>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</si>
  <si>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</si>
  <si>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</si>
  <si>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</si>
  <si>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</si>
  <si>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</si>
  <si>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</si>
  <si>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</si>
  <si>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</si>
  <si>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</si>
  <si>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</si>
  <si>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</si>
  <si>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</si>
  <si>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</si>
  <si>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</si>
  <si>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</si>
  <si>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</si>
  <si>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</si>
  <si>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</si>
  <si>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</si>
  <si>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</si>
  <si>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</si>
  <si>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</si>
  <si>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</si>
  <si>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</si>
  <si>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</si>
  <si>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</si>
  <si>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</si>
  <si>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</si>
  <si>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</si>
  <si>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</si>
  <si>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</si>
  <si>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</si>
  <si>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</si>
  <si>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</si>
  <si>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</si>
  <si>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</si>
  <si>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</si>
  <si>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</si>
  <si>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</si>
  <si>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</si>
  <si>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</si>
  <si>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</si>
  <si>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</si>
  <si>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</si>
  <si>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</si>
  <si>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北京市第十三中学是集初中义务教育、高中学历教育的学校。单位下设部门分别为：校务办公室、教学处、学生处、
总务处、科研处等职能科室。</t>
    <phoneticPr fontId="4" type="noConversion"/>
  </si>
  <si>
    <t xml:space="preserve">                     </t>
    <phoneticPr fontId="4" type="noConversion"/>
  </si>
  <si>
    <t>主要原因是项目经费减少。</t>
    <phoneticPr fontId="4" type="noConversion"/>
  </si>
  <si>
    <t>主要原因是：本年有追加项目如：两址技防经费、中小学生实践活动经费、扩班设备、义务教育免费教科书、基础教育创新人才培养、公用经费补助等。</t>
    <phoneticPr fontId="4" type="noConversion"/>
  </si>
  <si>
    <t>主要原因是：因疫情防控要求，本年控制线下培训数，很多培训都采用线上，故支出少于预算很多。</t>
    <phoneticPr fontId="4" type="noConversion"/>
  </si>
  <si>
    <t>主要原因是：本年追加在职教师去世丧葬抚恤金费。</t>
    <phoneticPr fontId="4" type="noConversion"/>
  </si>
  <si>
    <t>主要原因是：本年追加退休教师去世丧葬抚恤金费等。</t>
    <phoneticPr fontId="4" type="noConversion"/>
  </si>
  <si>
    <t>主要原因是：本年追加在职医保经费等。</t>
    <phoneticPr fontId="4" type="noConversion"/>
  </si>
  <si>
    <t>主要原因是：本年追加在职购房补贴和住房公积金经费。</t>
    <phoneticPr fontId="4" type="noConversion"/>
  </si>
  <si>
    <t>主要原因是：因疫情，学校公务用车行车成本减少。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</si>
</sst>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D7" sqref="D7"/>
    </sheetView>
  </sheetViews>
  <sheetFormatPr defaultRowHeight="13.8"/>
  <cols>
    <col min="1" max="1" width="16.44140625" customWidth="1"/>
    <col min="2" max="2" width="12.77734375" bestFit="1" customWidth="1"/>
  </cols>
  <sheetData>
    <row r="1" spans="1:14" ht="37.950000000000003" customHeight="1">
      <c r="A1" s="27" t="s">
        <v>0</v>
      </c>
      <c r="B1" s="28">
        <v>255006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北京市第十三中学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95"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469</v>
      </c>
      <c r="T1" s="76" t="s">
        <v>470</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460</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461</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23.6640625" style="36" customWidth="1"/>
    <col min="3" max="4" width="7.21875" style="40" customWidth="1"/>
    <col min="5" max="5" width="8.4414062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465</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465</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459</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459</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459</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459</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459</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459</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459</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459</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459</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459</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459</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465</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465</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460</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460</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460</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460</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460</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460</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461</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461</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461</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461</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461</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461</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465</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465</v>
      </c>
      <c r="B23" s="74">
        <v>2060499</v>
      </c>
      <c r="C23" s="74" t="s">
        <v>466</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467</v>
      </c>
      <c r="B34" s="74">
        <v>2120801</v>
      </c>
      <c r="C34" s="74" t="s">
        <v>466</v>
      </c>
      <c r="D34" s="74" t="s">
        <v>468</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21" sqref="F21"/>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474</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zoomScale="85" zoomScaleNormal="85" workbookViewId="0">
      <selection activeCell="Q11" sqref="Q11"/>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69" customHeight="1">
      <c r="A4" s="89" t="s">
        <v>477</v>
      </c>
      <c r="B4" s="89"/>
      <c r="C4" s="89"/>
      <c r="D4" s="89"/>
      <c r="E4" s="89"/>
      <c r="F4" s="89"/>
      <c r="G4" s="89"/>
      <c r="H4" s="89"/>
      <c r="I4" s="89"/>
      <c r="J4" s="89"/>
      <c r="K4" s="89"/>
      <c r="L4" s="89"/>
      <c r="M4" s="89"/>
      <c r="N4" s="19"/>
    </row>
    <row r="5" spans="1:14" ht="18" customHeight="1">
      <c r="A5" s="7" t="s">
        <v>176</v>
      </c>
    </row>
    <row r="6" spans="1:14" ht="18" customHeight="1">
      <c r="A6" s="86" t="s">
        <v>245</v>
      </c>
      <c r="B6" s="86"/>
      <c r="C6" s="10">
        <v>217</v>
      </c>
      <c r="D6" s="10" t="s">
        <v>247</v>
      </c>
      <c r="E6" s="8">
        <f>_xlfn.IFNA(VLOOKUP(封面!B1,'2021决算导出'!A:C,3,FALSE),"")</f>
        <v>195</v>
      </c>
      <c r="F6" s="10" t="s">
        <v>248</v>
      </c>
      <c r="G6" s="10"/>
      <c r="H6" s="10"/>
      <c r="I6" s="10"/>
      <c r="J6" s="10"/>
      <c r="K6" s="10"/>
      <c r="L6" s="10"/>
      <c r="M6" s="10"/>
      <c r="N6" s="10"/>
    </row>
    <row r="7" spans="1:14" ht="18" customHeight="1">
      <c r="A7" s="6" t="s">
        <v>177</v>
      </c>
    </row>
    <row r="8" spans="1:14" ht="18" customHeight="1">
      <c r="A8" s="86" t="s">
        <v>478</v>
      </c>
      <c r="B8" s="86"/>
      <c r="C8" s="86"/>
      <c r="D8" s="14">
        <f>_xlfn.IFNA(VLOOKUP(封面!B1,'2021决算导出'!A:D,4,FALSE),"")</f>
        <v>90168937.219999999</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2028614.849999994</v>
      </c>
      <c r="I8" s="16" t="s">
        <v>179</v>
      </c>
      <c r="J8" s="30" t="str">
        <f>IF(ISNA(VLOOKUP(封面!B1,'2020决算导出'!A:D,4,FALSE)),"",IF(D8-VLOOKUP(封面!B1,'2020决算导出'!A:D,4,FALSE)&gt;0,"增长","下降"))</f>
        <v>下降</v>
      </c>
      <c r="K8" s="31">
        <f>IF(ISNA(VLOOKUP(封面!B1,'2020决算导出'!A:D,4,FALSE)),"",H8/VLOOKUP(封面!B1,'2020决算导出'!A:D,4,FALSE))</f>
        <v>2.2002914442454939E-2</v>
      </c>
      <c r="L8" s="7" t="s">
        <v>313</v>
      </c>
    </row>
    <row r="9" spans="1:14" ht="18" customHeight="1">
      <c r="A9" s="7" t="s">
        <v>180</v>
      </c>
      <c r="G9" s="32"/>
      <c r="H9" s="32"/>
      <c r="I9" s="32"/>
      <c r="J9" s="32"/>
      <c r="K9" s="32"/>
    </row>
    <row r="10" spans="1:14" ht="18" customHeight="1">
      <c r="A10" s="86" t="s">
        <v>416</v>
      </c>
      <c r="B10" s="86"/>
      <c r="C10" s="86"/>
      <c r="D10" s="14">
        <f>_xlfn.IFNA(VLOOKUP(封面!B1,'2021决算导出'!A:E,5,FALSE),"")</f>
        <v>90168937.219999999</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1616049.049999997</v>
      </c>
      <c r="I10" s="16" t="s">
        <v>179</v>
      </c>
      <c r="J10" s="30" t="str">
        <f>IF(ISNA(VLOOKUP(封面!B1,'2020决算导出'!A:E,5,FALSE)),"",IF(D10-VLOOKUP(封面!B1,'2020决算导出'!A:E,5,FALSE)&gt;0,"增长","下降"))</f>
        <v>下降</v>
      </c>
      <c r="K10" s="31">
        <f>IF(ISNA(VLOOKUP(封面!B1,'2020决算导出'!A:E,5,FALSE)),"",H10/VLOOKUP(封面!B1,'2020决算导出'!A:E,5,FALSE))</f>
        <v>1.7606899730268893E-2</v>
      </c>
      <c r="L10" s="7" t="s">
        <v>314</v>
      </c>
    </row>
    <row r="11" spans="1:14" ht="18" customHeight="1">
      <c r="A11" s="86" t="s">
        <v>181</v>
      </c>
      <c r="B11" s="86"/>
      <c r="C11" s="86"/>
      <c r="D11" s="14">
        <f>_xlfn.IFNA(VLOOKUP(封面!B1,'2021决算导出'!A:F,6,FALSE),"")</f>
        <v>88908343.040000007</v>
      </c>
      <c r="E11" s="7" t="s">
        <v>179</v>
      </c>
      <c r="F11" s="86" t="s">
        <v>182</v>
      </c>
      <c r="G11" s="86"/>
      <c r="H11" s="29">
        <f>D11/$D$10</f>
        <v>0.98601964025677369</v>
      </c>
      <c r="I11" s="7" t="s">
        <v>315</v>
      </c>
    </row>
    <row r="12" spans="1:14" ht="18" customHeight="1">
      <c r="A12" s="86" t="s">
        <v>184</v>
      </c>
      <c r="B12" s="86"/>
      <c r="C12" s="86"/>
      <c r="D12" s="14">
        <f>_xlfn.IFNA(VLOOKUP(封面!B1,'2021决算导出'!A:G,7,FALSE),"")</f>
        <v>1260594.18</v>
      </c>
      <c r="E12" s="7" t="s">
        <v>179</v>
      </c>
      <c r="F12" s="86" t="s">
        <v>182</v>
      </c>
      <c r="G12" s="86"/>
      <c r="H12" s="29">
        <f t="shared" ref="H12:H15" si="0">D12/$D$10</f>
        <v>1.3980359743226438E-2</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417</v>
      </c>
      <c r="B17" s="86"/>
      <c r="C17" s="86"/>
      <c r="D17" s="14">
        <f>_xlfn.IFNA(VLOOKUP(封面!B1,'2021决算导出'!A:K,11,FALSE),"")</f>
        <v>89845191.540000007</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2352360.5299999863</v>
      </c>
      <c r="I17" s="7" t="s">
        <v>179</v>
      </c>
      <c r="J17" s="30" t="str">
        <f>IF(ISNA(VLOOKUP(封面!B1,'2020决算导出'!A:K,11,FALSE)),"",IF(D17-VLOOKUP(封面!B1,'2020决算导出'!A:K,11,FALSE)&gt;0,"增长","下降"))</f>
        <v>下降</v>
      </c>
      <c r="K17" s="31">
        <f>IF(ISNA(VLOOKUP(封面!B1,'2020决算导出'!A:K,11,FALSE)),"",H17/VLOOKUP(封面!B1,'2020决算导出'!A:K,11,FALSE))</f>
        <v>2.5514349103477087E-2</v>
      </c>
      <c r="L17" s="7" t="s">
        <v>317</v>
      </c>
    </row>
    <row r="18" spans="1:13" ht="18" customHeight="1">
      <c r="A18" s="86" t="s">
        <v>189</v>
      </c>
      <c r="B18" s="86"/>
      <c r="C18" s="86"/>
      <c r="D18" s="14">
        <f>_xlfn.IFNA(VLOOKUP(封面!B1,'2021决算导出'!A:L,12,FALSE),"")</f>
        <v>84409863.379999995</v>
      </c>
      <c r="E18" s="7" t="s">
        <v>179</v>
      </c>
      <c r="F18" s="86" t="s">
        <v>190</v>
      </c>
      <c r="G18" s="86"/>
      <c r="H18" s="29">
        <f>D18/$D$17</f>
        <v>0.93950340505891017</v>
      </c>
      <c r="I18" s="7" t="s">
        <v>315</v>
      </c>
    </row>
    <row r="19" spans="1:13" ht="18" customHeight="1">
      <c r="A19" s="86" t="s">
        <v>191</v>
      </c>
      <c r="B19" s="86"/>
      <c r="C19" s="86"/>
      <c r="D19" s="14">
        <f>_xlfn.IFNA(VLOOKUP(封面!B1,'2021决算导出'!A:M,13,FALSE),"")</f>
        <v>5435328.1600000001</v>
      </c>
      <c r="E19" s="7" t="s">
        <v>179</v>
      </c>
      <c r="F19" s="86" t="s">
        <v>190</v>
      </c>
      <c r="G19" s="86"/>
      <c r="H19" s="29">
        <f t="shared" ref="H19:H20" si="1">D19/$D$17</f>
        <v>6.0496594941089707E-2</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418</v>
      </c>
      <c r="B22" s="86"/>
      <c r="C22" s="86"/>
      <c r="D22" s="86"/>
      <c r="E22" s="83">
        <f>_xlfn.IFNA(VLOOKUP(封面!B1,'2021决算导出'!A:O,15,FALSE),"")</f>
        <v>88908343.040000007</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2110369.2299999893</v>
      </c>
      <c r="J22" s="7" t="s">
        <v>179</v>
      </c>
      <c r="K22" s="30" t="str">
        <f>IF(ISNA(VLOOKUP(封面!B1,'2020决算导出'!A:O,15,FALSE)),"",IF(E22-VLOOKUP(封面!B1,'2020决算导出'!A:O,15,FALSE)&gt;0,"增长","下降"))</f>
        <v>下降</v>
      </c>
      <c r="L22" s="31">
        <f>IF(ISNA(VLOOKUP(封面!B1,'2020决算导出'!A:O,15,FALSE)),"",I22/VLOOKUP(封面!B1,'2020决算导出'!A:O,15,FALSE))</f>
        <v>2.3186102916285409E-2</v>
      </c>
      <c r="M22" s="7" t="s">
        <v>313</v>
      </c>
    </row>
    <row r="23" spans="1:13" ht="63.6" customHeight="1">
      <c r="B23" s="87" t="s">
        <v>479</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419</v>
      </c>
      <c r="B26" s="86"/>
      <c r="C26" s="86"/>
      <c r="D26" s="86"/>
      <c r="E26" s="86"/>
      <c r="F26" s="83">
        <f>_xlfn.IFNA(VLOOKUP(封面!B1,'2021决算导出'!A:P,16,FALSE),"")</f>
        <v>88584597.359999999</v>
      </c>
      <c r="G26" s="83"/>
      <c r="H26" s="7" t="s">
        <v>179</v>
      </c>
      <c r="I26" s="10" t="s">
        <v>196</v>
      </c>
      <c r="J26" s="10"/>
      <c r="K26" s="10"/>
      <c r="L26" s="10"/>
      <c r="M26" s="10"/>
    </row>
    <row r="27" spans="1:13" ht="18" customHeight="1">
      <c r="A27" s="86" t="s">
        <v>199</v>
      </c>
      <c r="B27" s="86"/>
      <c r="C27" s="86"/>
      <c r="D27" s="83">
        <f>_xlfn.IFNA(VLOOKUP(封面!B1,'2021决算导出'!A:Q,17,FALSE),"")</f>
        <v>57658276.939999998</v>
      </c>
      <c r="E27" s="83"/>
      <c r="F27" s="7" t="s">
        <v>179</v>
      </c>
      <c r="G27" s="84" t="s">
        <v>198</v>
      </c>
      <c r="H27" s="84"/>
      <c r="I27" s="29">
        <f>D27/$F$26</f>
        <v>0.65088377278142207</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13592004.439999999</v>
      </c>
      <c r="E29" s="83"/>
      <c r="F29" s="7" t="s">
        <v>179</v>
      </c>
      <c r="G29" s="84" t="s">
        <v>198</v>
      </c>
      <c r="H29" s="84"/>
      <c r="I29" s="29">
        <f t="shared" si="2"/>
        <v>0.15343530190427226</v>
      </c>
      <c r="J29" s="7" t="s">
        <v>315</v>
      </c>
    </row>
    <row r="30" spans="1:13" ht="18" customHeight="1">
      <c r="A30" s="86" t="s">
        <v>201</v>
      </c>
      <c r="B30" s="86"/>
      <c r="C30" s="86"/>
      <c r="D30" s="83">
        <f>_xlfn.IFNA(VLOOKUP(封面!B1,'2021决算导出'!A:T,20,FALSE),"")</f>
        <v>6544467.9800000004</v>
      </c>
      <c r="E30" s="83"/>
      <c r="F30" s="7" t="s">
        <v>179</v>
      </c>
      <c r="G30" s="84" t="s">
        <v>198</v>
      </c>
      <c r="H30" s="84"/>
      <c r="I30" s="29">
        <f t="shared" si="2"/>
        <v>7.3878170416058445E-2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10789848</v>
      </c>
      <c r="E32" s="83"/>
      <c r="F32" s="7" t="s">
        <v>179</v>
      </c>
      <c r="G32" s="84" t="s">
        <v>198</v>
      </c>
      <c r="H32" s="84"/>
      <c r="I32" s="29">
        <f t="shared" si="2"/>
        <v>0.12180275489824724</v>
      </c>
      <c r="J32" s="7" t="s">
        <v>315</v>
      </c>
    </row>
    <row r="33" spans="1:12" ht="18" customHeight="1">
      <c r="A33" s="7" t="s">
        <v>204</v>
      </c>
    </row>
    <row r="34" spans="1:12" ht="18" customHeight="1">
      <c r="A34" s="88" t="s">
        <v>420</v>
      </c>
      <c r="B34" s="88"/>
      <c r="C34" s="88"/>
      <c r="D34" s="88"/>
      <c r="E34" s="83">
        <f>_xlfn.IFNA(VLOOKUP(封面!B1,一般公共预算财政拨款支出决算具体情况!A:C,3,FALSE),"")</f>
        <v>57658276.939999998</v>
      </c>
      <c r="F34" s="83"/>
      <c r="G34" s="7" t="s">
        <v>179</v>
      </c>
      <c r="H34" s="84" t="s">
        <v>421</v>
      </c>
      <c r="I34" s="84"/>
      <c r="J34" s="83">
        <f>_xlfn.IFNA(VLOOKUP(封面!B1,一般公共预算财政拨款支出决算具体情况!A:D,4,FALSE),"")</f>
        <v>54031021.439999998</v>
      </c>
      <c r="K34" s="83"/>
      <c r="L34" s="11" t="s">
        <v>178</v>
      </c>
    </row>
    <row r="35" spans="1:12" ht="18" customHeight="1">
      <c r="B35" s="15" t="str">
        <f>IF(E34&gt;J34,"增加","减少")</f>
        <v>增加</v>
      </c>
      <c r="C35" s="83">
        <f>ABS(E34-J34)</f>
        <v>3627255.5</v>
      </c>
      <c r="D35" s="83"/>
      <c r="E35" s="7" t="s">
        <v>179</v>
      </c>
      <c r="F35" s="15" t="str">
        <f>IF(E34&gt;J34,"增长","下降")</f>
        <v>增长</v>
      </c>
      <c r="G35" s="34">
        <f>IF(J34=0,IF(E34&gt;0,1,""),C35/J34)</f>
        <v>6.7132832275398874E-2</v>
      </c>
      <c r="H35" s="7" t="s">
        <v>316</v>
      </c>
      <c r="I35" s="11" t="s">
        <v>205</v>
      </c>
    </row>
    <row r="36" spans="1:12" ht="18" customHeight="1">
      <c r="A36" s="86" t="s">
        <v>422</v>
      </c>
      <c r="B36" s="86"/>
      <c r="C36" s="86"/>
      <c r="D36" s="86"/>
      <c r="E36" s="83">
        <f>_xlfn.IFNA(VLOOKUP(封面!B1,一般公共预算财政拨款支出决算具体情况!A:E,5,FALSE),"")</f>
        <v>56782072.939999998</v>
      </c>
      <c r="F36" s="83"/>
      <c r="G36" s="7" t="s">
        <v>179</v>
      </c>
      <c r="H36" s="84" t="s">
        <v>421</v>
      </c>
      <c r="I36" s="84"/>
      <c r="J36" s="83">
        <f>_xlfn.IFNA(VLOOKUP(封面!B1,一般公共预算财政拨款支出决算具体情况!A:F,6,FALSE),"")</f>
        <v>53082421.439999998</v>
      </c>
      <c r="K36" s="83"/>
      <c r="L36" s="11" t="s">
        <v>178</v>
      </c>
    </row>
    <row r="37" spans="1:12" ht="18" customHeight="1">
      <c r="A37" s="15"/>
      <c r="B37" s="15" t="str">
        <f>IF(E36&gt;J36,"增加","减少")</f>
        <v>增加</v>
      </c>
      <c r="C37" s="83">
        <f>ABS(E36-J36)</f>
        <v>3699651.5</v>
      </c>
      <c r="D37" s="83"/>
      <c r="E37" s="7" t="s">
        <v>179</v>
      </c>
      <c r="F37" s="15" t="str">
        <f>IF(E36&gt;J36,"增长","下降")</f>
        <v>增长</v>
      </c>
      <c r="G37" s="34">
        <f>IF(J36=0,IF(E36&gt;0,1,""),C37/J36)</f>
        <v>6.9696358976045994E-2</v>
      </c>
      <c r="H37" s="7" t="s">
        <v>316</v>
      </c>
    </row>
    <row r="38" spans="1:12" ht="36" customHeight="1">
      <c r="B38" s="89" t="s">
        <v>480</v>
      </c>
      <c r="C38" s="89"/>
      <c r="D38" s="89"/>
      <c r="E38" s="89"/>
      <c r="F38" s="89"/>
      <c r="G38" s="89"/>
      <c r="H38" s="89"/>
      <c r="I38" s="89"/>
      <c r="J38" s="89"/>
      <c r="K38" s="89"/>
      <c r="L38" s="89"/>
    </row>
    <row r="39" spans="1:12" ht="18" customHeight="1">
      <c r="A39" s="86" t="s">
        <v>423</v>
      </c>
      <c r="B39" s="86"/>
      <c r="C39" s="86"/>
      <c r="D39" s="86"/>
      <c r="E39" s="83">
        <f>_xlfn.IFNA(VLOOKUP(封面!B1,一般公共预算财政拨款支出决算具体情况!A:G,7,FALSE),"")</f>
        <v>0</v>
      </c>
      <c r="F39" s="83"/>
      <c r="G39" s="7" t="s">
        <v>179</v>
      </c>
      <c r="H39" s="84" t="s">
        <v>421</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6" t="s">
        <v>424</v>
      </c>
      <c r="B41" s="86"/>
      <c r="C41" s="86"/>
      <c r="D41" s="86"/>
      <c r="E41" s="83">
        <f>_xlfn.IFNA(VLOOKUP(封面!B1,一般公共预算财政拨款支出决算具体情况!A:I,9,FALSE),"")</f>
        <v>0</v>
      </c>
      <c r="F41" s="83"/>
      <c r="G41" s="7" t="s">
        <v>179</v>
      </c>
      <c r="H41" s="84" t="s">
        <v>421</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6" t="s">
        <v>425</v>
      </c>
      <c r="B43" s="86"/>
      <c r="C43" s="86"/>
      <c r="D43" s="86"/>
      <c r="E43" s="83">
        <f>_xlfn.IFNA(VLOOKUP(封面!B1,一般公共预算财政拨款支出决算具体情况!A:K,11,FALSE),"")</f>
        <v>0</v>
      </c>
      <c r="F43" s="83"/>
      <c r="G43" s="7" t="s">
        <v>179</v>
      </c>
      <c r="H43" s="84" t="s">
        <v>421</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6" t="s">
        <v>426</v>
      </c>
      <c r="B45" s="86"/>
      <c r="C45" s="86"/>
      <c r="D45" s="86"/>
      <c r="E45" s="83">
        <f>_xlfn.IFNA(VLOOKUP(封面!B1,一般公共预算财政拨款支出决算具体情况!A:M,13,FALSE),"")</f>
        <v>60204</v>
      </c>
      <c r="F45" s="83"/>
      <c r="G45" s="7" t="s">
        <v>179</v>
      </c>
      <c r="H45" s="84" t="s">
        <v>421</v>
      </c>
      <c r="I45" s="84"/>
      <c r="J45" s="83">
        <f>_xlfn.IFNA(VLOOKUP(封面!B1,一般公共预算财政拨款支出决算具体情况!A:N,14,FALSE),"")</f>
        <v>132600</v>
      </c>
      <c r="K45" s="83"/>
      <c r="L45" s="11" t="s">
        <v>178</v>
      </c>
    </row>
    <row r="46" spans="1:12" ht="18" customHeight="1">
      <c r="A46" s="15"/>
      <c r="B46" s="15" t="str">
        <f>IF(E45&gt;J45,"增加","减少")</f>
        <v>减少</v>
      </c>
      <c r="C46" s="83">
        <f>ABS(E45-J45)</f>
        <v>72396</v>
      </c>
      <c r="D46" s="83"/>
      <c r="E46" s="7" t="s">
        <v>179</v>
      </c>
      <c r="F46" s="15" t="str">
        <f>IF(E45&gt;J45,"增长","下降")</f>
        <v>下降</v>
      </c>
      <c r="G46" s="34">
        <f>IF(J45=0,IF(E45&gt;0,1,""),C46/J45)</f>
        <v>0.54597285067873302</v>
      </c>
      <c r="H46" s="7" t="s">
        <v>316</v>
      </c>
    </row>
    <row r="47" spans="1:12" ht="36" customHeight="1">
      <c r="B47" s="89" t="s">
        <v>481</v>
      </c>
      <c r="C47" s="89"/>
      <c r="D47" s="89"/>
      <c r="E47" s="89"/>
      <c r="F47" s="89"/>
      <c r="G47" s="89"/>
      <c r="H47" s="89"/>
      <c r="I47" s="89"/>
      <c r="J47" s="89"/>
      <c r="K47" s="89"/>
      <c r="L47" s="89"/>
    </row>
    <row r="48" spans="1:12" ht="18" customHeight="1">
      <c r="A48" s="85" t="s">
        <v>427</v>
      </c>
      <c r="B48" s="85"/>
      <c r="C48" s="85"/>
      <c r="D48" s="85"/>
      <c r="E48" s="83">
        <f>_xlfn.IFNA(VLOOKUP(封面!B1,一般公共预算财政拨款支出决算具体情况!A:O,15,FALSE),"")</f>
        <v>816000</v>
      </c>
      <c r="F48" s="83"/>
      <c r="G48" s="7" t="s">
        <v>179</v>
      </c>
      <c r="H48" s="84" t="s">
        <v>421</v>
      </c>
      <c r="I48" s="84"/>
      <c r="J48" s="83">
        <f>_xlfn.IFNA(VLOOKUP(封面!B1,一般公共预算财政拨款支出决算具体情况!A:P,16,FALSE),"")</f>
        <v>816000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316</v>
      </c>
    </row>
    <row r="50" spans="1:12" ht="18" customHeight="1">
      <c r="A50" s="90" t="s">
        <v>428</v>
      </c>
      <c r="B50" s="90"/>
      <c r="C50" s="90"/>
      <c r="D50" s="90"/>
      <c r="E50" s="83">
        <f>_xlfn.IFNA(VLOOKUP(封面!B1,一般公共预算财政拨款支出决算具体情况!A:Q,17,FALSE),"")</f>
        <v>0</v>
      </c>
      <c r="F50" s="83"/>
      <c r="G50" s="7" t="s">
        <v>179</v>
      </c>
      <c r="H50" s="88" t="s">
        <v>429</v>
      </c>
      <c r="I50" s="88"/>
      <c r="J50" s="88"/>
      <c r="K50" s="88"/>
      <c r="L50" s="11"/>
    </row>
    <row r="51" spans="1:12" ht="18" customHeight="1">
      <c r="A51" s="85" t="s">
        <v>471</v>
      </c>
      <c r="B51" s="85"/>
      <c r="C51" s="85"/>
      <c r="D51" s="85"/>
      <c r="E51" s="83">
        <f>_xlfn.IFNA(VLOOKUP(封面!B1,一般公共预算财政拨款支出决算具体情况!A:S,19,FALSE),"")</f>
        <v>0</v>
      </c>
      <c r="F51" s="83"/>
      <c r="G51" s="7" t="s">
        <v>179</v>
      </c>
      <c r="H51" s="88" t="s">
        <v>431</v>
      </c>
      <c r="I51" s="88"/>
      <c r="J51" s="88"/>
      <c r="K51" s="88"/>
      <c r="L51" s="11"/>
    </row>
    <row r="52" spans="1:12" ht="18" customHeight="1">
      <c r="A52" s="86" t="s">
        <v>430</v>
      </c>
      <c r="B52" s="86"/>
      <c r="C52" s="86"/>
      <c r="D52" s="86"/>
      <c r="E52" s="83">
        <f>_xlfn.IFNA(VLOOKUP(封面!B1,一般公共预算财政拨款支出决算具体情况!A:U,21,FALSE),"")</f>
        <v>0</v>
      </c>
      <c r="F52" s="83"/>
      <c r="G52" s="7" t="s">
        <v>179</v>
      </c>
      <c r="H52" s="88" t="s">
        <v>431</v>
      </c>
      <c r="I52" s="88"/>
      <c r="J52" s="88"/>
      <c r="K52" s="88"/>
      <c r="L52" s="11"/>
    </row>
    <row r="53" spans="1:12" ht="18" customHeight="1">
      <c r="A53" s="90" t="s">
        <v>432</v>
      </c>
      <c r="B53" s="90"/>
      <c r="C53" s="90"/>
      <c r="D53" s="90"/>
      <c r="E53" s="83">
        <f>_xlfn.IFNA(VLOOKUP(封面!B1,一般公共预算财政拨款支出决算具体情况!A:W,23,FALSE),"")</f>
        <v>13592004.440000001</v>
      </c>
      <c r="F53" s="83"/>
      <c r="G53" s="7" t="s">
        <v>179</v>
      </c>
      <c r="H53" s="84" t="s">
        <v>421</v>
      </c>
      <c r="I53" s="84"/>
      <c r="J53" s="83">
        <f>_xlfn.IFNA(VLOOKUP(封面!B1,一般公共预算财政拨款支出决算具体情况!A:X,24,FALSE),"")</f>
        <v>13174723.24</v>
      </c>
      <c r="K53" s="83"/>
      <c r="L53" s="11" t="s">
        <v>178</v>
      </c>
    </row>
    <row r="54" spans="1:12" ht="18" customHeight="1">
      <c r="B54" s="15" t="str">
        <f>IF(E53&gt;J53,"增加","减少")</f>
        <v>增加</v>
      </c>
      <c r="C54" s="83">
        <f>ABS(E53-J53)</f>
        <v>417281.20000000112</v>
      </c>
      <c r="D54" s="83"/>
      <c r="E54" s="7" t="s">
        <v>179</v>
      </c>
      <c r="F54" s="15" t="str">
        <f>IF(E53&gt;J53,"增长","下降")</f>
        <v>增长</v>
      </c>
      <c r="G54" s="34">
        <f>IF(J53=0,IF(E53&gt;0,1,""),C54/J53)</f>
        <v>3.1672862677910883E-2</v>
      </c>
      <c r="H54" s="7" t="s">
        <v>316</v>
      </c>
      <c r="I54" s="11" t="s">
        <v>205</v>
      </c>
    </row>
    <row r="55" spans="1:12" ht="18" customHeight="1">
      <c r="A55" s="85" t="s">
        <v>433</v>
      </c>
      <c r="B55" s="85"/>
      <c r="C55" s="85"/>
      <c r="D55" s="85"/>
      <c r="E55" s="83">
        <f>_xlfn.IFNA(VLOOKUP(封面!B1,一般公共预算财政拨款支出决算具体情况!A:Y,25,FALSE),"")</f>
        <v>13300616.440000001</v>
      </c>
      <c r="F55" s="83"/>
      <c r="G55" s="7" t="s">
        <v>179</v>
      </c>
      <c r="H55" s="84" t="s">
        <v>421</v>
      </c>
      <c r="I55" s="84"/>
      <c r="J55" s="83">
        <f>_xlfn.IFNA(VLOOKUP(封面!B1,一般公共预算财政拨款支出决算具体情况!A:Z,26,FALSE),"")</f>
        <v>13174723.24</v>
      </c>
      <c r="K55" s="83"/>
      <c r="L55" s="11" t="s">
        <v>178</v>
      </c>
    </row>
    <row r="56" spans="1:12" ht="18" customHeight="1">
      <c r="A56" s="15"/>
      <c r="B56" s="15" t="str">
        <f>IF(E55&gt;J55,"增加","减少")</f>
        <v>增加</v>
      </c>
      <c r="C56" s="83">
        <f>ABS(E55-J55)</f>
        <v>125893.20000000112</v>
      </c>
      <c r="D56" s="83"/>
      <c r="E56" s="7" t="s">
        <v>179</v>
      </c>
      <c r="F56" s="15" t="str">
        <f>IF(E55&gt;J55,"增长","下降")</f>
        <v>增长</v>
      </c>
      <c r="G56" s="34">
        <f>IF(J55=0,IF(E55&gt;0,1,""),C56/J55)</f>
        <v>9.5556618311172289E-3</v>
      </c>
      <c r="H56" s="7" t="s">
        <v>316</v>
      </c>
    </row>
    <row r="57" spans="1:12" ht="36" customHeight="1">
      <c r="B57" s="89" t="s">
        <v>483</v>
      </c>
      <c r="C57" s="89"/>
      <c r="D57" s="89"/>
      <c r="E57" s="89"/>
      <c r="F57" s="89"/>
      <c r="G57" s="89"/>
      <c r="H57" s="89"/>
      <c r="I57" s="89"/>
      <c r="J57" s="89"/>
      <c r="K57" s="89"/>
      <c r="L57" s="89"/>
    </row>
    <row r="58" spans="1:12" ht="18" customHeight="1">
      <c r="A58" s="85" t="s">
        <v>434</v>
      </c>
      <c r="B58" s="85"/>
      <c r="C58" s="85"/>
      <c r="D58" s="85"/>
      <c r="E58" s="83">
        <f>_xlfn.IFNA(VLOOKUP(封面!B1,一般公共预算财政拨款支出决算具体情况!A:AA,27,FALSE),"")</f>
        <v>291388</v>
      </c>
      <c r="F58" s="83"/>
      <c r="G58" s="7" t="s">
        <v>179</v>
      </c>
      <c r="H58" s="84" t="s">
        <v>431</v>
      </c>
      <c r="I58" s="84"/>
      <c r="J58" s="83"/>
      <c r="K58" s="83"/>
      <c r="L58" s="11"/>
    </row>
    <row r="59" spans="1:12" ht="36" customHeight="1">
      <c r="B59" s="89" t="s">
        <v>482</v>
      </c>
      <c r="C59" s="89"/>
      <c r="D59" s="89"/>
      <c r="E59" s="89"/>
      <c r="F59" s="89"/>
      <c r="G59" s="89"/>
      <c r="H59" s="89"/>
      <c r="I59" s="89"/>
      <c r="J59" s="89"/>
      <c r="K59" s="89"/>
      <c r="L59" s="89"/>
    </row>
    <row r="60" spans="1:12" ht="18" customHeight="1">
      <c r="A60" s="90" t="s">
        <v>435</v>
      </c>
      <c r="B60" s="90"/>
      <c r="C60" s="90"/>
      <c r="D60" s="90"/>
      <c r="E60" s="83">
        <f>_xlfn.IFNA(VLOOKUP(封面!B1,一般公共预算财政拨款支出决算具体情况!A:AC,29,FALSE),"")</f>
        <v>6544467.9800000004</v>
      </c>
      <c r="F60" s="83"/>
      <c r="G60" s="7" t="s">
        <v>179</v>
      </c>
      <c r="H60" s="84" t="s">
        <v>421</v>
      </c>
      <c r="I60" s="84"/>
      <c r="J60" s="83">
        <f>_xlfn.IFNA(VLOOKUP(封面!B1,一般公共预算财政拨款支出决算具体情况!A:AD,30,FALSE),"")</f>
        <v>5528467.9800000004</v>
      </c>
      <c r="K60" s="83"/>
      <c r="L60" s="11" t="s">
        <v>178</v>
      </c>
    </row>
    <row r="61" spans="1:12" ht="18" customHeight="1">
      <c r="B61" s="15" t="str">
        <f>IF(E60&gt;J60,"增加","减少")</f>
        <v>增加</v>
      </c>
      <c r="C61" s="83">
        <f>ABS(E60-J60)</f>
        <v>1016000</v>
      </c>
      <c r="D61" s="83"/>
      <c r="E61" s="7" t="s">
        <v>179</v>
      </c>
      <c r="F61" s="15" t="str">
        <f>IF(E60&gt;J60,"增长","下降")</f>
        <v>增长</v>
      </c>
      <c r="G61" s="34">
        <f>IF(J60=0,IF(E60&gt;0,1,""),C61/J60)</f>
        <v>0.18377604856816046</v>
      </c>
      <c r="H61" s="7" t="s">
        <v>316</v>
      </c>
      <c r="I61" s="11" t="s">
        <v>205</v>
      </c>
    </row>
    <row r="62" spans="1:12" ht="18" customHeight="1">
      <c r="A62" s="85" t="s">
        <v>436</v>
      </c>
      <c r="B62" s="85"/>
      <c r="C62" s="85"/>
      <c r="D62" s="85"/>
      <c r="E62" s="83">
        <f>_xlfn.IFNA(VLOOKUP(封面!B1,一般公共预算财政拨款支出决算具体情况!A:AE,31,FALSE),"")</f>
        <v>6544467.9800000004</v>
      </c>
      <c r="F62" s="83"/>
      <c r="G62" s="7" t="s">
        <v>179</v>
      </c>
      <c r="H62" s="84" t="s">
        <v>421</v>
      </c>
      <c r="I62" s="84"/>
      <c r="J62" s="83">
        <f>_xlfn.IFNA(VLOOKUP(封面!B1,一般公共预算财政拨款支出决算具体情况!A:AF,32,FALSE),"")</f>
        <v>5528467.9800000004</v>
      </c>
      <c r="K62" s="83"/>
      <c r="L62" s="11" t="s">
        <v>178</v>
      </c>
    </row>
    <row r="63" spans="1:12" ht="18" customHeight="1">
      <c r="A63" s="15"/>
      <c r="B63" s="15" t="str">
        <f>IF(E62&gt;J62,"增加","减少")</f>
        <v>增加</v>
      </c>
      <c r="C63" s="83">
        <f>ABS(E62-J62)</f>
        <v>1016000</v>
      </c>
      <c r="D63" s="83"/>
      <c r="E63" s="7" t="s">
        <v>179</v>
      </c>
      <c r="F63" s="15" t="str">
        <f>IF(E62&gt;J62,"增长","下降")</f>
        <v>增长</v>
      </c>
      <c r="G63" s="34">
        <f>IF(J62=0,IF(E62&gt;0,1,""),C63/J62)</f>
        <v>0.18377604856816046</v>
      </c>
      <c r="H63" s="7" t="s">
        <v>316</v>
      </c>
    </row>
    <row r="64" spans="1:12" ht="36" customHeight="1">
      <c r="B64" s="89" t="s">
        <v>484</v>
      </c>
      <c r="C64" s="89"/>
      <c r="D64" s="89"/>
      <c r="E64" s="89"/>
      <c r="F64" s="89"/>
      <c r="G64" s="89"/>
      <c r="H64" s="89"/>
      <c r="I64" s="89"/>
      <c r="J64" s="89"/>
      <c r="K64" s="89"/>
      <c r="L64" s="89"/>
    </row>
    <row r="65" spans="1:13" ht="18" customHeight="1">
      <c r="A65" s="90" t="s">
        <v>437</v>
      </c>
      <c r="B65" s="90"/>
      <c r="C65" s="90"/>
      <c r="D65" s="90"/>
      <c r="E65" s="83">
        <f>_xlfn.IFNA(VLOOKUP(封面!B1,一般公共预算财政拨款支出决算具体情况!A:AG,33,FALSE),"")</f>
        <v>0</v>
      </c>
      <c r="F65" s="83"/>
      <c r="G65" s="7" t="s">
        <v>179</v>
      </c>
      <c r="H65" s="84" t="s">
        <v>421</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313</v>
      </c>
      <c r="I66" s="11" t="s">
        <v>205</v>
      </c>
    </row>
    <row r="67" spans="1:13" ht="18" customHeight="1">
      <c r="A67" s="85" t="s">
        <v>438</v>
      </c>
      <c r="B67" s="85"/>
      <c r="C67" s="85"/>
      <c r="D67" s="85"/>
      <c r="E67" s="83">
        <f>_xlfn.IFNA(VLOOKUP(封面!B1,一般公共预算财政拨款支出决算具体情况!A:AI,35,FALSE),"")</f>
        <v>0</v>
      </c>
      <c r="F67" s="83"/>
      <c r="G67" s="7" t="s">
        <v>179</v>
      </c>
      <c r="H67" s="84" t="s">
        <v>421</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313</v>
      </c>
      <c r="I68" s="57"/>
      <c r="J68" s="56"/>
      <c r="K68" s="56"/>
      <c r="L68" s="11"/>
    </row>
    <row r="69" spans="1:13" ht="18" customHeight="1">
      <c r="A69" s="90" t="s">
        <v>472</v>
      </c>
      <c r="B69" s="90"/>
      <c r="C69" s="90"/>
      <c r="D69" s="90"/>
      <c r="E69" s="83">
        <f>_xlfn.IFNA(VLOOKUP(封面!B1,一般公共预算财政拨款支出决算具体情况!A:AK,37,FALSE),"")</f>
        <v>10789848</v>
      </c>
      <c r="F69" s="83"/>
      <c r="G69" s="7" t="s">
        <v>179</v>
      </c>
      <c r="H69" s="84" t="s">
        <v>421</v>
      </c>
      <c r="I69" s="84"/>
      <c r="J69" s="83">
        <f>_xlfn.IFNA(VLOOKUP(封面!B1,一般公共预算财政拨款支出决算具体情况!A:AL,38,FALSE),"")</f>
        <v>10141586.52</v>
      </c>
      <c r="K69" s="83"/>
      <c r="L69" s="11" t="s">
        <v>178</v>
      </c>
    </row>
    <row r="70" spans="1:13" ht="18" customHeight="1">
      <c r="B70" s="15" t="str">
        <f>IF(E69&gt;J69,"增加","减少")</f>
        <v>增加</v>
      </c>
      <c r="C70" s="83">
        <f>ABS(E69-J69)</f>
        <v>648261.48000000045</v>
      </c>
      <c r="D70" s="83"/>
      <c r="E70" s="7" t="s">
        <v>179</v>
      </c>
      <c r="F70" s="15" t="str">
        <f>IF(E69&gt;J69,"增长","下降")</f>
        <v>增长</v>
      </c>
      <c r="G70" s="34">
        <f>IF(J69=0,IF(E69&gt;0,1,""),C70/J69)</f>
        <v>6.3921111230632238E-2</v>
      </c>
      <c r="H70" s="7" t="s">
        <v>316</v>
      </c>
      <c r="I70" s="11" t="s">
        <v>205</v>
      </c>
    </row>
    <row r="71" spans="1:13" ht="18" customHeight="1">
      <c r="A71" s="85" t="s">
        <v>439</v>
      </c>
      <c r="B71" s="85"/>
      <c r="C71" s="85"/>
      <c r="D71" s="85"/>
      <c r="E71" s="83">
        <f>_xlfn.IFNA(VLOOKUP(封面!B1,一般公共预算财政拨款支出决算具体情况!A:AM,39,FALSE),"")</f>
        <v>10789848</v>
      </c>
      <c r="F71" s="83"/>
      <c r="G71" s="7" t="s">
        <v>179</v>
      </c>
      <c r="H71" s="84" t="s">
        <v>421</v>
      </c>
      <c r="I71" s="84"/>
      <c r="J71" s="83">
        <f>_xlfn.IFNA(VLOOKUP(封面!B1,一般公共预算财政拨款支出决算具体情况!A:AN,40,FALSE),"")</f>
        <v>10141586.52</v>
      </c>
      <c r="K71" s="83"/>
      <c r="L71" s="11" t="s">
        <v>178</v>
      </c>
    </row>
    <row r="72" spans="1:13" ht="18" customHeight="1">
      <c r="A72" s="15"/>
      <c r="B72" s="15" t="str">
        <f>IF(E71&gt;J71,"增加","减少")</f>
        <v>增加</v>
      </c>
      <c r="C72" s="83">
        <f>ABS(E71-J71)</f>
        <v>648261.48000000045</v>
      </c>
      <c r="D72" s="83"/>
      <c r="E72" s="7" t="s">
        <v>179</v>
      </c>
      <c r="F72" s="15" t="str">
        <f>IF(E71&gt;J71,"增长","下降")</f>
        <v>增长</v>
      </c>
      <c r="G72" s="34">
        <f>IF(J71=0,IF(E71&gt;0,1,""),C72/J71)</f>
        <v>6.3921111230632238E-2</v>
      </c>
      <c r="H72" s="7" t="s">
        <v>316</v>
      </c>
    </row>
    <row r="73" spans="1:13" ht="36" customHeight="1">
      <c r="B73" s="89" t="s">
        <v>485</v>
      </c>
      <c r="C73" s="89"/>
      <c r="D73" s="89"/>
      <c r="E73" s="89"/>
      <c r="F73" s="89"/>
      <c r="G73" s="89"/>
      <c r="H73" s="89"/>
      <c r="I73" s="89"/>
      <c r="J73" s="89"/>
      <c r="K73" s="89"/>
      <c r="L73" s="89"/>
    </row>
    <row r="74" spans="1:13" ht="18" customHeight="1">
      <c r="A74" s="6" t="s">
        <v>206</v>
      </c>
    </row>
    <row r="75" spans="1:13" ht="18" customHeight="1">
      <c r="A75" s="7" t="str">
        <f>IF(_xlfn.IFNA(VLOOKUP(封面!B1,'2021决算导出'!A:W,23,FALSE),"")=0,"本年度无此项支出。","")</f>
        <v>本年度无此项支出。</v>
      </c>
    </row>
    <row r="76" spans="1:13" ht="18" customHeight="1">
      <c r="A76" s="7" t="s">
        <v>207</v>
      </c>
    </row>
    <row r="77" spans="1:13" ht="18" customHeight="1">
      <c r="A77" s="86" t="s">
        <v>440</v>
      </c>
      <c r="B77" s="86"/>
      <c r="C77" s="86"/>
      <c r="D77" s="86"/>
      <c r="E77" s="86"/>
      <c r="F77" s="83">
        <f>_xlfn.IFNA(VLOOKUP(封面!B1,'2021决算导出'!A:W,23,FALSE),"")</f>
        <v>0</v>
      </c>
      <c r="G77" s="83"/>
      <c r="H77" s="7" t="s">
        <v>179</v>
      </c>
      <c r="I77" s="88" t="s">
        <v>196</v>
      </c>
      <c r="J77" s="88"/>
      <c r="K77" s="88"/>
      <c r="L77" s="88"/>
      <c r="M77" s="88"/>
    </row>
    <row r="78" spans="1:13" ht="18" customHeight="1">
      <c r="A78" s="86" t="s">
        <v>208</v>
      </c>
      <c r="B78" s="86"/>
      <c r="C78" s="86"/>
      <c r="D78" s="83">
        <f>_xlfn.IFNA(VLOOKUP(封面!B1,'2021决算导出'!A:Y,25,FALSE),"")</f>
        <v>0</v>
      </c>
      <c r="E78" s="83"/>
      <c r="F78" s="7" t="s">
        <v>179</v>
      </c>
      <c r="G78" s="84" t="s">
        <v>198</v>
      </c>
      <c r="H78" s="84"/>
      <c r="I78" s="13">
        <v>100</v>
      </c>
      <c r="J78" s="7" t="s">
        <v>183</v>
      </c>
      <c r="K78" s="9"/>
      <c r="L78" s="9"/>
      <c r="M78" s="9"/>
    </row>
    <row r="79" spans="1:13" ht="18" customHeight="1">
      <c r="A79" s="7" t="s">
        <v>209</v>
      </c>
    </row>
    <row r="80" spans="1:13" ht="18" customHeight="1">
      <c r="A80" s="88" t="s">
        <v>441</v>
      </c>
      <c r="B80" s="88"/>
      <c r="C80" s="88"/>
      <c r="D80" s="88"/>
      <c r="E80" s="83">
        <f>_xlfn.IFNA(VLOOKUP(封面!B1,'2021决算导出'!A:Y,25,FALSE),"")</f>
        <v>0</v>
      </c>
      <c r="F80" s="83"/>
      <c r="G80" s="7" t="s">
        <v>179</v>
      </c>
      <c r="H80" s="84" t="s">
        <v>421</v>
      </c>
      <c r="I80" s="84"/>
      <c r="J80" s="83">
        <f>_xlfn.IFNA(VLOOKUP(封面!B1,'2021决算导出'!A:Z,26,FALSE),"")</f>
        <v>0</v>
      </c>
      <c r="K80" s="83"/>
      <c r="L80" s="11" t="s">
        <v>178</v>
      </c>
    </row>
    <row r="81" spans="1:13" ht="18" customHeight="1">
      <c r="B81" s="15" t="str">
        <f>IF(E80&gt;J80,"增加","减少")</f>
        <v>减少</v>
      </c>
      <c r="C81" s="83">
        <f>ABS(E80-J80)</f>
        <v>0</v>
      </c>
      <c r="D81" s="83"/>
      <c r="E81" s="7" t="s">
        <v>179</v>
      </c>
      <c r="F81" s="15" t="str">
        <f>IF(E80&gt;J80,"增长","下降")</f>
        <v>下降</v>
      </c>
      <c r="G81" s="34" t="str">
        <f>IF(J80=0,IF(E80&gt;0,1,""),C81/J80)</f>
        <v/>
      </c>
      <c r="H81" s="7" t="s">
        <v>316</v>
      </c>
      <c r="I81" s="11" t="s">
        <v>205</v>
      </c>
    </row>
    <row r="82" spans="1:13" ht="18" customHeight="1">
      <c r="A82" s="85" t="s">
        <v>442</v>
      </c>
      <c r="B82" s="85"/>
      <c r="C82" s="85"/>
      <c r="D82" s="85"/>
      <c r="E82" s="83">
        <f>E80</f>
        <v>0</v>
      </c>
      <c r="F82" s="83"/>
      <c r="G82" s="7" t="s">
        <v>179</v>
      </c>
      <c r="H82" s="84" t="s">
        <v>421</v>
      </c>
      <c r="I82" s="84"/>
      <c r="J82" s="83">
        <f>J80</f>
        <v>0</v>
      </c>
      <c r="K82" s="83"/>
      <c r="L82" s="11" t="s">
        <v>178</v>
      </c>
    </row>
    <row r="83" spans="1:13" ht="18" customHeight="1">
      <c r="A83" s="15"/>
      <c r="B83" s="15" t="str">
        <f>B81</f>
        <v>减少</v>
      </c>
      <c r="C83" s="83">
        <f>C81</f>
        <v>0</v>
      </c>
      <c r="D83" s="83"/>
      <c r="E83" s="7" t="s">
        <v>179</v>
      </c>
      <c r="F83" s="15" t="str">
        <f>F81</f>
        <v>下降</v>
      </c>
      <c r="G83" s="34" t="str">
        <f>IF(J82=0,IF(E82&gt;0,1,""),C83/J82)</f>
        <v/>
      </c>
      <c r="H83" s="7" t="s">
        <v>316</v>
      </c>
    </row>
    <row r="84" spans="1:13" ht="18" customHeight="1">
      <c r="A84" s="6" t="s">
        <v>210</v>
      </c>
    </row>
    <row r="85" spans="1:13" ht="18" customHeight="1">
      <c r="A85" s="7" t="s">
        <v>211</v>
      </c>
    </row>
    <row r="86" spans="1:13" ht="18" customHeight="1">
      <c r="A86" s="6" t="s">
        <v>212</v>
      </c>
    </row>
    <row r="87" spans="1:13" ht="18" customHeight="1">
      <c r="A87" s="7" t="s">
        <v>443</v>
      </c>
      <c r="G87" s="83">
        <f>_xlfn.IFNA(VLOOKUP(封面!B1,'2021决算导出'!A:AA,27,FALSE),"")</f>
        <v>84409863.379999995</v>
      </c>
      <c r="H87" s="83"/>
      <c r="I87" s="11" t="s">
        <v>179</v>
      </c>
    </row>
    <row r="88" spans="1:13" ht="130.19999999999999" customHeight="1">
      <c r="A88" s="89" t="s">
        <v>213</v>
      </c>
      <c r="B88" s="89"/>
      <c r="C88" s="89"/>
      <c r="D88" s="89"/>
      <c r="E88" s="89"/>
      <c r="F88" s="89"/>
      <c r="G88" s="89"/>
      <c r="H88" s="89"/>
      <c r="I88" s="89"/>
      <c r="J88" s="89"/>
      <c r="K88" s="89"/>
      <c r="L88" s="89"/>
      <c r="M88" s="89"/>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G87:H87"/>
    <mergeCell ref="A88:M88"/>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72:D72"/>
    <mergeCell ref="A69:D69"/>
    <mergeCell ref="E69:F69"/>
    <mergeCell ref="H69:I69"/>
    <mergeCell ref="J69:K69"/>
    <mergeCell ref="C83:D83"/>
    <mergeCell ref="E55:F55"/>
    <mergeCell ref="H55:I55"/>
    <mergeCell ref="J55:K55"/>
    <mergeCell ref="C56:D56"/>
    <mergeCell ref="C68:D68"/>
    <mergeCell ref="C66:D66"/>
    <mergeCell ref="H67:I67"/>
    <mergeCell ref="J67:K67"/>
    <mergeCell ref="B59:L59"/>
    <mergeCell ref="A60:D60"/>
    <mergeCell ref="E60:F60"/>
    <mergeCell ref="H60:I60"/>
    <mergeCell ref="J60:K60"/>
    <mergeCell ref="C61:D61"/>
    <mergeCell ref="B57:L57"/>
    <mergeCell ref="A58:D58"/>
    <mergeCell ref="A51:D51"/>
    <mergeCell ref="E51:F51"/>
    <mergeCell ref="H51:K51"/>
    <mergeCell ref="A65:D65"/>
    <mergeCell ref="E65:F65"/>
    <mergeCell ref="A67:D67"/>
    <mergeCell ref="E67:F67"/>
    <mergeCell ref="A62:D62"/>
    <mergeCell ref="E62:F62"/>
    <mergeCell ref="H62:I62"/>
    <mergeCell ref="J62:K62"/>
    <mergeCell ref="C63:D63"/>
    <mergeCell ref="B64:L64"/>
    <mergeCell ref="H65:I65"/>
    <mergeCell ref="J65:K65"/>
    <mergeCell ref="H52:K52"/>
    <mergeCell ref="A53:D53"/>
    <mergeCell ref="E53:F53"/>
    <mergeCell ref="H53:I53"/>
    <mergeCell ref="J53:K53"/>
    <mergeCell ref="A52:D52"/>
    <mergeCell ref="E52:F52"/>
    <mergeCell ref="C49:D49"/>
    <mergeCell ref="A50:D50"/>
    <mergeCell ref="E50:F50"/>
    <mergeCell ref="C46:D46"/>
    <mergeCell ref="B47:L47"/>
    <mergeCell ref="A48:D48"/>
    <mergeCell ref="E48:F48"/>
    <mergeCell ref="H48:I48"/>
    <mergeCell ref="J48:K48"/>
    <mergeCell ref="H50:K50"/>
    <mergeCell ref="C44:D44"/>
    <mergeCell ref="A45:D45"/>
    <mergeCell ref="E45:F45"/>
    <mergeCell ref="H45:I45"/>
    <mergeCell ref="J45:K45"/>
    <mergeCell ref="C42:D42"/>
    <mergeCell ref="A43:D43"/>
    <mergeCell ref="E43:F43"/>
    <mergeCell ref="H43:I43"/>
    <mergeCell ref="J43:K43"/>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D24" sqref="D2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444</v>
      </c>
      <c r="F4" s="83">
        <f>_xlfn.IFNA(VLOOKUP(封面!B1,'2021决算导出'!A:AB,28,FALSE),"")</f>
        <v>15985.28</v>
      </c>
      <c r="G4" s="83"/>
      <c r="H4" s="7" t="s">
        <v>179</v>
      </c>
      <c r="I4" s="7" t="s">
        <v>445</v>
      </c>
    </row>
    <row r="5" spans="1:14" ht="18" customHeight="1">
      <c r="A5" s="92">
        <f>_xlfn.IFNA(VLOOKUP(封面!B1,'2021决算导出'!A:AC,29,FALSE),"")</f>
        <v>27000</v>
      </c>
      <c r="B5" s="92"/>
      <c r="C5" s="7" t="s">
        <v>178</v>
      </c>
      <c r="D5" s="30" t="str">
        <f>IF(F4&gt;A5,"增加","减少")</f>
        <v>减少</v>
      </c>
      <c r="E5" s="92">
        <f>ABS(F4-A5)</f>
        <v>11014.72</v>
      </c>
      <c r="F5" s="92"/>
      <c r="G5" s="7" t="s">
        <v>216</v>
      </c>
    </row>
    <row r="6" spans="1:14" ht="18" customHeight="1">
      <c r="A6" s="7" t="s">
        <v>217</v>
      </c>
    </row>
    <row r="7" spans="1:14" ht="18" customHeight="1">
      <c r="A7" s="55" t="s">
        <v>446</v>
      </c>
      <c r="B7" s="19"/>
      <c r="C7" s="19"/>
      <c r="D7" s="19"/>
      <c r="E7" s="19"/>
      <c r="F7" s="19"/>
      <c r="G7" s="19"/>
      <c r="H7" s="19"/>
      <c r="I7" s="19"/>
      <c r="J7" s="19"/>
      <c r="K7" s="19"/>
      <c r="L7" s="19"/>
      <c r="M7" s="19"/>
      <c r="N7" s="19"/>
    </row>
    <row r="8" spans="1:14" ht="18" customHeight="1">
      <c r="A8" s="7" t="s">
        <v>218</v>
      </c>
    </row>
    <row r="9" spans="1:14" ht="39" customHeight="1">
      <c r="A9" s="91" t="s">
        <v>447</v>
      </c>
      <c r="B9" s="91"/>
      <c r="C9" s="91"/>
      <c r="D9" s="91"/>
      <c r="E9" s="91"/>
      <c r="F9" s="91"/>
      <c r="G9" s="91"/>
      <c r="H9" s="91"/>
      <c r="I9" s="91"/>
      <c r="J9" s="91"/>
      <c r="K9" s="91"/>
      <c r="L9" s="91"/>
      <c r="M9" s="91"/>
      <c r="N9" s="91"/>
    </row>
    <row r="10" spans="1:14" ht="18" customHeight="1">
      <c r="A10" s="7" t="s">
        <v>219</v>
      </c>
    </row>
    <row r="11" spans="1:14" ht="18" customHeight="1">
      <c r="A11" s="86" t="s">
        <v>448</v>
      </c>
      <c r="B11" s="86"/>
      <c r="C11" s="35">
        <f>_xlfn.IFNA(VLOOKUP(封面!B1,'2021决算导出'!A:AI,35,FALSE),"")</f>
        <v>15985.28</v>
      </c>
      <c r="D11" s="7" t="s">
        <v>179</v>
      </c>
      <c r="E11" s="86" t="s">
        <v>449</v>
      </c>
      <c r="F11" s="86"/>
      <c r="G11" s="86"/>
      <c r="H11" s="92">
        <f>_xlfn.IFNA(VLOOKUP(封面!B1,'2021决算导出'!A:AJ,36,FALSE),"")</f>
        <v>27000</v>
      </c>
      <c r="I11" s="92"/>
      <c r="J11" s="16" t="s">
        <v>178</v>
      </c>
      <c r="K11" s="30" t="str">
        <f>IF(C11&gt;H11,"增加","减少")</f>
        <v>减少</v>
      </c>
      <c r="L11" s="92">
        <f>ABS(C11-H11)</f>
        <v>11014.72</v>
      </c>
      <c r="M11" s="92"/>
      <c r="N11" s="7" t="s">
        <v>215</v>
      </c>
    </row>
    <row r="12" spans="1:14" ht="18" customHeight="1">
      <c r="A12" s="86" t="s">
        <v>450</v>
      </c>
      <c r="B12" s="86"/>
      <c r="C12" s="86"/>
      <c r="D12" s="86"/>
      <c r="E12" s="86"/>
      <c r="F12" s="92">
        <f>_xlfn.IFNA(VLOOKUP(封面!B1,'2021决算导出'!A:AK,37,FALSE),"")</f>
        <v>0</v>
      </c>
      <c r="G12" s="92"/>
      <c r="H12" s="17" t="s">
        <v>179</v>
      </c>
      <c r="I12" s="86" t="s">
        <v>449</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9" t="s">
        <v>486</v>
      </c>
      <c r="B14" s="89"/>
      <c r="C14" s="89"/>
      <c r="D14" s="89"/>
      <c r="E14" s="89"/>
      <c r="F14" s="89"/>
      <c r="G14" s="89"/>
      <c r="H14" s="89"/>
      <c r="I14" s="89"/>
      <c r="J14" s="89"/>
      <c r="K14" s="89"/>
      <c r="L14" s="89"/>
      <c r="M14" s="89"/>
      <c r="N14" s="89"/>
    </row>
    <row r="15" spans="1:14" ht="18" customHeight="1">
      <c r="A15" s="86" t="s">
        <v>451</v>
      </c>
      <c r="B15" s="86"/>
      <c r="C15" s="86"/>
      <c r="D15" s="8">
        <f>_xlfn.IFNA(VLOOKUP(封面!B1,'2021决算导出'!A:AM,39,FALSE),"")</f>
        <v>0</v>
      </c>
      <c r="E15" s="7" t="s">
        <v>220</v>
      </c>
      <c r="F15" s="86" t="s">
        <v>221</v>
      </c>
      <c r="G15" s="86"/>
      <c r="H15" s="92">
        <f>IF(D15=0,0,F12/D15)</f>
        <v>0</v>
      </c>
      <c r="I15" s="92"/>
      <c r="J15" s="7" t="s">
        <v>215</v>
      </c>
    </row>
    <row r="16" spans="1:14" ht="18" customHeight="1">
      <c r="A16" s="84" t="s">
        <v>452</v>
      </c>
      <c r="B16" s="84"/>
      <c r="C16" s="84"/>
      <c r="D16" s="84"/>
      <c r="E16" s="84"/>
      <c r="F16" s="92">
        <f>_xlfn.IFNA(VLOOKUP(封面!B1,'2021决算导出'!A:AO,41,FALSE),"")</f>
        <v>15985.28</v>
      </c>
      <c r="G16" s="92" t="s">
        <v>179</v>
      </c>
      <c r="H16" s="7" t="s">
        <v>179</v>
      </c>
      <c r="I16" s="7" t="s">
        <v>449</v>
      </c>
      <c r="L16" s="92">
        <f>_xlfn.IFNA(VLOOKUP(封面!B1,'2021决算导出'!A:AP,42,FALSE),"")</f>
        <v>27000</v>
      </c>
      <c r="M16" s="92" t="s">
        <v>179</v>
      </c>
      <c r="N16" s="7" t="s">
        <v>179</v>
      </c>
    </row>
    <row r="17" spans="1:14" ht="18" customHeight="1">
      <c r="A17" s="15" t="str">
        <f>IF(F16&gt;L16,"增加","减少")</f>
        <v>减少</v>
      </c>
      <c r="B17" s="92">
        <f>ABS(F16-L16)</f>
        <v>11014.72</v>
      </c>
      <c r="C17" s="92"/>
      <c r="D17" s="7" t="s">
        <v>215</v>
      </c>
    </row>
    <row r="18" spans="1:14" ht="36" customHeight="1">
      <c r="A18" s="89" t="s">
        <v>222</v>
      </c>
      <c r="B18" s="89"/>
      <c r="C18" s="89"/>
      <c r="D18" s="89"/>
      <c r="E18" s="89"/>
      <c r="F18" s="89"/>
      <c r="G18" s="89"/>
      <c r="H18" s="89"/>
      <c r="I18" s="89"/>
      <c r="J18" s="89"/>
      <c r="K18" s="89"/>
      <c r="L18" s="89"/>
      <c r="M18" s="89"/>
      <c r="N18" s="89"/>
    </row>
    <row r="19" spans="1:14" ht="18" customHeight="1">
      <c r="A19" s="86" t="s">
        <v>453</v>
      </c>
      <c r="B19" s="86"/>
      <c r="C19" s="86"/>
      <c r="D19" s="86"/>
      <c r="E19" s="86"/>
      <c r="F19" s="86"/>
      <c r="G19" s="92">
        <f>_xlfn.IFNA(VLOOKUP(封面!B1,'2021决算导出'!A:AQ,43,FALSE),"")</f>
        <v>4000</v>
      </c>
      <c r="H19" s="92" t="s">
        <v>179</v>
      </c>
      <c r="I19" s="7" t="s">
        <v>179</v>
      </c>
      <c r="J19" s="7" t="s">
        <v>223</v>
      </c>
      <c r="L19" s="92">
        <f>_xlfn.IFNA(VLOOKUP(封面!B1,'2021决算导出'!A:AR,44,FALSE),"")</f>
        <v>6613.1</v>
      </c>
      <c r="M19" s="92" t="s">
        <v>179</v>
      </c>
      <c r="N19" s="7" t="s">
        <v>179</v>
      </c>
    </row>
    <row r="20" spans="1:14" ht="18" customHeight="1">
      <c r="A20" s="86" t="s">
        <v>224</v>
      </c>
      <c r="B20" s="86"/>
      <c r="C20" s="92">
        <f>_xlfn.IFNA(VLOOKUP(封面!B1,'2021决算导出'!A:AS,45,FALSE),"")</f>
        <v>2169.1799999999998</v>
      </c>
      <c r="D20" s="92" t="s">
        <v>179</v>
      </c>
      <c r="E20" s="7" t="s">
        <v>179</v>
      </c>
      <c r="F20" s="86" t="s">
        <v>225</v>
      </c>
      <c r="G20" s="86"/>
      <c r="H20" s="86"/>
      <c r="I20" s="92">
        <f>_xlfn.IFNA(VLOOKUP(封面!B1,'2021决算导出'!A:AT,46,FALSE),"")</f>
        <v>3203</v>
      </c>
      <c r="J20" s="92" t="s">
        <v>179</v>
      </c>
      <c r="K20" s="7" t="s">
        <v>215</v>
      </c>
    </row>
    <row r="21" spans="1:14" ht="18" customHeight="1">
      <c r="A21" s="86" t="s">
        <v>454</v>
      </c>
      <c r="B21" s="86"/>
      <c r="C21" s="86"/>
      <c r="D21" s="8">
        <f>_xlfn.IFNA(VLOOKUP(封面!B1,'2021决算导出'!A:AU,47,FALSE),"")</f>
        <v>1</v>
      </c>
      <c r="E21" s="88" t="s">
        <v>407</v>
      </c>
      <c r="F21" s="88"/>
      <c r="G21" s="88"/>
      <c r="H21" s="88"/>
      <c r="I21" s="88"/>
      <c r="J21" s="88"/>
      <c r="K21" s="88"/>
      <c r="L21" s="88"/>
      <c r="M21" s="54">
        <f>F16/D21</f>
        <v>15985.28</v>
      </c>
      <c r="N21" s="7" t="s">
        <v>215</v>
      </c>
    </row>
    <row r="22" spans="1:14" ht="18" customHeight="1">
      <c r="A22" s="6" t="s">
        <v>226</v>
      </c>
    </row>
    <row r="23" spans="1:14" ht="18" customHeight="1">
      <c r="A23" s="7" t="s">
        <v>227</v>
      </c>
    </row>
    <row r="24" spans="1:14" ht="18" customHeight="1">
      <c r="A24" s="6" t="s">
        <v>228</v>
      </c>
    </row>
    <row r="25" spans="1:14" ht="18" customHeight="1">
      <c r="A25" s="86" t="s">
        <v>455</v>
      </c>
      <c r="B25" s="86"/>
      <c r="C25" s="86"/>
      <c r="D25" s="86"/>
      <c r="E25" s="83">
        <f>_xlfn.IFNA(VLOOKUP(封面!B1,'2021决算导出'!A:AW,49,FALSE),"")</f>
        <v>1718072.58</v>
      </c>
      <c r="F25" s="83"/>
      <c r="G25" s="7" t="s">
        <v>179</v>
      </c>
      <c r="H25" s="86" t="s">
        <v>229</v>
      </c>
      <c r="I25" s="86"/>
      <c r="J25" s="86"/>
      <c r="K25" s="86"/>
      <c r="L25" s="83">
        <f>_xlfn.IFNA(VLOOKUP(封面!B1,'2021决算导出'!A:AX,50,FALSE),"")</f>
        <v>466686.18</v>
      </c>
      <c r="M25" s="83" t="s">
        <v>179</v>
      </c>
      <c r="N25" s="7" t="s">
        <v>179</v>
      </c>
    </row>
    <row r="26" spans="1:14" ht="18" customHeight="1">
      <c r="A26" s="86" t="s">
        <v>230</v>
      </c>
      <c r="B26" s="86"/>
      <c r="C26" s="86"/>
      <c r="D26" s="83">
        <f>_xlfn.IFNA(VLOOKUP(封面!B1,'2021决算导出'!A:AY,51,FALSE),"")</f>
        <v>0</v>
      </c>
      <c r="E26" s="83" t="s">
        <v>179</v>
      </c>
      <c r="F26" s="7" t="s">
        <v>179</v>
      </c>
      <c r="G26" s="86" t="s">
        <v>231</v>
      </c>
      <c r="H26" s="86"/>
      <c r="I26" s="86"/>
      <c r="J26" s="83">
        <f>_xlfn.IFNA(VLOOKUP(封面!B1,'2021决算导出'!A:AZ,52,FALSE),"")</f>
        <v>1251386</v>
      </c>
      <c r="K26" s="83" t="s">
        <v>179</v>
      </c>
      <c r="L26" s="7" t="s">
        <v>215</v>
      </c>
    </row>
    <row r="27" spans="1:14" ht="18" customHeight="1">
      <c r="A27" s="86" t="s">
        <v>232</v>
      </c>
      <c r="B27" s="86"/>
      <c r="C27" s="86"/>
      <c r="D27" s="86"/>
      <c r="E27" s="83">
        <f>_xlfn.IFNA(VLOOKUP(封面!B1,'2021决算导出'!A:BA,53,FALSE),"")</f>
        <v>0</v>
      </c>
      <c r="F27" s="83" t="s">
        <v>179</v>
      </c>
      <c r="G27" s="7" t="s">
        <v>179</v>
      </c>
      <c r="H27" s="84" t="s">
        <v>233</v>
      </c>
      <c r="I27" s="84"/>
      <c r="J27" s="84"/>
      <c r="K27" s="29">
        <f>E27/$E$25</f>
        <v>0</v>
      </c>
      <c r="L27" s="18" t="s">
        <v>314</v>
      </c>
      <c r="M27" s="7" t="s">
        <v>408</v>
      </c>
    </row>
    <row r="28" spans="1:14" ht="18" customHeight="1">
      <c r="A28" s="86" t="s">
        <v>234</v>
      </c>
      <c r="B28" s="86"/>
      <c r="C28" s="86"/>
      <c r="D28" s="86"/>
      <c r="E28" s="83">
        <f>_xlfn.IFNA(VLOOKUP(封面!B1,'2021决算导出'!A:BB,54,FALSE),"")</f>
        <v>0</v>
      </c>
      <c r="F28" s="83" t="s">
        <v>179</v>
      </c>
      <c r="G28" s="7" t="s">
        <v>179</v>
      </c>
      <c r="H28" s="84" t="s">
        <v>233</v>
      </c>
      <c r="I28" s="84"/>
      <c r="J28" s="84"/>
      <c r="K28" s="29">
        <f>E28/$E$25</f>
        <v>0</v>
      </c>
      <c r="L28" s="18" t="s">
        <v>316</v>
      </c>
    </row>
    <row r="29" spans="1:14" ht="18" customHeight="1">
      <c r="A29" s="6" t="s">
        <v>235</v>
      </c>
    </row>
    <row r="30" spans="1:14" ht="18" customHeight="1">
      <c r="A30" s="86" t="s">
        <v>456</v>
      </c>
      <c r="B30" s="86"/>
      <c r="C30" s="8">
        <f>_xlfn.IFNA(VLOOKUP(封面!B1,'2021决算导出'!A:BC,55,FALSE),"")</f>
        <v>1</v>
      </c>
      <c r="D30" s="7" t="s">
        <v>236</v>
      </c>
      <c r="M30" s="92">
        <f>_xlfn.IFNA(VLOOKUP(封面!B1,'2021决算导出'!A:BD,56,FALSE),"")</f>
        <v>188000</v>
      </c>
      <c r="N30" s="92" t="s">
        <v>179</v>
      </c>
    </row>
    <row r="31" spans="1:14" ht="18" customHeight="1">
      <c r="A31" s="12" t="s">
        <v>237</v>
      </c>
      <c r="B31" s="86" t="s">
        <v>238</v>
      </c>
      <c r="C31" s="86"/>
      <c r="D31" s="86"/>
      <c r="E31" s="86"/>
      <c r="F31" s="86"/>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9" t="s">
        <v>473</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E18" sqref="E18"/>
    </sheetView>
  </sheetViews>
  <sheetFormatPr defaultRowHeight="13.8"/>
  <sheetData>
    <row r="10" spans="1:14" ht="54.6" customHeight="1">
      <c r="A10" s="81" t="s">
        <v>475</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44140625" style="61" customWidth="1"/>
    <col min="22" max="22" width="13.33203125" style="61" customWidth="1"/>
    <col min="23" max="23" width="11" style="61" customWidth="1"/>
    <col min="24" max="24" width="11.6640625" style="70" customWidth="1"/>
    <col min="25" max="25" width="10.44140625" style="61" customWidth="1"/>
    <col min="26" max="26" width="10.33203125" style="61" customWidth="1"/>
    <col min="27" max="27" width="13.33203125" style="61" customWidth="1"/>
    <col min="28" max="28" width="11" style="61" customWidth="1"/>
    <col min="29" max="29" width="10.88671875" style="61" customWidth="1"/>
    <col min="30" max="34" width="7.4414062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4414062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44140625" style="61" customWidth="1"/>
    <col min="59" max="16384" width="8.88671875" style="61"/>
  </cols>
  <sheetData>
    <row r="1" spans="1:58" ht="60" customHeight="1">
      <c r="A1" s="21" t="s">
        <v>457</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462</v>
      </c>
      <c r="X1" s="60" t="s">
        <v>463</v>
      </c>
      <c r="Y1" s="22" t="s">
        <v>464</v>
      </c>
      <c r="Z1" s="22" t="s">
        <v>458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459</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460</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461</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2022-09-02T08:02:58Z</dcterms:modified>
</cp:coreProperties>
</file>