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工作\2022\报表\决算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33" i="5" l="1"/>
  <c r="R38" i="5"/>
  <c r="P38" i="5"/>
  <c r="S38" i="5" l="1"/>
  <c r="T38" i="5" s="1"/>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<sst xmlns="http://schemas.openxmlformats.org/spreadsheetml/2006/main" count="4861" uniqueCount="488">
  <si>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</si>
  <si>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</si>
  <si>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</si>
  <si>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</si>
  <si>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</si>
  <si>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</si>
  <si>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</si>
  <si>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</si>
  <si>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</si>
  <si>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</si>
  <si>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</si>
  <si>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</si>
  <si>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</si>
  <si>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</si>
  <si>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</si>
  <si>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</si>
  <si>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</si>
  <si>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</si>
  <si>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</si>
  <si>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</si>
  <si>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</si>
  <si>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</si>
  <si>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</si>
  <si>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</si>
  <si>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</si>
  <si>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</si>
  <si>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</si>
  <si>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</si>
  <si>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</si>
  <si>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</si>
  <si>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</si>
  <si>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</si>
  <si>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</si>
  <si>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</si>
  <si>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</si>
  <si>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</si>
  <si>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</si>
  <si>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</si>
  <si>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</si>
  <si>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</si>
  <si>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</si>
  <si>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</si>
  <si>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</si>
  <si>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</si>
  <si>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</si>
  <si>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</si>
  <si>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</si>
  <si>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</si>
  <si>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</si>
  <si>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</si>
  <si>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</si>
  <si>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</si>
  <si>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</si>
  <si>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</si>
  <si>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</si>
  <si>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</si>
  <si>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</si>
  <si>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</si>
  <si>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</si>
  <si>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</si>
  <si>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</si>
  <si>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</si>
  <si>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</si>
  <si>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</si>
  <si>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</si>
  <si>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</si>
  <si>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</si>
  <si>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</si>
  <si>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</si>
  <si>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</si>
  <si>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</si>
  <si>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</si>
  <si>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</si>
  <si>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</si>
  <si>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</si>
  <si>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</si>
  <si>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</si>
  <si>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</si>
  <si>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</si>
  <si>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</si>
  <si>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</si>
  <si>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</si>
  <si>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</si>
  <si>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</si>
  <si>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</si>
  <si>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</si>
  <si>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</si>
  <si>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</si>
  <si>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</si>
  <si>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</si>
  <si>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</si>
  <si>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</si>
  <si>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</si>
  <si>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</si>
  <si>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</si>
  <si>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</si>
  <si>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</si>
  <si>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</si>
  <si>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</si>
  <si>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</si>
  <si>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</si>
  <si>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</si>
  <si>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</si>
  <si>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</si>
  <si>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</si>
  <si>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</si>
  <si>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</si>
  <si>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</si>
  <si>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</si>
  <si>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</si>
  <si>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</si>
  <si>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</si>
  <si>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</si>
  <si>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</si>
  <si>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</si>
  <si>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</si>
  <si>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</si>
  <si>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</si>
  <si>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</si>
  <si>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</si>
  <si>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</si>
  <si>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</si>
  <si>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</si>
  <si>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</si>
  <si>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</si>
  <si>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</si>
  <si>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</si>
  <si>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</si>
  <si>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</si>
  <si>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</si>
  <si>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</si>
  <si>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</si>
  <si>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</si>
  <si>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</si>
  <si>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</si>
  <si>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</si>
  <si>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</si>
  <si>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</si>
  <si>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</si>
  <si>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</si>
  <si>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</si>
  <si>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</si>
  <si>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</si>
  <si>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</si>
  <si>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</si>
  <si>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</si>
  <si>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</si>
  <si>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</si>
  <si>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</si>
  <si>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</si>
  <si>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</si>
  <si>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</si>
  <si>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</si>
  <si>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</si>
  <si>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</si>
  <si>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</si>
  <si>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</si>
  <si>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</si>
  <si>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</si>
  <si>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</si>
  <si>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</si>
  <si>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</si>
  <si>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</si>
  <si>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</si>
  <si>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</si>
  <si>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</si>
  <si>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</si>
  <si>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</si>
  <si>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</si>
  <si>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</si>
  <si>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</si>
  <si>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</si>
  <si>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</si>
  <si>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</si>
  <si>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</si>
  <si>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</si>
  <si>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</si>
  <si>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</si>
  <si>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</si>
  <si>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</si>
  <si>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</si>
  <si>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</si>
  <si>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</si>
  <si>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</si>
  <si>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</si>
  <si>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</si>
  <si>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</si>
  <si>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</si>
  <si>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</si>
  <si>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</si>
  <si>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</si>
  <si>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</si>
  <si>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</si>
  <si>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</si>
  <si>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</si>
  <si>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</si>
  <si>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</si>
  <si>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</si>
  <si>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</si>
  <si>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</si>
  <si>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</si>
  <si>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</si>
  <si>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</si>
  <si>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</si>
  <si>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</si>
  <si>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</si>
  <si>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</si>
  <si>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</si>
  <si>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</si>
  <si>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</si>
  <si>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</si>
  <si>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</si>
  <si>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</si>
  <si>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</si>
  <si>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</si>
  <si>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</si>
  <si>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</si>
  <si>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</si>
  <si>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</si>
  <si>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</si>
  <si>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</si>
  <si>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</si>
  <si>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</si>
  <si>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</si>
  <si>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</si>
  <si>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</si>
  <si>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</si>
  <si>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</si>
  <si>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</si>
  <si>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</si>
  <si>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</si>
  <si>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</si>
  <si>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</si>
  <si>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</si>
  <si>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</si>
  <si>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</si>
  <si>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</si>
  <si>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</si>
  <si>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</si>
  <si>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</si>
  <si>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</si>
  <si>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</si>
  <si>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</si>
  <si>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</si>
  <si>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</si>
  <si>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</si>
  <si>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</si>
  <si>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</si>
  <si>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</si>
  <si>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</si>
  <si>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</si>
  <si>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</si>
  <si>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</si>
  <si>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</si>
  <si>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</si>
  <si>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</si>
  <si>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</si>
  <si>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</si>
  <si>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</si>
  <si>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</si>
  <si>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</si>
  <si>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</si>
  <si>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</si>
  <si>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</si>
  <si>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</si>
  <si>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</si>
  <si>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</si>
  <si>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</si>
  <si>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</si>
  <si>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</si>
  <si>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</si>
  <si>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</si>
  <si>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</si>
  <si>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</si>
  <si>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</si>
  <si>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</si>
  <si>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</si>
  <si>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</si>
  <si>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</si>
  <si>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</si>
  <si>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</si>
  <si>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</si>
  <si>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</si>
  <si>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</si>
  <si>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</si>
  <si>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</si>
  <si>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</si>
  <si>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</si>
  <si>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</si>
  <si>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</si>
  <si>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</si>
  <si>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</si>
  <si>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</si>
  <si>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</si>
  <si>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</si>
  <si>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</si>
  <si>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</si>
  <si>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</si>
  <si>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</si>
  <si>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</si>
  <si>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</si>
  <si>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</si>
  <si>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</si>
  <si>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</si>
  <si>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</si>
  <si>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</si>
  <si>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</si>
  <si>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</si>
  <si>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</si>
  <si>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</si>
  <si>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</si>
  <si>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</si>
  <si>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</si>
  <si>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</si>
  <si>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</si>
  <si>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</si>
  <si>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</si>
  <si>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</si>
  <si>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</si>
  <si>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</si>
  <si>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</si>
  <si>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</si>
  <si>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</si>
  <si>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</si>
  <si>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</si>
  <si>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</si>
  <si>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</si>
  <si>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</si>
  <si>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</si>
  <si>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</si>
  <si>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</si>
  <si>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</si>
  <si>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</si>
  <si>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</si>
  <si>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</si>
  <si>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</si>
  <si>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</si>
  <si>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</si>
  <si>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</si>
  <si>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</si>
  <si>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</si>
  <si>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</si>
  <si>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</si>
  <si>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</si>
  <si>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</si>
  <si>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</si>
  <si>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</si>
  <si>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</si>
  <si>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</si>
  <si>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</si>
  <si>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</si>
  <si>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</si>
  <si>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</si>
  <si>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</si>
  <si>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</si>
  <si>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</si>
  <si>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</si>
  <si>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</si>
  <si>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</si>
  <si>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</si>
  <si>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</si>
  <si>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</si>
  <si>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</si>
  <si>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</si>
  <si>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</si>
  <si>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</si>
  <si>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</si>
  <si>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</si>
  <si>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</si>
  <si>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</si>
  <si>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</si>
  <si>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</si>
  <si>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</si>
  <si>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</si>
  <si>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</si>
  <si>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</si>
  <si>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</si>
  <si>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</si>
  <si>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</si>
  <si>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</si>
  <si>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</si>
  <si>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</si>
  <si>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</si>
  <si>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</si>
  <si>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</si>
  <si>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</si>
  <si>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</si>
  <si>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</si>
  <si>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</si>
  <si>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</si>
  <si>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</si>
  <si>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</si>
  <si>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</si>
  <si>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</si>
  <si>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</si>
  <si>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</si>
  <si>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</si>
  <si>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</si>
  <si>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</si>
  <si>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</si>
  <si>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</si>
  <si>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</si>
  <si>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</si>
  <si>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</si>
  <si>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</si>
  <si>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</si>
  <si>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</si>
  <si>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</si>
  <si>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</si>
  <si>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</si>
  <si>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</si>
  <si>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</si>
  <si>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</si>
  <si>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</si>
  <si>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</si>
  <si>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</si>
  <si>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</si>
  <si>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</si>
  <si>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</si>
  <si>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</si>
  <si>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</si>
  <si>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</si>
  <si>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</si>
  <si>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</si>
  <si>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</si>
  <si>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</si>
  <si>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</si>
  <si>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</si>
  <si>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</si>
  <si>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</si>
  <si>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</si>
  <si>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</si>
  <si>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</si>
  <si>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</si>
  <si>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</si>
  <si>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</si>
  <si>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</si>
  <si>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</si>
  <si>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</si>
  <si>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</si>
  <si>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</si>
  <si>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</si>
  <si>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</si>
  <si>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</si>
  <si>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</si>
  <si>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</si>
  <si>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</si>
  <si>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</si>
  <si>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</si>
  <si>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</si>
  <si>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</si>
  <si>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</si>
  <si>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</si>
  <si>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</si>
  <si>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</si>
  <si>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</si>
  <si>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</si>
  <si>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</si>
  <si>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</si>
  <si>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</si>
  <si>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</si>
  <si>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</si>
  <si>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</si>
  <si>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</si>
  <si>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</si>
  <si>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</si>
  <si>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</si>
  <si>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</si>
  <si>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</si>
  <si>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</si>
  <si>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</si>
  <si>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</si>
  <si>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</si>
  <si>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</si>
  <si>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</si>
  <si>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</si>
  <si>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</si>
  <si>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</si>
  <si>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第三十五中学始建于1923年，前身为志成中学，1952年定名为北京市第三十五中学，2005年被北京市教委认定为北京市示范性高中。经过近100年的传承积淀，我校不断发展壮大，目前形成了初中部、高中部、国际部一校三址近3800名在校学生的办学规模，学校始终坚持以“创建具有中国特色、中国风格、中国气派的现代学校”为共同愿景，秉承志成精神，学校积极整合各界资源实施系列改革：与中科院合办科技创新人才培养班，探索六年一贯制项目班人才培养模式，创办中美双文凭国际高中课程班等一系列课程改革，三十五中在改革创新中阔步向前。我校领导高度重视财务工作，学校财务坚持严格遵守财经法规，按财政与教委财务科的要求坚持实事求是，本着统筹兼顾、合理安排；艰苦奋斗、勤俭节约；量入为出、收支平衡的原则，根据党和国家有关方针、政策，积极完成上级下达的年度工作任务。
    北京市第三十五中学目前一校三址，高中本校坐落于北京西城区赵登禹路8号，为北京市西城区教育委员会所属政府补助事业单位。</t>
    <phoneticPr fontId="4" type="noConversion"/>
  </si>
  <si>
    <t>主要原因是人员经费增加1199056.33元,公用经费减少1021139.98元，项目支出减少4113431.65元。</t>
    <phoneticPr fontId="4" type="noConversion"/>
  </si>
  <si>
    <t>主要原因是无此项支出。</t>
    <phoneticPr fontId="4" type="noConversion"/>
  </si>
  <si>
    <t>主要原因是无变化。</t>
    <phoneticPr fontId="4" type="noConversion"/>
  </si>
  <si>
    <t>主要原因是追减设备类-达标设备购置项目经费37元。</t>
    <phoneticPr fontId="4" type="noConversion"/>
  </si>
  <si>
    <t>主要原因是年底收回京财科文指[2019]2150初中女子篮球、高中女子篮球三大球运动队经费（市级重点示范校）经费61.68元。</t>
    <phoneticPr fontId="4" type="noConversion"/>
  </si>
  <si>
    <t>主要原因是生育保险与医疗保险合并，在职人员工资增长；追加医疗保险预算1595561.59元，年底收回16427.26元。</t>
    <phoneticPr fontId="4" type="noConversion"/>
  </si>
  <si>
    <t>主要原因是由于离退休人员去世9人，人员流动离职；追加丧葬费抚恤金预算1449802元，离退休经费30103.7元，追减养老保险及年金预算236765.92元，职业年金经费118382.96元。</t>
    <phoneticPr fontId="4" type="noConversion"/>
  </si>
  <si>
    <t>主要原因是离退休人员去世9人，在职人员工资增长；追加住房公积金预算1028783.2元，一次性住房补贴196542元，追减提租补贴3540元，购房补贴29819.08元，住房公积金48344元。</t>
    <phoneticPr fontId="4" type="noConversion"/>
  </si>
  <si>
    <t>主要原因是扩班扩学位，疫情期间开展线上课堂，支教教师补贴，在职人员绩效增长,补充公用经费不足。增加生均定额122368元，资助经费49100元，免费教科书434347元，扩班设备458700元，空中课堂设备377000元，灯光改造经费381912元，电梯维修250000元，危化品库整改60000元，中小学课外实践经费（含金鹏金帆体育等）2277654元，支教经费7500元，在线辅导经费1814元，人员经费10554677元，公用经费544665.33元；调减年初结转194128.65元，资助经费31143.15元，通用技术比赛15000元，人员经费1285976.57元，扩班设备600元，免费教科书101346.12元,中小学课外实践经费（含金鹏金帆体育等）817326.27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</si>
</sst>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8">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rgb="FF92D05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6">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xf numFmtId="0" fontId="11" fillId="0" borderId="0" xfId="0" applyFont="1" applyFill="1" applyAlignment="1">
      <alignment horizontal="left" vertical="top" wrapText="1"/>
    </xf>
    <xf numFmtId="0" fontId="0" fillId="7" borderId="0" xfId="0" applyFill="1">
      <alignment vertical="center"/>
    </xf>
    <xf numFmtId="176" fontId="0" fillId="0" borderId="0" xfId="0" applyNumberFormat="1">
      <alignmen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255009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北京市第三十五中学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13" zoomScale="90" zoomScaleNormal="90" workbookViewId="0">
      <selection activeCell="E58" sqref="E58"/>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8"/>
  <sheetViews>
    <sheetView topLeftCell="A85" zoomScaleNormal="100" workbookViewId="0">
      <selection activeCell="A38" sqref="A3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 min="16" max="16" width="11.625" bestFit="1" customWidth="1"/>
    <col min="19" max="19" width="12.75" bestFit="1" customWidth="1"/>
    <col min="20" max="20" width="10.375" bestFit="1"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01" customHeight="1">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409</v>
      </c>
      <c r="D6" s="10" t="s">
        <v>247</v>
      </c>
      <c r="E6" s="8">
        <f>_xlfn.IFNA(VLOOKUP(封面!B1,'2021决算导出'!A:C,3,FALSE),"")</f>
        <v>392</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217072188.87</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9084290.5</v>
      </c>
      <c r="I8" s="16" t="s">
        <v>179</v>
      </c>
      <c r="J8" s="30" t="str">
        <f>IF(ISNA(VLOOKUP(封面!B1,'2020决算导出'!A:D,4,FALSE)),"",IF(D8-VLOOKUP(封面!B1,'2020决算导出'!A:D,4,FALSE)&gt;0,"增长","下降"))</f>
        <v>增长</v>
      </c>
      <c r="K8" s="31">
        <f>IF(ISNA(VLOOKUP(封面!B1,'2020决算导出'!A:D,4,FALSE)),"",H8/VLOOKUP(封面!B1,'2020决算导出'!A:D,4,FALSE))</f>
        <v>4.3677014726306355E-2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213035958.80000001</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7541009.3900000155</v>
      </c>
      <c r="I10" s="16" t="s">
        <v>179</v>
      </c>
      <c r="J10" s="30" t="str">
        <f>IF(ISNA(VLOOKUP(封面!B1,'2020决算导出'!A:E,5,FALSE)),"",IF(D10-VLOOKUP(封面!B1,'2020决算导出'!A:E,5,FALSE)&gt;0,"增长","下降"))</f>
        <v>增长</v>
      </c>
      <c r="K10" s="31">
        <f>IF(ISNA(VLOOKUP(封面!B1,'2020决算导出'!A:E,5,FALSE)),"",H10/VLOOKUP(封面!B1,'2020决算导出'!A:E,5,FALSE))</f>
        <v>3.6696811340868156E-2</v>
      </c>
      <c r="L10" s="7" t="s">
        <v>314</v>
      </c>
    </row>
    <row r="11" spans="1:14" ht="18" customHeight="1">
      <c r="A11" s="88" t="s">
        <v>181</v>
      </c>
      <c r="B11" s="88"/>
      <c r="C11" s="88"/>
      <c r="D11" s="14">
        <f>_xlfn.IFNA(VLOOKUP(封面!B1,'2021决算导出'!A:F,6,FALSE),"")</f>
        <v>177298743.86000001</v>
      </c>
      <c r="E11" s="7" t="s">
        <v>179</v>
      </c>
      <c r="F11" s="88" t="s">
        <v>182</v>
      </c>
      <c r="G11" s="88"/>
      <c r="H11" s="29">
        <f>D11/$D$10</f>
        <v>0.83224796817728597</v>
      </c>
      <c r="I11" s="7" t="s">
        <v>315</v>
      </c>
    </row>
    <row r="12" spans="1:14" ht="18" customHeight="1">
      <c r="A12" s="88" t="s">
        <v>184</v>
      </c>
      <c r="B12" s="88"/>
      <c r="C12" s="88"/>
      <c r="D12" s="14">
        <f>_xlfn.IFNA(VLOOKUP(封面!B1,'2021决算导出'!A:G,7,FALSE),"")</f>
        <v>1716800</v>
      </c>
      <c r="E12" s="7" t="s">
        <v>179</v>
      </c>
      <c r="F12" s="88" t="s">
        <v>182</v>
      </c>
      <c r="G12" s="88"/>
      <c r="H12" s="29">
        <f t="shared" ref="H12:H15" si="0">D12/$D$10</f>
        <v>8.0587334160414983E-3</v>
      </c>
      <c r="I12" s="7" t="s">
        <v>315</v>
      </c>
    </row>
    <row r="13" spans="1:14" ht="18" customHeight="1">
      <c r="A13" s="88" t="s">
        <v>185</v>
      </c>
      <c r="B13" s="88"/>
      <c r="C13" s="88"/>
      <c r="D13" s="14">
        <f>_xlfn.IFNA(VLOOKUP(封面!B1,'2021决算导出'!A:H,8,FALSE),"")</f>
        <v>33911000</v>
      </c>
      <c r="E13" s="7" t="s">
        <v>179</v>
      </c>
      <c r="F13" s="88" t="s">
        <v>182</v>
      </c>
      <c r="G13" s="88"/>
      <c r="H13" s="29">
        <f t="shared" si="0"/>
        <v>0.1591796999483826</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109414.94</v>
      </c>
      <c r="E15" s="7" t="s">
        <v>179</v>
      </c>
      <c r="F15" s="88" t="s">
        <v>182</v>
      </c>
      <c r="G15" s="88"/>
      <c r="H15" s="29">
        <f t="shared" si="0"/>
        <v>5.1359845828994385E-4</v>
      </c>
      <c r="I15" s="7" t="s">
        <v>316</v>
      </c>
    </row>
    <row r="16" spans="1:14" ht="18" customHeight="1">
      <c r="A16" s="7" t="s">
        <v>188</v>
      </c>
    </row>
    <row r="17" spans="1:18" ht="18" customHeight="1">
      <c r="A17" s="88" t="s">
        <v>418</v>
      </c>
      <c r="B17" s="88"/>
      <c r="C17" s="88"/>
      <c r="D17" s="14">
        <f>_xlfn.IFNA(VLOOKUP(封面!B1,'2021决算导出'!A:K,11,FALSE),"")</f>
        <v>216253931.44999999</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12496453.479999989</v>
      </c>
      <c r="I17" s="7" t="s">
        <v>179</v>
      </c>
      <c r="J17" s="30" t="str">
        <f>IF(ISNA(VLOOKUP(封面!B1,'2020决算导出'!A:K,11,FALSE)),"",IF(D17-VLOOKUP(封面!B1,'2020决算导出'!A:K,11,FALSE)&gt;0,"增长","下降"))</f>
        <v>增长</v>
      </c>
      <c r="K17" s="31">
        <f>IF(ISNA(VLOOKUP(封面!B1,'2020决算导出'!A:K,11,FALSE)),"",H17/VLOOKUP(封面!B1,'2020决算导出'!A:K,11,FALSE))</f>
        <v>6.1330036102232727E-2</v>
      </c>
      <c r="L17" s="7" t="s">
        <v>317</v>
      </c>
    </row>
    <row r="18" spans="1:18" ht="18" customHeight="1">
      <c r="A18" s="88" t="s">
        <v>189</v>
      </c>
      <c r="B18" s="88"/>
      <c r="C18" s="88"/>
      <c r="D18" s="14">
        <f>_xlfn.IFNA(VLOOKUP(封面!B1,'2021决算导出'!A:L,12,FALSE),"")</f>
        <v>166604822.69999999</v>
      </c>
      <c r="E18" s="7" t="s">
        <v>179</v>
      </c>
      <c r="F18" s="88" t="s">
        <v>190</v>
      </c>
      <c r="G18" s="88"/>
      <c r="H18" s="29">
        <f>D18/$D$17</f>
        <v>0.77041291958440372</v>
      </c>
      <c r="I18" s="7" t="s">
        <v>315</v>
      </c>
    </row>
    <row r="19" spans="1:18" ht="18" customHeight="1">
      <c r="A19" s="88" t="s">
        <v>191</v>
      </c>
      <c r="B19" s="88"/>
      <c r="C19" s="88"/>
      <c r="D19" s="14">
        <f>_xlfn.IFNA(VLOOKUP(封面!B1,'2021决算导出'!A:M,13,FALSE),"")</f>
        <v>15738108.75</v>
      </c>
      <c r="E19" s="7" t="s">
        <v>179</v>
      </c>
      <c r="F19" s="88" t="s">
        <v>190</v>
      </c>
      <c r="G19" s="88"/>
      <c r="H19" s="29">
        <f t="shared" ref="H19:H20" si="1">D19/$D$17</f>
        <v>7.2776058425734577E-2</v>
      </c>
      <c r="I19" s="7" t="s">
        <v>315</v>
      </c>
    </row>
    <row r="20" spans="1:18" ht="18" customHeight="1">
      <c r="A20" s="88" t="s">
        <v>192</v>
      </c>
      <c r="B20" s="88"/>
      <c r="C20" s="88"/>
      <c r="D20" s="14">
        <f>_xlfn.IFNA(VLOOKUP(封面!B1,'2021决算导出'!A:N,14,FALSE),"")</f>
        <v>33911000</v>
      </c>
      <c r="E20" s="7" t="s">
        <v>179</v>
      </c>
      <c r="F20" s="88" t="s">
        <v>190</v>
      </c>
      <c r="G20" s="88"/>
      <c r="H20" s="29">
        <f t="shared" si="1"/>
        <v>0.15681102198986174</v>
      </c>
      <c r="I20" s="7" t="s">
        <v>316</v>
      </c>
    </row>
    <row r="21" spans="1:18" ht="18" customHeight="1">
      <c r="A21" s="6" t="s">
        <v>193</v>
      </c>
    </row>
    <row r="22" spans="1:18" ht="18" customHeight="1">
      <c r="A22" s="88" t="s">
        <v>419</v>
      </c>
      <c r="B22" s="88"/>
      <c r="C22" s="88"/>
      <c r="D22" s="88"/>
      <c r="E22" s="83">
        <f>_xlfn.IFNA(VLOOKUP(封面!B1,'2021决算导出'!A:O,15,FALSE),"")</f>
        <v>181334973.93000001</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3935515.2999999821</v>
      </c>
      <c r="J22" s="7" t="s">
        <v>179</v>
      </c>
      <c r="K22" s="30" t="str">
        <f>IF(ISNA(VLOOKUP(封面!B1,'2020决算导出'!A:O,15,FALSE)),"",IF(E22-VLOOKUP(封面!B1,'2020决算导出'!A:O,15,FALSE)&gt;0,"增长","下降"))</f>
        <v>下降</v>
      </c>
      <c r="L22" s="31">
        <f>IF(ISNA(VLOOKUP(封面!B1,'2020决算导出'!A:O,15,FALSE)),"",I22/VLOOKUP(封面!B1,'2020决算导出'!A:O,15,FALSE))</f>
        <v>2.1241997667066786E-2</v>
      </c>
      <c r="M22" s="7" t="s">
        <v>313</v>
      </c>
    </row>
    <row r="23" spans="1:18" ht="63.6" customHeight="1">
      <c r="B23" s="90" t="s">
        <v>479</v>
      </c>
      <c r="C23" s="90"/>
      <c r="D23" s="90"/>
      <c r="E23" s="90"/>
      <c r="F23" s="90"/>
      <c r="G23" s="90"/>
      <c r="H23" s="90"/>
      <c r="I23" s="90"/>
      <c r="J23" s="90"/>
      <c r="K23" s="90"/>
      <c r="L23" s="90"/>
      <c r="M23" s="90"/>
    </row>
    <row r="24" spans="1:18" ht="18" customHeight="1">
      <c r="A24" s="6" t="s">
        <v>194</v>
      </c>
    </row>
    <row r="25" spans="1:18" ht="18" customHeight="1">
      <c r="A25" s="7" t="s">
        <v>195</v>
      </c>
      <c r="P25" s="94">
        <v>122368</v>
      </c>
    </row>
    <row r="26" spans="1:18" ht="18" customHeight="1">
      <c r="A26" s="88" t="s">
        <v>420</v>
      </c>
      <c r="B26" s="88"/>
      <c r="C26" s="88"/>
      <c r="D26" s="88"/>
      <c r="E26" s="88"/>
      <c r="F26" s="83">
        <f>_xlfn.IFNA(VLOOKUP(封面!B1,'2021决算导出'!A:P,16,FALSE),"")</f>
        <v>180073228.72</v>
      </c>
      <c r="G26" s="83"/>
      <c r="H26" s="7" t="s">
        <v>179</v>
      </c>
      <c r="I26" s="10" t="s">
        <v>196</v>
      </c>
      <c r="J26" s="10"/>
      <c r="K26" s="10"/>
      <c r="L26" s="10"/>
      <c r="M26" s="10"/>
      <c r="P26" s="94">
        <v>49100</v>
      </c>
      <c r="R26">
        <v>31143.15</v>
      </c>
    </row>
    <row r="27" spans="1:18" ht="18" customHeight="1">
      <c r="A27" s="88" t="s">
        <v>199</v>
      </c>
      <c r="B27" s="88"/>
      <c r="C27" s="88"/>
      <c r="D27" s="83">
        <f>_xlfn.IFNA(VLOOKUP(封面!B1,'2021决算导出'!A:Q,17,FALSE),"")</f>
        <v>121930366.67</v>
      </c>
      <c r="E27" s="83"/>
      <c r="F27" s="7" t="s">
        <v>179</v>
      </c>
      <c r="G27" s="86" t="s">
        <v>198</v>
      </c>
      <c r="H27" s="86"/>
      <c r="I27" s="29">
        <f>D27/$F$26</f>
        <v>0.67711545762081227</v>
      </c>
      <c r="J27" s="7" t="s">
        <v>315</v>
      </c>
      <c r="K27" s="9"/>
      <c r="L27" s="9"/>
      <c r="M27" s="9"/>
      <c r="P27" s="94">
        <v>434347</v>
      </c>
      <c r="R27">
        <v>101346.12</v>
      </c>
    </row>
    <row r="28" spans="1:18"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c r="P28">
        <v>458700</v>
      </c>
      <c r="R28">
        <v>600</v>
      </c>
    </row>
    <row r="29" spans="1:18" ht="18" customHeight="1">
      <c r="A29" s="88" t="s">
        <v>197</v>
      </c>
      <c r="B29" s="88"/>
      <c r="C29" s="88"/>
      <c r="D29" s="83">
        <f>_xlfn.IFNA(VLOOKUP(封面!B1,'2021决算导出'!A:S,19,FALSE),"")</f>
        <v>24969104.52</v>
      </c>
      <c r="E29" s="83"/>
      <c r="F29" s="7" t="s">
        <v>179</v>
      </c>
      <c r="G29" s="86" t="s">
        <v>198</v>
      </c>
      <c r="H29" s="86"/>
      <c r="I29" s="29">
        <f t="shared" si="2"/>
        <v>0.13866083646906244</v>
      </c>
      <c r="J29" s="7" t="s">
        <v>315</v>
      </c>
      <c r="P29" s="94">
        <v>377000</v>
      </c>
    </row>
    <row r="30" spans="1:18" ht="18" customHeight="1">
      <c r="A30" s="88" t="s">
        <v>201</v>
      </c>
      <c r="B30" s="88"/>
      <c r="C30" s="88"/>
      <c r="D30" s="83">
        <f>_xlfn.IFNA(VLOOKUP(封面!B1,'2021决算导出'!A:T,20,FALSE),"")</f>
        <v>12133337.529999999</v>
      </c>
      <c r="E30" s="83"/>
      <c r="F30" s="7" t="s">
        <v>179</v>
      </c>
      <c r="G30" s="86" t="s">
        <v>198</v>
      </c>
      <c r="H30" s="86"/>
      <c r="I30" s="29">
        <f t="shared" si="2"/>
        <v>6.7380018763735311E-2</v>
      </c>
      <c r="J30" s="7" t="s">
        <v>315</v>
      </c>
      <c r="P30" s="94">
        <v>381912</v>
      </c>
    </row>
    <row r="31" spans="1:18" ht="18" customHeight="1">
      <c r="A31" s="88" t="s">
        <v>202</v>
      </c>
      <c r="B31" s="88"/>
      <c r="C31" s="88"/>
      <c r="D31" s="83">
        <f>_xlfn.IFNA(VLOOKUP(封面!B1,'2021决算导出'!A:U,21,FALSE),"")</f>
        <v>0</v>
      </c>
      <c r="E31" s="83"/>
      <c r="F31" s="7" t="s">
        <v>179</v>
      </c>
      <c r="G31" s="86" t="s">
        <v>198</v>
      </c>
      <c r="H31" s="86"/>
      <c r="I31" s="29">
        <f t="shared" si="2"/>
        <v>0</v>
      </c>
      <c r="J31" s="7" t="s">
        <v>315</v>
      </c>
      <c r="P31" s="94">
        <v>250000</v>
      </c>
    </row>
    <row r="32" spans="1:18" ht="18" customHeight="1">
      <c r="A32" s="88" t="s">
        <v>203</v>
      </c>
      <c r="B32" s="88"/>
      <c r="C32" s="88"/>
      <c r="D32" s="83">
        <f>_xlfn.IFNA(VLOOKUP(封面!B1,'2021决算导出'!A:V,22,FALSE),"")</f>
        <v>21040420</v>
      </c>
      <c r="E32" s="83"/>
      <c r="F32" s="7" t="s">
        <v>179</v>
      </c>
      <c r="G32" s="86" t="s">
        <v>198</v>
      </c>
      <c r="H32" s="86"/>
      <c r="I32" s="29">
        <f t="shared" si="2"/>
        <v>0.11684368714638994</v>
      </c>
      <c r="J32" s="7" t="s">
        <v>315</v>
      </c>
      <c r="P32" s="94">
        <v>60000</v>
      </c>
    </row>
    <row r="33" spans="1:20" ht="18" customHeight="1">
      <c r="A33" s="7" t="s">
        <v>204</v>
      </c>
      <c r="P33" s="94">
        <v>2277654</v>
      </c>
      <c r="R33">
        <f>194128.65+817326.27</f>
        <v>1011454.92</v>
      </c>
    </row>
    <row r="34" spans="1:20" ht="18" customHeight="1">
      <c r="A34" s="85" t="s">
        <v>421</v>
      </c>
      <c r="B34" s="85"/>
      <c r="C34" s="85"/>
      <c r="D34" s="85"/>
      <c r="E34" s="83">
        <f>_xlfn.IFNA(VLOOKUP(封面!B1,一般公共预算财政拨款支出决算具体情况!A:C,3,FALSE),"")</f>
        <v>121930366.67</v>
      </c>
      <c r="F34" s="83"/>
      <c r="G34" s="7" t="s">
        <v>179</v>
      </c>
      <c r="H34" s="86" t="s">
        <v>422</v>
      </c>
      <c r="I34" s="86"/>
      <c r="J34" s="83">
        <f>_xlfn.IFNA(VLOOKUP(封面!B1,一般公共预算财政拨款支出决算具体情况!A:D,4,FALSE),"")</f>
        <v>108856187.09999999</v>
      </c>
      <c r="K34" s="83"/>
      <c r="L34" s="11" t="s">
        <v>178</v>
      </c>
      <c r="P34" s="94">
        <v>7500</v>
      </c>
      <c r="R34">
        <v>15000</v>
      </c>
    </row>
    <row r="35" spans="1:20" ht="18" customHeight="1">
      <c r="B35" s="15" t="str">
        <f>IF(E34&gt;J34,"增加","减少")</f>
        <v>增加</v>
      </c>
      <c r="C35" s="83">
        <f>ABS(E34-J34)</f>
        <v>13074179.570000008</v>
      </c>
      <c r="D35" s="83"/>
      <c r="E35" s="7" t="s">
        <v>179</v>
      </c>
      <c r="F35" s="15" t="str">
        <f>IF(E34&gt;J34,"增长","下降")</f>
        <v>增长</v>
      </c>
      <c r="G35" s="34">
        <f>IF(J34=0,IF(E34&gt;0,1,""),C35/J34)</f>
        <v>0.12010506631092546</v>
      </c>
      <c r="H35" s="7" t="s">
        <v>316</v>
      </c>
      <c r="I35" s="11" t="s">
        <v>205</v>
      </c>
      <c r="P35" s="94">
        <v>1814</v>
      </c>
    </row>
    <row r="36" spans="1:20" ht="18" customHeight="1">
      <c r="A36" s="88" t="s">
        <v>423</v>
      </c>
      <c r="B36" s="88"/>
      <c r="C36" s="88"/>
      <c r="D36" s="88"/>
      <c r="E36" s="83">
        <f>_xlfn.IFNA(VLOOKUP(封面!B1,一般公共预算财政拨款支出决算具体情况!A:E,5,FALSE),"")</f>
        <v>121313743.67</v>
      </c>
      <c r="F36" s="83"/>
      <c r="G36" s="7" t="s">
        <v>179</v>
      </c>
      <c r="H36" s="86" t="s">
        <v>422</v>
      </c>
      <c r="I36" s="86"/>
      <c r="J36" s="83">
        <f>_xlfn.IFNA(VLOOKUP(封面!B1,一般公共预算财政拨款支出决算具体情况!A:F,6,FALSE),"")</f>
        <v>108239527.09999999</v>
      </c>
      <c r="K36" s="83"/>
      <c r="L36" s="11" t="s">
        <v>178</v>
      </c>
      <c r="P36" s="94">
        <v>10554677</v>
      </c>
      <c r="R36">
        <v>1285976.57</v>
      </c>
    </row>
    <row r="37" spans="1:20" ht="18" customHeight="1">
      <c r="A37" s="15"/>
      <c r="B37" s="15" t="str">
        <f>IF(E36&gt;J36,"增加","减少")</f>
        <v>增加</v>
      </c>
      <c r="C37" s="83">
        <f>ABS(E36-J36)</f>
        <v>13074216.570000008</v>
      </c>
      <c r="D37" s="83"/>
      <c r="E37" s="7" t="s">
        <v>179</v>
      </c>
      <c r="F37" s="15" t="str">
        <f>IF(E36&gt;J36,"增长","下降")</f>
        <v>增长</v>
      </c>
      <c r="G37" s="34">
        <f>IF(J36=0,IF(E36&gt;0,1,""),C37/J36)</f>
        <v>0.12078966825050004</v>
      </c>
      <c r="H37" s="7" t="s">
        <v>316</v>
      </c>
      <c r="P37" s="94">
        <v>544665.32999999996</v>
      </c>
    </row>
    <row r="38" spans="1:20" ht="140.25" customHeight="1">
      <c r="B38" s="93" t="s">
        <v>487</v>
      </c>
      <c r="C38" s="93"/>
      <c r="D38" s="93"/>
      <c r="E38" s="93"/>
      <c r="F38" s="93"/>
      <c r="G38" s="93"/>
      <c r="H38" s="93"/>
      <c r="I38" s="93"/>
      <c r="J38" s="93"/>
      <c r="K38" s="93"/>
      <c r="L38" s="93"/>
      <c r="P38">
        <f>SUM(P25:P37)</f>
        <v>15519737.33</v>
      </c>
      <c r="R38">
        <f>SUM(R26:R36)</f>
        <v>2445520.7599999998</v>
      </c>
      <c r="S38">
        <f>P38-R38</f>
        <v>13074216.57</v>
      </c>
      <c r="T38" s="95">
        <f>S38-C37</f>
        <v>0</v>
      </c>
    </row>
    <row r="39" spans="1:20"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20" ht="18" customHeight="1">
      <c r="A40" s="15"/>
      <c r="B40" s="15" t="str">
        <f>IF(E39&gt;J39,"增加","减少")</f>
        <v>减少</v>
      </c>
      <c r="C40" s="83">
        <f>ABS(E39-J39)</f>
        <v>0</v>
      </c>
      <c r="D40" s="83"/>
      <c r="E40" s="7" t="s">
        <v>179</v>
      </c>
      <c r="F40" s="15" t="str">
        <f>IF(E39&gt;J39,"增长","下降")</f>
        <v>下降</v>
      </c>
      <c r="G40" s="34" t="str">
        <f>IF(J39=0,IF(E39&gt;0,1,""),C40/J39)</f>
        <v/>
      </c>
      <c r="H40" s="7" t="s">
        <v>316</v>
      </c>
    </row>
    <row r="41" spans="1:20" ht="36" customHeight="1">
      <c r="B41" s="84" t="s">
        <v>480</v>
      </c>
      <c r="C41" s="84"/>
      <c r="D41" s="84"/>
      <c r="E41" s="84"/>
      <c r="F41" s="84"/>
      <c r="G41" s="84"/>
      <c r="H41" s="84"/>
      <c r="I41" s="84"/>
      <c r="J41" s="84"/>
      <c r="K41" s="84"/>
      <c r="L41" s="84"/>
    </row>
    <row r="42" spans="1:20" ht="18" customHeight="1">
      <c r="A42" s="88" t="s">
        <v>425</v>
      </c>
      <c r="B42" s="88"/>
      <c r="C42" s="88"/>
      <c r="D42" s="88"/>
      <c r="E42" s="83">
        <f>_xlfn.IFNA(VLOOKUP(封面!B1,一般公共预算财政拨款支出决算具体情况!A:I,9,FALSE),"")</f>
        <v>0</v>
      </c>
      <c r="F42" s="83"/>
      <c r="G42" s="7" t="s">
        <v>179</v>
      </c>
      <c r="H42" s="86" t="s">
        <v>422</v>
      </c>
      <c r="I42" s="86"/>
      <c r="J42" s="83">
        <f>_xlfn.IFNA(VLOOKUP(封面!B1,一般公共预算财政拨款支出决算具体情况!A:J,10,FALSE),"")</f>
        <v>0</v>
      </c>
      <c r="K42" s="83"/>
      <c r="L42" s="11" t="s">
        <v>178</v>
      </c>
    </row>
    <row r="43" spans="1:20" ht="18" customHeight="1">
      <c r="A43" s="15"/>
      <c r="B43" s="15" t="str">
        <f>IF(E42&gt;J42,"增加","减少")</f>
        <v>减少</v>
      </c>
      <c r="C43" s="83">
        <f>ABS(E42-J42)</f>
        <v>0</v>
      </c>
      <c r="D43" s="83"/>
      <c r="E43" s="7" t="s">
        <v>179</v>
      </c>
      <c r="F43" s="15" t="str">
        <f>IF(E42&gt;J42,"增长","下降")</f>
        <v>下降</v>
      </c>
      <c r="G43" s="34" t="str">
        <f>IF(J42=0,IF(E42&gt;0,1,""),C43/J42)</f>
        <v/>
      </c>
      <c r="H43" s="7" t="s">
        <v>316</v>
      </c>
    </row>
    <row r="44" spans="1:20" ht="36" customHeight="1">
      <c r="B44" s="84" t="s">
        <v>480</v>
      </c>
      <c r="C44" s="84"/>
      <c r="D44" s="84"/>
      <c r="E44" s="84"/>
      <c r="F44" s="84"/>
      <c r="G44" s="84"/>
      <c r="H44" s="84"/>
      <c r="I44" s="84"/>
      <c r="J44" s="84"/>
      <c r="K44" s="84"/>
      <c r="L44" s="84"/>
    </row>
    <row r="45" spans="1:20" ht="18" customHeight="1">
      <c r="A45" s="88" t="s">
        <v>426</v>
      </c>
      <c r="B45" s="88"/>
      <c r="C45" s="88"/>
      <c r="D45" s="88"/>
      <c r="E45" s="83">
        <f>_xlfn.IFNA(VLOOKUP(封面!B1,一般公共预算财政拨款支出决算具体情况!A:K,11,FALSE),"")</f>
        <v>0</v>
      </c>
      <c r="F45" s="83"/>
      <c r="G45" s="7" t="s">
        <v>179</v>
      </c>
      <c r="H45" s="86" t="s">
        <v>422</v>
      </c>
      <c r="I45" s="86"/>
      <c r="J45" s="83">
        <f>_xlfn.IFNA(VLOOKUP(封面!B1,一般公共预算财政拨款支出决算具体情况!A:L,12,FALSE),"")</f>
        <v>0</v>
      </c>
      <c r="K45" s="83"/>
      <c r="L45" s="11" t="s">
        <v>178</v>
      </c>
    </row>
    <row r="46" spans="1:20" ht="18" customHeight="1">
      <c r="A46" s="15"/>
      <c r="B46" s="15" t="str">
        <f>IF(E45&gt;J45,"增加","减少")</f>
        <v>减少</v>
      </c>
      <c r="C46" s="83">
        <f>ABS(E45-J45)</f>
        <v>0</v>
      </c>
      <c r="D46" s="83"/>
      <c r="E46" s="7" t="s">
        <v>179</v>
      </c>
      <c r="F46" s="15" t="str">
        <f>IF(E45&gt;J45,"增长","下降")</f>
        <v>下降</v>
      </c>
      <c r="G46" s="34" t="str">
        <f>IF(J45=0,IF(E45&gt;0,1,""),C46/J45)</f>
        <v/>
      </c>
      <c r="H46" s="7" t="s">
        <v>316</v>
      </c>
    </row>
    <row r="47" spans="1:20" ht="36" customHeight="1">
      <c r="B47" s="84" t="s">
        <v>480</v>
      </c>
      <c r="C47" s="84"/>
      <c r="D47" s="84"/>
      <c r="E47" s="84"/>
      <c r="F47" s="84"/>
      <c r="G47" s="84"/>
      <c r="H47" s="84"/>
      <c r="I47" s="84"/>
      <c r="J47" s="84"/>
      <c r="K47" s="84"/>
      <c r="L47" s="84"/>
    </row>
    <row r="48" spans="1:20" ht="18" customHeight="1">
      <c r="A48" s="88" t="s">
        <v>427</v>
      </c>
      <c r="B48" s="88"/>
      <c r="C48" s="88"/>
      <c r="D48" s="88"/>
      <c r="E48" s="83">
        <f>_xlfn.IFNA(VLOOKUP(封面!B1,一般公共预算财政拨款支出决算具体情况!A:M,13,FALSE),"")</f>
        <v>262480</v>
      </c>
      <c r="F48" s="83"/>
      <c r="G48" s="7" t="s">
        <v>179</v>
      </c>
      <c r="H48" s="86" t="s">
        <v>422</v>
      </c>
      <c r="I48" s="86"/>
      <c r="J48" s="83">
        <f>_xlfn.IFNA(VLOOKUP(封面!B1,一般公共预算财政拨款支出决算具体情况!A:N,14,FALSE),"")</f>
        <v>262480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316</v>
      </c>
    </row>
    <row r="50" spans="1:12" ht="36" customHeight="1">
      <c r="B50" s="84" t="s">
        <v>481</v>
      </c>
      <c r="C50" s="84"/>
      <c r="D50" s="84"/>
      <c r="E50" s="84"/>
      <c r="F50" s="84"/>
      <c r="G50" s="84"/>
      <c r="H50" s="84"/>
      <c r="I50" s="84"/>
      <c r="J50" s="84"/>
      <c r="K50" s="84"/>
      <c r="L50" s="84"/>
    </row>
    <row r="51" spans="1:12" ht="18" customHeight="1">
      <c r="A51" s="87" t="s">
        <v>428</v>
      </c>
      <c r="B51" s="87"/>
      <c r="C51" s="87"/>
      <c r="D51" s="87"/>
      <c r="E51" s="83">
        <f>_xlfn.IFNA(VLOOKUP(封面!B1,一般公共预算财政拨款支出决算具体情况!A:O,15,FALSE),"")</f>
        <v>354143</v>
      </c>
      <c r="F51" s="83"/>
      <c r="G51" s="7" t="s">
        <v>179</v>
      </c>
      <c r="H51" s="86" t="s">
        <v>422</v>
      </c>
      <c r="I51" s="86"/>
      <c r="J51" s="83">
        <f>_xlfn.IFNA(VLOOKUP(封面!B1,一般公共预算财政拨款支出决算具体情况!A:P,16,FALSE),"")</f>
        <v>354180</v>
      </c>
      <c r="K51" s="83"/>
      <c r="L51" s="11" t="s">
        <v>178</v>
      </c>
    </row>
    <row r="52" spans="1:12" ht="18" customHeight="1">
      <c r="A52" s="15"/>
      <c r="B52" s="15" t="str">
        <f>IF(E51&gt;J51,"增加","减少")</f>
        <v>减少</v>
      </c>
      <c r="C52" s="83">
        <f>ABS(E51-J51)</f>
        <v>37</v>
      </c>
      <c r="D52" s="83"/>
      <c r="E52" s="7" t="s">
        <v>179</v>
      </c>
      <c r="F52" s="15" t="str">
        <f>IF(E51&gt;J51,"增长","下降")</f>
        <v>下降</v>
      </c>
      <c r="G52" s="34">
        <f>IF(J51=0,IF(E51&gt;0,1,""),C52/J51)</f>
        <v>1.0446665537297419E-4</v>
      </c>
      <c r="H52" s="7" t="s">
        <v>316</v>
      </c>
    </row>
    <row r="53" spans="1:12" ht="36" customHeight="1">
      <c r="B53" s="93" t="s">
        <v>482</v>
      </c>
      <c r="C53" s="93"/>
      <c r="D53" s="93"/>
      <c r="E53" s="93"/>
      <c r="F53" s="93"/>
      <c r="G53" s="93"/>
      <c r="H53" s="93"/>
      <c r="I53" s="93"/>
      <c r="J53" s="93"/>
      <c r="K53" s="93"/>
      <c r="L53" s="93"/>
    </row>
    <row r="54" spans="1:12" ht="18" customHeight="1">
      <c r="A54" s="89" t="s">
        <v>429</v>
      </c>
      <c r="B54" s="89"/>
      <c r="C54" s="89"/>
      <c r="D54" s="89"/>
      <c r="E54" s="83">
        <f>_xlfn.IFNA(VLOOKUP(封面!B1,一般公共预算财政拨款支出决算具体情况!A:Q,17,FALSE),"")</f>
        <v>0</v>
      </c>
      <c r="F54" s="83"/>
      <c r="G54" s="7" t="s">
        <v>179</v>
      </c>
      <c r="H54" s="85" t="s">
        <v>430</v>
      </c>
      <c r="I54" s="85"/>
      <c r="J54" s="85"/>
      <c r="K54" s="85"/>
      <c r="L54" s="11"/>
    </row>
    <row r="55" spans="1:12" ht="18" customHeight="1">
      <c r="A55" s="87" t="s">
        <v>472</v>
      </c>
      <c r="B55" s="87"/>
      <c r="C55" s="87"/>
      <c r="D55" s="87"/>
      <c r="E55" s="83">
        <f>_xlfn.IFNA(VLOOKUP(封面!B1,一般公共预算财政拨款支出决算具体情况!A:S,19,FALSE),"")</f>
        <v>0</v>
      </c>
      <c r="F55" s="83"/>
      <c r="G55" s="7" t="s">
        <v>179</v>
      </c>
      <c r="H55" s="85" t="s">
        <v>432</v>
      </c>
      <c r="I55" s="85"/>
      <c r="J55" s="85"/>
      <c r="K55" s="85"/>
      <c r="L55" s="11"/>
    </row>
    <row r="56" spans="1:12" ht="36" customHeight="1">
      <c r="B56" s="84" t="s">
        <v>480</v>
      </c>
      <c r="C56" s="84"/>
      <c r="D56" s="84"/>
      <c r="E56" s="84"/>
      <c r="F56" s="84"/>
      <c r="G56" s="84"/>
      <c r="H56" s="84"/>
      <c r="I56" s="84"/>
      <c r="J56" s="84"/>
      <c r="K56" s="84"/>
      <c r="L56" s="84"/>
    </row>
    <row r="57" spans="1:12" ht="18" customHeight="1">
      <c r="A57" s="88" t="s">
        <v>431</v>
      </c>
      <c r="B57" s="88"/>
      <c r="C57" s="88"/>
      <c r="D57" s="88"/>
      <c r="E57" s="83">
        <f>_xlfn.IFNA(VLOOKUP(封面!B1,一般公共预算财政拨款支出决算具体情况!A:U,21,FALSE),"")</f>
        <v>0</v>
      </c>
      <c r="F57" s="83"/>
      <c r="G57" s="7" t="s">
        <v>179</v>
      </c>
      <c r="H57" s="85" t="s">
        <v>432</v>
      </c>
      <c r="I57" s="85"/>
      <c r="J57" s="85"/>
      <c r="K57" s="85"/>
      <c r="L57" s="11"/>
    </row>
    <row r="58" spans="1:12" ht="36" customHeight="1">
      <c r="B58" s="84" t="s">
        <v>480</v>
      </c>
      <c r="C58" s="84"/>
      <c r="D58" s="84"/>
      <c r="E58" s="84"/>
      <c r="F58" s="84"/>
      <c r="G58" s="84"/>
      <c r="H58" s="84"/>
      <c r="I58" s="84"/>
      <c r="J58" s="84"/>
      <c r="K58" s="84"/>
      <c r="L58" s="84"/>
    </row>
    <row r="59" spans="1:12" ht="18" customHeight="1">
      <c r="A59" s="89" t="s">
        <v>433</v>
      </c>
      <c r="B59" s="89"/>
      <c r="C59" s="89"/>
      <c r="D59" s="89"/>
      <c r="E59" s="83">
        <f>_xlfn.IFNA(VLOOKUP(封面!B1,一般公共预算财政拨款支出决算具体情况!A:W,23,FALSE),"")</f>
        <v>24969104.520000003</v>
      </c>
      <c r="F59" s="83"/>
      <c r="G59" s="7" t="s">
        <v>179</v>
      </c>
      <c r="H59" s="86" t="s">
        <v>422</v>
      </c>
      <c r="I59" s="86"/>
      <c r="J59" s="83">
        <f>_xlfn.IFNA(VLOOKUP(封面!B1,一般公共预算财政拨款支出决算具体情况!A:X,24,FALSE),"")</f>
        <v>23844347.699999999</v>
      </c>
      <c r="K59" s="83"/>
      <c r="L59" s="11" t="s">
        <v>178</v>
      </c>
    </row>
    <row r="60" spans="1:12" ht="18" customHeight="1">
      <c r="B60" s="15" t="str">
        <f>IF(E59&gt;J59,"增加","减少")</f>
        <v>增加</v>
      </c>
      <c r="C60" s="83">
        <f>ABS(E59-J59)</f>
        <v>1124756.820000004</v>
      </c>
      <c r="D60" s="83"/>
      <c r="E60" s="7" t="s">
        <v>179</v>
      </c>
      <c r="F60" s="15" t="str">
        <f>IF(E59&gt;J59,"增长","下降")</f>
        <v>增长</v>
      </c>
      <c r="G60" s="34">
        <f>IF(J59=0,IF(E59&gt;0,1,""),C60/J59)</f>
        <v>4.7170794275911525E-2</v>
      </c>
      <c r="H60" s="7" t="s">
        <v>316</v>
      </c>
      <c r="I60" s="11" t="s">
        <v>205</v>
      </c>
    </row>
    <row r="61" spans="1:12" ht="18" customHeight="1">
      <c r="A61" s="87" t="s">
        <v>434</v>
      </c>
      <c r="B61" s="87"/>
      <c r="C61" s="87"/>
      <c r="D61" s="87"/>
      <c r="E61" s="83">
        <f>_xlfn.IFNA(VLOOKUP(封面!B1,一般公共预算财政拨款支出决算具体情况!A:Y,25,FALSE),"")</f>
        <v>24969104.520000003</v>
      </c>
      <c r="F61" s="83"/>
      <c r="G61" s="7" t="s">
        <v>179</v>
      </c>
      <c r="H61" s="86" t="s">
        <v>422</v>
      </c>
      <c r="I61" s="86"/>
      <c r="J61" s="83">
        <f>_xlfn.IFNA(VLOOKUP(封面!B1,一般公共预算财政拨款支出决算具体情况!A:Z,26,FALSE),"")</f>
        <v>23844347.699999999</v>
      </c>
      <c r="K61" s="83"/>
      <c r="L61" s="11" t="s">
        <v>178</v>
      </c>
    </row>
    <row r="62" spans="1:12" ht="18" customHeight="1">
      <c r="A62" s="15"/>
      <c r="B62" s="15" t="str">
        <f>IF(E61&gt;J61,"增加","减少")</f>
        <v>增加</v>
      </c>
      <c r="C62" s="83">
        <f>ABS(E61-J61)</f>
        <v>1124756.820000004</v>
      </c>
      <c r="D62" s="83"/>
      <c r="E62" s="7" t="s">
        <v>179</v>
      </c>
      <c r="F62" s="15" t="str">
        <f>IF(E61&gt;J61,"增长","下降")</f>
        <v>增长</v>
      </c>
      <c r="G62" s="34">
        <f>IF(J61=0,IF(E61&gt;0,1,""),C62/J61)</f>
        <v>4.7170794275911525E-2</v>
      </c>
      <c r="H62" s="7" t="s">
        <v>316</v>
      </c>
    </row>
    <row r="63" spans="1:12" ht="69.75" customHeight="1">
      <c r="B63" s="93" t="s">
        <v>485</v>
      </c>
      <c r="C63" s="93"/>
      <c r="D63" s="93"/>
      <c r="E63" s="93"/>
      <c r="F63" s="93"/>
      <c r="G63" s="93"/>
      <c r="H63" s="93"/>
      <c r="I63" s="93"/>
      <c r="J63" s="93"/>
      <c r="K63" s="93"/>
      <c r="L63" s="93"/>
    </row>
    <row r="64" spans="1:12" ht="18" customHeight="1">
      <c r="A64" s="87" t="s">
        <v>435</v>
      </c>
      <c r="B64" s="87"/>
      <c r="C64" s="87"/>
      <c r="D64" s="87"/>
      <c r="E64" s="83">
        <f>_xlfn.IFNA(VLOOKUP(封面!B1,一般公共预算财政拨款支出决算具体情况!A:AA,27,FALSE),"")</f>
        <v>0</v>
      </c>
      <c r="F64" s="83"/>
      <c r="G64" s="7" t="s">
        <v>179</v>
      </c>
      <c r="H64" s="86" t="s">
        <v>432</v>
      </c>
      <c r="I64" s="86"/>
      <c r="J64" s="83"/>
      <c r="K64" s="83"/>
      <c r="L64" s="11"/>
    </row>
    <row r="65" spans="1:12" ht="36" customHeight="1">
      <c r="B65" s="84" t="s">
        <v>480</v>
      </c>
      <c r="C65" s="84"/>
      <c r="D65" s="84"/>
      <c r="E65" s="84"/>
      <c r="F65" s="84"/>
      <c r="G65" s="84"/>
      <c r="H65" s="84"/>
      <c r="I65" s="84"/>
      <c r="J65" s="84"/>
      <c r="K65" s="84"/>
      <c r="L65" s="84"/>
    </row>
    <row r="66" spans="1:12" ht="18" customHeight="1">
      <c r="A66" s="89" t="s">
        <v>436</v>
      </c>
      <c r="B66" s="89"/>
      <c r="C66" s="89"/>
      <c r="D66" s="89"/>
      <c r="E66" s="83">
        <f>_xlfn.IFNA(VLOOKUP(封面!B1,一般公共预算财政拨款支出决算具体情况!A:AC,29,FALSE),"")</f>
        <v>12133337.529999999</v>
      </c>
      <c r="F66" s="83"/>
      <c r="G66" s="7" t="s">
        <v>179</v>
      </c>
      <c r="H66" s="86" t="s">
        <v>422</v>
      </c>
      <c r="I66" s="86"/>
      <c r="J66" s="83">
        <f>_xlfn.IFNA(VLOOKUP(封面!B1,一般公共预算财政拨款支出决算具体情况!A:AD,30,FALSE),"")</f>
        <v>10554203.199999999</v>
      </c>
      <c r="K66" s="83"/>
      <c r="L66" s="11" t="s">
        <v>178</v>
      </c>
    </row>
    <row r="67" spans="1:12" ht="18" customHeight="1">
      <c r="B67" s="15" t="str">
        <f>IF(E66&gt;J66,"增加","减少")</f>
        <v>增加</v>
      </c>
      <c r="C67" s="83">
        <f>ABS(E66-J66)</f>
        <v>1579134.33</v>
      </c>
      <c r="D67" s="83"/>
      <c r="E67" s="7" t="s">
        <v>179</v>
      </c>
      <c r="F67" s="15" t="str">
        <f>IF(E66&gt;J66,"增长","下降")</f>
        <v>增长</v>
      </c>
      <c r="G67" s="34">
        <f>IF(J66=0,IF(E66&gt;0,1,""),C67/J66)</f>
        <v>0.14962136885899641</v>
      </c>
      <c r="H67" s="7" t="s">
        <v>316</v>
      </c>
      <c r="I67" s="11" t="s">
        <v>205</v>
      </c>
    </row>
    <row r="68" spans="1:12" ht="18" customHeight="1">
      <c r="A68" s="87" t="s">
        <v>437</v>
      </c>
      <c r="B68" s="87"/>
      <c r="C68" s="87"/>
      <c r="D68" s="87"/>
      <c r="E68" s="83">
        <f>_xlfn.IFNA(VLOOKUP(封面!B1,一般公共预算财政拨款支出决算具体情况!A:AE,31,FALSE),"")</f>
        <v>12133337.529999999</v>
      </c>
      <c r="F68" s="83"/>
      <c r="G68" s="7" t="s">
        <v>179</v>
      </c>
      <c r="H68" s="86" t="s">
        <v>422</v>
      </c>
      <c r="I68" s="86"/>
      <c r="J68" s="83">
        <f>_xlfn.IFNA(VLOOKUP(封面!B1,一般公共预算财政拨款支出决算具体情况!A:AF,32,FALSE),"")</f>
        <v>10554203.199999999</v>
      </c>
      <c r="K68" s="83"/>
      <c r="L68" s="11" t="s">
        <v>178</v>
      </c>
    </row>
    <row r="69" spans="1:12" ht="18" customHeight="1">
      <c r="A69" s="15"/>
      <c r="B69" s="15" t="str">
        <f>IF(E68&gt;J68,"增加","减少")</f>
        <v>增加</v>
      </c>
      <c r="C69" s="83">
        <f>ABS(E68-J68)</f>
        <v>1579134.33</v>
      </c>
      <c r="D69" s="83"/>
      <c r="E69" s="7" t="s">
        <v>179</v>
      </c>
      <c r="F69" s="15" t="str">
        <f>IF(E68&gt;J68,"增长","下降")</f>
        <v>增长</v>
      </c>
      <c r="G69" s="34">
        <f>IF(J68=0,IF(E68&gt;0,1,""),C69/J68)</f>
        <v>0.14962136885899641</v>
      </c>
      <c r="H69" s="7" t="s">
        <v>316</v>
      </c>
    </row>
    <row r="70" spans="1:12" ht="36" customHeight="1">
      <c r="B70" s="93" t="s">
        <v>484</v>
      </c>
      <c r="C70" s="93"/>
      <c r="D70" s="93"/>
      <c r="E70" s="93"/>
      <c r="F70" s="93"/>
      <c r="G70" s="93"/>
      <c r="H70" s="93"/>
      <c r="I70" s="93"/>
      <c r="J70" s="93"/>
      <c r="K70" s="93"/>
      <c r="L70" s="93"/>
    </row>
    <row r="71" spans="1:12" ht="18" customHeight="1">
      <c r="A71" s="89" t="s">
        <v>438</v>
      </c>
      <c r="B71" s="89"/>
      <c r="C71" s="89"/>
      <c r="D71" s="89"/>
      <c r="E71" s="83">
        <f>_xlfn.IFNA(VLOOKUP(封面!B1,一般公共预算财政拨款支出决算具体情况!A:AG,33,FALSE),"")</f>
        <v>0</v>
      </c>
      <c r="F71" s="83"/>
      <c r="G71" s="7" t="s">
        <v>179</v>
      </c>
      <c r="H71" s="86" t="s">
        <v>422</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7" t="s">
        <v>439</v>
      </c>
      <c r="B73" s="87"/>
      <c r="C73" s="87"/>
      <c r="D73" s="87"/>
      <c r="E73" s="83">
        <f>_xlfn.IFNA(VLOOKUP(封面!B1,一般公共预算财政拨款支出决算具体情况!A:AI,35,FALSE),"")</f>
        <v>0</v>
      </c>
      <c r="F73" s="83"/>
      <c r="G73" s="7" t="s">
        <v>179</v>
      </c>
      <c r="H73" s="86" t="s">
        <v>422</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36" customHeight="1">
      <c r="B75" s="84" t="s">
        <v>480</v>
      </c>
      <c r="C75" s="84"/>
      <c r="D75" s="84"/>
      <c r="E75" s="84"/>
      <c r="F75" s="84"/>
      <c r="G75" s="84"/>
      <c r="H75" s="84"/>
      <c r="I75" s="84"/>
      <c r="J75" s="84"/>
      <c r="K75" s="84"/>
      <c r="L75" s="84"/>
    </row>
    <row r="76" spans="1:12" ht="18" customHeight="1">
      <c r="A76" s="89" t="s">
        <v>473</v>
      </c>
      <c r="B76" s="89"/>
      <c r="C76" s="89"/>
      <c r="D76" s="89"/>
      <c r="E76" s="83">
        <f>_xlfn.IFNA(VLOOKUP(封面!B1,一般公共预算财政拨款支出决算具体情况!A:AK,37,FALSE),"")</f>
        <v>21040420</v>
      </c>
      <c r="F76" s="83"/>
      <c r="G76" s="7" t="s">
        <v>179</v>
      </c>
      <c r="H76" s="86" t="s">
        <v>422</v>
      </c>
      <c r="I76" s="86"/>
      <c r="J76" s="83">
        <f>_xlfn.IFNA(VLOOKUP(封面!B1,一般公共预算财政拨款支出决算具体情况!A:AL,38,FALSE),"")</f>
        <v>19896797.880000003</v>
      </c>
      <c r="K76" s="83"/>
      <c r="L76" s="11" t="s">
        <v>178</v>
      </c>
    </row>
    <row r="77" spans="1:12" ht="18" customHeight="1">
      <c r="B77" s="15" t="str">
        <f>IF(E76&gt;J76,"增加","减少")</f>
        <v>增加</v>
      </c>
      <c r="C77" s="83">
        <f>ABS(E76-J76)</f>
        <v>1143622.1199999973</v>
      </c>
      <c r="D77" s="83"/>
      <c r="E77" s="7" t="s">
        <v>179</v>
      </c>
      <c r="F77" s="15" t="str">
        <f>IF(E76&gt;J76,"增长","下降")</f>
        <v>增长</v>
      </c>
      <c r="G77" s="34">
        <f>IF(J76=0,IF(E76&gt;0,1,""),C77/J76)</f>
        <v>5.747769700920323E-2</v>
      </c>
      <c r="H77" s="7" t="s">
        <v>316</v>
      </c>
      <c r="I77" s="11" t="s">
        <v>205</v>
      </c>
    </row>
    <row r="78" spans="1:12" ht="18" customHeight="1">
      <c r="A78" s="87" t="s">
        <v>440</v>
      </c>
      <c r="B78" s="87"/>
      <c r="C78" s="87"/>
      <c r="D78" s="87"/>
      <c r="E78" s="83">
        <f>_xlfn.IFNA(VLOOKUP(封面!B1,一般公共预算财政拨款支出决算具体情况!A:AM,39,FALSE),"")</f>
        <v>21040420</v>
      </c>
      <c r="F78" s="83"/>
      <c r="G78" s="7" t="s">
        <v>179</v>
      </c>
      <c r="H78" s="86" t="s">
        <v>422</v>
      </c>
      <c r="I78" s="86"/>
      <c r="J78" s="83">
        <f>_xlfn.IFNA(VLOOKUP(封面!B1,一般公共预算财政拨款支出决算具体情况!A:AN,40,FALSE),"")</f>
        <v>19896797.880000003</v>
      </c>
      <c r="K78" s="83"/>
      <c r="L78" s="11" t="s">
        <v>178</v>
      </c>
    </row>
    <row r="79" spans="1:12" ht="18" customHeight="1">
      <c r="A79" s="15"/>
      <c r="B79" s="15" t="str">
        <f>IF(E78&gt;J78,"增加","减少")</f>
        <v>增加</v>
      </c>
      <c r="C79" s="83">
        <f>ABS(E78-J78)</f>
        <v>1143622.1199999973</v>
      </c>
      <c r="D79" s="83"/>
      <c r="E79" s="7" t="s">
        <v>179</v>
      </c>
      <c r="F79" s="15" t="str">
        <f>IF(E78&gt;J78,"增长","下降")</f>
        <v>增长</v>
      </c>
      <c r="G79" s="34">
        <f>IF(J78=0,IF(E78&gt;0,1,""),C79/J78)</f>
        <v>5.747769700920323E-2</v>
      </c>
      <c r="H79" s="7" t="s">
        <v>316</v>
      </c>
    </row>
    <row r="80" spans="1:12" ht="45.75" customHeight="1">
      <c r="B80" s="93" t="s">
        <v>486</v>
      </c>
      <c r="C80" s="93"/>
      <c r="D80" s="93"/>
      <c r="E80" s="93"/>
      <c r="F80" s="93"/>
      <c r="G80" s="93"/>
      <c r="H80" s="93"/>
      <c r="I80" s="93"/>
      <c r="J80" s="93"/>
      <c r="K80" s="93"/>
      <c r="L80" s="93"/>
    </row>
    <row r="81" spans="1:13" ht="18" customHeight="1">
      <c r="A81" s="6" t="s">
        <v>206</v>
      </c>
    </row>
    <row r="82" spans="1:13" ht="18" customHeight="1">
      <c r="A82" s="7" t="str">
        <f>IF(_xlfn.IFNA(VLOOKUP(封面!B1,'2021决算导出'!A:W,23,FALSE),"")=0,"本年度无此项支出。","")</f>
        <v/>
      </c>
    </row>
    <row r="83" spans="1:13" ht="18" customHeight="1">
      <c r="A83" s="7" t="s">
        <v>207</v>
      </c>
    </row>
    <row r="84" spans="1:13" ht="18" customHeight="1">
      <c r="A84" s="88" t="s">
        <v>441</v>
      </c>
      <c r="B84" s="88"/>
      <c r="C84" s="88"/>
      <c r="D84" s="88"/>
      <c r="E84" s="88"/>
      <c r="F84" s="83">
        <f>_xlfn.IFNA(VLOOKUP(封面!B1,'2021决算导出'!A:W,23,FALSE),"")</f>
        <v>443487.79</v>
      </c>
      <c r="G84" s="83"/>
      <c r="H84" s="7" t="s">
        <v>179</v>
      </c>
      <c r="I84" s="85" t="s">
        <v>196</v>
      </c>
      <c r="J84" s="85"/>
      <c r="K84" s="85"/>
      <c r="L84" s="85"/>
      <c r="M84" s="85"/>
    </row>
    <row r="85" spans="1:13" ht="18" customHeight="1">
      <c r="A85" s="88" t="s">
        <v>208</v>
      </c>
      <c r="B85" s="88"/>
      <c r="C85" s="88"/>
      <c r="D85" s="83">
        <f>_xlfn.IFNA(VLOOKUP(封面!B1,'2021决算导出'!A:Y,25,FALSE),"")</f>
        <v>443487.79</v>
      </c>
      <c r="E85" s="83"/>
      <c r="F85" s="7" t="s">
        <v>179</v>
      </c>
      <c r="G85" s="86" t="s">
        <v>198</v>
      </c>
      <c r="H85" s="86"/>
      <c r="I85" s="13">
        <v>100</v>
      </c>
      <c r="J85" s="7" t="s">
        <v>183</v>
      </c>
      <c r="K85" s="9"/>
      <c r="L85" s="9"/>
      <c r="M85" s="9"/>
    </row>
    <row r="86" spans="1:13" ht="18" customHeight="1">
      <c r="A86" s="7" t="s">
        <v>209</v>
      </c>
    </row>
    <row r="87" spans="1:13" ht="18" customHeight="1">
      <c r="A87" s="85" t="s">
        <v>442</v>
      </c>
      <c r="B87" s="85"/>
      <c r="C87" s="85"/>
      <c r="D87" s="85"/>
      <c r="E87" s="83">
        <f>_xlfn.IFNA(VLOOKUP(封面!B1,'2021决算导出'!A:Y,25,FALSE),"")</f>
        <v>443487.79</v>
      </c>
      <c r="F87" s="83"/>
      <c r="G87" s="7" t="s">
        <v>179</v>
      </c>
      <c r="H87" s="86" t="s">
        <v>422</v>
      </c>
      <c r="I87" s="86"/>
      <c r="J87" s="83">
        <f>_xlfn.IFNA(VLOOKUP(封面!B1,'2021决算导出'!A:Z,26,FALSE),"")</f>
        <v>443549.47</v>
      </c>
      <c r="K87" s="83"/>
      <c r="L87" s="11" t="s">
        <v>178</v>
      </c>
    </row>
    <row r="88" spans="1:13" ht="18" customHeight="1">
      <c r="B88" s="15" t="str">
        <f>IF(E87&gt;J87,"增加","减少")</f>
        <v>减少</v>
      </c>
      <c r="C88" s="83">
        <f>ABS(E87-J87)</f>
        <v>61.679999999993015</v>
      </c>
      <c r="D88" s="83"/>
      <c r="E88" s="7" t="s">
        <v>179</v>
      </c>
      <c r="F88" s="15" t="str">
        <f>IF(E87&gt;J87,"增长","下降")</f>
        <v>下降</v>
      </c>
      <c r="G88" s="34">
        <f>IF(J87=0,IF(E87&gt;0,1,""),C88/J87)</f>
        <v>1.3906002412761989E-4</v>
      </c>
      <c r="H88" s="7" t="s">
        <v>316</v>
      </c>
      <c r="I88" s="11" t="s">
        <v>205</v>
      </c>
    </row>
    <row r="89" spans="1:13" ht="18" customHeight="1">
      <c r="A89" s="87" t="s">
        <v>443</v>
      </c>
      <c r="B89" s="87"/>
      <c r="C89" s="87"/>
      <c r="D89" s="87"/>
      <c r="E89" s="83">
        <f>E87</f>
        <v>443487.79</v>
      </c>
      <c r="F89" s="83"/>
      <c r="G89" s="7" t="s">
        <v>179</v>
      </c>
      <c r="H89" s="86" t="s">
        <v>422</v>
      </c>
      <c r="I89" s="86"/>
      <c r="J89" s="83">
        <f>J87</f>
        <v>443549.47</v>
      </c>
      <c r="K89" s="83"/>
      <c r="L89" s="11" t="s">
        <v>178</v>
      </c>
    </row>
    <row r="90" spans="1:13" ht="18" customHeight="1">
      <c r="A90" s="15"/>
      <c r="B90" s="15" t="str">
        <f>B88</f>
        <v>减少</v>
      </c>
      <c r="C90" s="83">
        <f>C88</f>
        <v>61.679999999993015</v>
      </c>
      <c r="D90" s="83"/>
      <c r="E90" s="7" t="s">
        <v>179</v>
      </c>
      <c r="F90" s="15" t="str">
        <f>F88</f>
        <v>下降</v>
      </c>
      <c r="G90" s="34">
        <f>IF(J89=0,IF(E89&gt;0,1,""),C90/J89)</f>
        <v>1.3906002412761989E-4</v>
      </c>
      <c r="H90" s="7" t="s">
        <v>316</v>
      </c>
    </row>
    <row r="91" spans="1:13" ht="36" customHeight="1">
      <c r="B91" s="93" t="s">
        <v>483</v>
      </c>
      <c r="C91" s="93"/>
      <c r="D91" s="93"/>
      <c r="E91" s="93"/>
      <c r="F91" s="93"/>
      <c r="G91" s="93"/>
      <c r="H91" s="93"/>
      <c r="I91" s="93"/>
      <c r="J91" s="93"/>
      <c r="K91" s="93"/>
      <c r="L91" s="93"/>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166604822.69999999</v>
      </c>
      <c r="H95" s="83"/>
      <c r="I95" s="11" t="s">
        <v>179</v>
      </c>
    </row>
    <row r="96" spans="1:13" ht="130.15" customHeight="1">
      <c r="A96" s="84" t="s">
        <v>213</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B23" sqref="B2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54000</v>
      </c>
      <c r="G4" s="83"/>
      <c r="H4" s="7" t="s">
        <v>179</v>
      </c>
      <c r="I4" s="7" t="s">
        <v>446</v>
      </c>
    </row>
    <row r="5" spans="1:14" ht="18" customHeight="1">
      <c r="A5" s="91">
        <f>_xlfn.IFNA(VLOOKUP(封面!B1,'2021决算导出'!A:AC,29,FALSE),"")</f>
        <v>54000</v>
      </c>
      <c r="B5" s="91"/>
      <c r="C5" s="7" t="s">
        <v>178</v>
      </c>
      <c r="D5" s="30" t="str">
        <f>IF(F4&gt;A5,"增加","减少")</f>
        <v>减少</v>
      </c>
      <c r="E5" s="91">
        <f>ABS(F4-A5)</f>
        <v>0</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54000</v>
      </c>
      <c r="D11" s="7" t="s">
        <v>179</v>
      </c>
      <c r="E11" s="88" t="s">
        <v>450</v>
      </c>
      <c r="F11" s="88"/>
      <c r="G11" s="88"/>
      <c r="H11" s="91">
        <f>_xlfn.IFNA(VLOOKUP(封面!B1,'2021决算导出'!A:AJ,36,FALSE),"")</f>
        <v>54000</v>
      </c>
      <c r="I11" s="91"/>
      <c r="J11" s="16" t="s">
        <v>178</v>
      </c>
      <c r="K11" s="30" t="str">
        <f>IF(C11&gt;H11,"增加","减少")</f>
        <v>减少</v>
      </c>
      <c r="L11" s="91">
        <f>ABS(C11-H11)</f>
        <v>0</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36" customHeight="1">
      <c r="A14" s="84" t="s">
        <v>481</v>
      </c>
      <c r="B14" s="84"/>
      <c r="C14" s="84"/>
      <c r="D14" s="84"/>
      <c r="E14" s="84"/>
      <c r="F14" s="84"/>
      <c r="G14" s="84"/>
      <c r="H14" s="84"/>
      <c r="I14" s="84"/>
      <c r="J14" s="84"/>
      <c r="K14" s="84"/>
      <c r="L14" s="84"/>
      <c r="M14" s="84"/>
      <c r="N14" s="84"/>
    </row>
    <row r="15" spans="1:14" ht="18" customHeight="1">
      <c r="A15" s="88" t="s">
        <v>452</v>
      </c>
      <c r="B15" s="88"/>
      <c r="C15" s="88"/>
      <c r="D15" s="8">
        <f>_xlfn.IFNA(VLOOKUP(封面!B1,'2021决算导出'!A:AM,39,FALSE),"")</f>
        <v>0</v>
      </c>
      <c r="E15" s="7" t="s">
        <v>220</v>
      </c>
      <c r="F15" s="88" t="s">
        <v>221</v>
      </c>
      <c r="G15" s="88"/>
      <c r="H15" s="91">
        <f>IF(D15=0,0,F12/D15)</f>
        <v>0</v>
      </c>
      <c r="I15" s="91"/>
      <c r="J15" s="7" t="s">
        <v>215</v>
      </c>
    </row>
    <row r="16" spans="1:14" ht="18" customHeight="1">
      <c r="A16" s="86" t="s">
        <v>453</v>
      </c>
      <c r="B16" s="86"/>
      <c r="C16" s="86"/>
      <c r="D16" s="86"/>
      <c r="E16" s="86"/>
      <c r="F16" s="91">
        <f>_xlfn.IFNA(VLOOKUP(封面!B1,'2021决算导出'!A:AO,41,FALSE),"")</f>
        <v>54000</v>
      </c>
      <c r="G16" s="91" t="s">
        <v>179</v>
      </c>
      <c r="H16" s="7" t="s">
        <v>179</v>
      </c>
      <c r="I16" s="7" t="s">
        <v>450</v>
      </c>
      <c r="L16" s="91">
        <f>_xlfn.IFNA(VLOOKUP(封面!B1,'2021决算导出'!A:AP,42,FALSE),"")</f>
        <v>54000</v>
      </c>
      <c r="M16" s="91" t="s">
        <v>179</v>
      </c>
      <c r="N16" s="7" t="s">
        <v>179</v>
      </c>
    </row>
    <row r="17" spans="1:14" ht="18" customHeight="1">
      <c r="A17" s="15" t="str">
        <f>IF(F16&gt;L16,"增加","减少")</f>
        <v>减少</v>
      </c>
      <c r="B17" s="91">
        <f>ABS(F16-L16)</f>
        <v>0</v>
      </c>
      <c r="C17" s="91"/>
      <c r="D17" s="7" t="s">
        <v>215</v>
      </c>
    </row>
    <row r="18" spans="1:14" ht="36" customHeight="1">
      <c r="A18" s="84" t="s">
        <v>222</v>
      </c>
      <c r="B18" s="84"/>
      <c r="C18" s="84"/>
      <c r="D18" s="84"/>
      <c r="E18" s="84"/>
      <c r="F18" s="84"/>
      <c r="G18" s="84"/>
      <c r="H18" s="84"/>
      <c r="I18" s="84"/>
      <c r="J18" s="84"/>
      <c r="K18" s="84"/>
      <c r="L18" s="84"/>
      <c r="M18" s="84"/>
      <c r="N18" s="84"/>
    </row>
    <row r="19" spans="1:14" ht="18" customHeight="1">
      <c r="A19" s="88" t="s">
        <v>454</v>
      </c>
      <c r="B19" s="88"/>
      <c r="C19" s="88"/>
      <c r="D19" s="88"/>
      <c r="E19" s="88"/>
      <c r="F19" s="88"/>
      <c r="G19" s="91">
        <f>_xlfn.IFNA(VLOOKUP(封面!B1,'2021决算导出'!A:AQ,43,FALSE),"")</f>
        <v>25621.14</v>
      </c>
      <c r="H19" s="91" t="s">
        <v>179</v>
      </c>
      <c r="I19" s="7" t="s">
        <v>179</v>
      </c>
      <c r="J19" s="7" t="s">
        <v>223</v>
      </c>
      <c r="L19" s="91">
        <f>_xlfn.IFNA(VLOOKUP(封面!B1,'2021决算导出'!A:AR,44,FALSE),"")</f>
        <v>11449</v>
      </c>
      <c r="M19" s="91" t="s">
        <v>179</v>
      </c>
      <c r="N19" s="7" t="s">
        <v>179</v>
      </c>
    </row>
    <row r="20" spans="1:14" ht="18" customHeight="1">
      <c r="A20" s="88" t="s">
        <v>224</v>
      </c>
      <c r="B20" s="88"/>
      <c r="C20" s="91">
        <f>_xlfn.IFNA(VLOOKUP(封面!B1,'2021决算导出'!A:AS,45,FALSE),"")</f>
        <v>11022.86</v>
      </c>
      <c r="D20" s="91" t="s">
        <v>179</v>
      </c>
      <c r="E20" s="7" t="s">
        <v>179</v>
      </c>
      <c r="F20" s="88" t="s">
        <v>225</v>
      </c>
      <c r="G20" s="88"/>
      <c r="H20" s="88"/>
      <c r="I20" s="91">
        <f>_xlfn.IFNA(VLOOKUP(封面!B1,'2021决算导出'!A:AT,46,FALSE),"")</f>
        <v>5907</v>
      </c>
      <c r="J20" s="91" t="s">
        <v>179</v>
      </c>
      <c r="K20" s="7" t="s">
        <v>215</v>
      </c>
    </row>
    <row r="21" spans="1:14" ht="18" customHeight="1">
      <c r="A21" s="88" t="s">
        <v>455</v>
      </c>
      <c r="B21" s="88"/>
      <c r="C21" s="88"/>
      <c r="D21" s="8">
        <f>_xlfn.IFNA(VLOOKUP(封面!B1,'2021决算导出'!A:AU,47,FALSE),"")</f>
        <v>2</v>
      </c>
      <c r="E21" s="85" t="s">
        <v>407</v>
      </c>
      <c r="F21" s="85"/>
      <c r="G21" s="85"/>
      <c r="H21" s="85"/>
      <c r="I21" s="85"/>
      <c r="J21" s="85"/>
      <c r="K21" s="85"/>
      <c r="L21" s="85"/>
      <c r="M21" s="54">
        <f>F16/D21</f>
        <v>27000</v>
      </c>
      <c r="N21" s="7" t="s">
        <v>215</v>
      </c>
    </row>
    <row r="22" spans="1:14" ht="18" customHeight="1">
      <c r="A22" s="6" t="s">
        <v>226</v>
      </c>
    </row>
    <row r="23" spans="1:14" ht="18" customHeight="1">
      <c r="A23" s="7" t="s">
        <v>227</v>
      </c>
    </row>
    <row r="24" spans="1:14" ht="18" customHeight="1">
      <c r="A24" s="6" t="s">
        <v>228</v>
      </c>
    </row>
    <row r="25" spans="1:14" ht="18" customHeight="1">
      <c r="A25" s="88" t="s">
        <v>456</v>
      </c>
      <c r="B25" s="88"/>
      <c r="C25" s="88"/>
      <c r="D25" s="88"/>
      <c r="E25" s="83">
        <f>_xlfn.IFNA(VLOOKUP(封面!B1,'2021决算导出'!A:AW,49,FALSE),"")</f>
        <v>2904210.51</v>
      </c>
      <c r="F25" s="83"/>
      <c r="G25" s="7" t="s">
        <v>179</v>
      </c>
      <c r="H25" s="88" t="s">
        <v>229</v>
      </c>
      <c r="I25" s="88"/>
      <c r="J25" s="88"/>
      <c r="K25" s="88"/>
      <c r="L25" s="83">
        <f>_xlfn.IFNA(VLOOKUP(封面!B1,'2021决算导出'!A:AX,50,FALSE),"")</f>
        <v>1201000</v>
      </c>
      <c r="M25" s="83" t="s">
        <v>179</v>
      </c>
      <c r="N25" s="7" t="s">
        <v>179</v>
      </c>
    </row>
    <row r="26" spans="1:14" ht="18" customHeight="1">
      <c r="A26" s="88" t="s">
        <v>230</v>
      </c>
      <c r="B26" s="88"/>
      <c r="C26" s="88"/>
      <c r="D26" s="83">
        <f>_xlfn.IFNA(VLOOKUP(封面!B1,'2021决算导出'!A:AY,51,FALSE),"")</f>
        <v>1703210.51</v>
      </c>
      <c r="E26" s="83" t="s">
        <v>179</v>
      </c>
      <c r="F26" s="7" t="s">
        <v>179</v>
      </c>
      <c r="G26" s="88" t="s">
        <v>231</v>
      </c>
      <c r="H26" s="88"/>
      <c r="I26" s="88"/>
      <c r="J26" s="83">
        <f>_xlfn.IFNA(VLOOKUP(封面!B1,'2021决算导出'!A:AZ,52,FALSE),"")</f>
        <v>0</v>
      </c>
      <c r="K26" s="83" t="s">
        <v>179</v>
      </c>
      <c r="L26" s="7" t="s">
        <v>215</v>
      </c>
    </row>
    <row r="27" spans="1:14" ht="18" customHeight="1">
      <c r="A27" s="88" t="s">
        <v>232</v>
      </c>
      <c r="B27" s="88"/>
      <c r="C27" s="88"/>
      <c r="D27" s="88"/>
      <c r="E27" s="83">
        <f>_xlfn.IFNA(VLOOKUP(封面!B1,'2021决算导出'!A:BA,53,FALSE),"")</f>
        <v>0</v>
      </c>
      <c r="F27" s="83" t="s">
        <v>179</v>
      </c>
      <c r="G27" s="7" t="s">
        <v>179</v>
      </c>
      <c r="H27" s="86" t="s">
        <v>233</v>
      </c>
      <c r="I27" s="86"/>
      <c r="J27" s="86"/>
      <c r="K27" s="29">
        <f>E27/$E$25</f>
        <v>0</v>
      </c>
      <c r="L27" s="18" t="s">
        <v>314</v>
      </c>
      <c r="M27" s="7" t="s">
        <v>408</v>
      </c>
    </row>
    <row r="28" spans="1:14" ht="18" customHeight="1">
      <c r="A28" s="88" t="s">
        <v>234</v>
      </c>
      <c r="B28" s="88"/>
      <c r="C28" s="88"/>
      <c r="D28" s="88"/>
      <c r="E28" s="83">
        <f>_xlfn.IFNA(VLOOKUP(封面!B1,'2021决算导出'!A:BB,54,FALSE),"")</f>
        <v>0</v>
      </c>
      <c r="F28" s="83" t="s">
        <v>179</v>
      </c>
      <c r="G28" s="7" t="s">
        <v>179</v>
      </c>
      <c r="H28" s="86" t="s">
        <v>233</v>
      </c>
      <c r="I28" s="86"/>
      <c r="J28" s="86"/>
      <c r="K28" s="29">
        <f>E28/$E$25</f>
        <v>0</v>
      </c>
      <c r="L28" s="18" t="s">
        <v>316</v>
      </c>
    </row>
    <row r="29" spans="1:14" ht="18" customHeight="1">
      <c r="A29" s="6" t="s">
        <v>235</v>
      </c>
    </row>
    <row r="30" spans="1:14" ht="18" customHeight="1">
      <c r="A30" s="88" t="s">
        <v>457</v>
      </c>
      <c r="B30" s="88"/>
      <c r="C30" s="8">
        <f>_xlfn.IFNA(VLOOKUP(封面!B1,'2021决算导出'!A:BC,55,FALSE),"")</f>
        <v>2</v>
      </c>
      <c r="D30" s="7" t="s">
        <v>236</v>
      </c>
      <c r="M30" s="91">
        <f>_xlfn.IFNA(VLOOKUP(封面!B1,'2021决算导出'!A:BD,56,FALSE),"")</f>
        <v>738932.99</v>
      </c>
      <c r="N30" s="91" t="s">
        <v>179</v>
      </c>
    </row>
    <row r="31" spans="1:14" ht="18" customHeight="1">
      <c r="A31" s="12" t="s">
        <v>237</v>
      </c>
      <c r="B31" s="88" t="s">
        <v>238</v>
      </c>
      <c r="C31" s="88"/>
      <c r="D31" s="88"/>
      <c r="E31" s="88"/>
      <c r="F31" s="88"/>
      <c r="G31" s="8">
        <f>_xlfn.IFNA(VLOOKUP(封面!B1,'2021决算导出'!A:BE,57,FALSE),"")</f>
        <v>8</v>
      </c>
      <c r="H31" s="7" t="s">
        <v>239</v>
      </c>
      <c r="J31" s="7" t="s">
        <v>240</v>
      </c>
    </row>
    <row r="32" spans="1:14" ht="18" customHeight="1">
      <c r="A32" s="12">
        <f>_xlfn.IFNA(VLOOKUP(封面!B1,'2021决算导出'!A:BF,58,FALSE),"")</f>
        <v>2</v>
      </c>
      <c r="B32" s="7" t="s">
        <v>241</v>
      </c>
    </row>
    <row r="33" spans="1:14" ht="18" customHeight="1">
      <c r="A33" s="6" t="s">
        <v>242</v>
      </c>
    </row>
    <row r="34" spans="1:14" ht="18" customHeight="1">
      <c r="A34" s="7" t="s">
        <v>243</v>
      </c>
    </row>
    <row r="35" spans="1:14" ht="18" customHeight="1">
      <c r="A35" s="6" t="s">
        <v>244</v>
      </c>
    </row>
    <row r="36" spans="1:14" ht="375.6" customHeight="1">
      <c r="A36" s="84" t="s">
        <v>474</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2022-09-01T13:24:25Z</dcterms:modified>
</cp:coreProperties>
</file>