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86137\Desktop\2022-08-26教委办公室：关于开展2021年部门决算信息公开的通知\"/>
    </mc:Choice>
  </mc:AlternateContent>
  <xr:revisionPtr revIDLastSave="0" documentId="13_ncr:1_{010B2753-1182-4075-9D24-50B02A389B30}"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9040" windowHeight="15840" tabRatio="851" activeTab="4" xr2:uid="{5ACD2CBE-6ACE-4670-ABE0-628C2F170B8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6" l="1"/>
  <c r="G30" i="6"/>
  <c r="M29" i="6"/>
  <c r="C29" i="6"/>
  <c r="E27" i="6"/>
  <c r="E26" i="6"/>
  <c r="J25" i="6"/>
  <c r="D25" i="6"/>
  <c r="L24" i="6"/>
  <c r="E24" i="6"/>
  <c r="D20" i="6"/>
  <c r="I19" i="6"/>
  <c r="C19" i="6"/>
  <c r="L18" i="6"/>
  <c r="G18" i="6"/>
  <c r="L15" i="6"/>
  <c r="F15" i="6"/>
  <c r="D14" i="6"/>
  <c r="L12" i="6"/>
  <c r="F12" i="6"/>
  <c r="H11" i="6"/>
  <c r="C11" i="6"/>
  <c r="A5" i="6"/>
  <c r="F4" i="6"/>
  <c r="A3" i="6"/>
  <c r="F77" i="5"/>
  <c r="A75" i="5"/>
  <c r="J71" i="5"/>
  <c r="E71" i="5"/>
  <c r="J69" i="5"/>
  <c r="E69" i="5"/>
  <c r="J67" i="5"/>
  <c r="E67" i="5"/>
  <c r="J65" i="5"/>
  <c r="J60" i="5"/>
  <c r="E65" i="5"/>
  <c r="J62" i="5"/>
  <c r="E62" i="5"/>
  <c r="E60" i="5"/>
  <c r="J55" i="5"/>
  <c r="E55" i="5"/>
  <c r="J53" i="5"/>
  <c r="E53" i="5"/>
  <c r="E52" i="5"/>
  <c r="E51"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6" i="5" l="1"/>
  <c r="G66" i="5" s="1"/>
  <c r="F68" i="5"/>
  <c r="B68" i="5"/>
  <c r="C68" i="5"/>
  <c r="G68" i="5" s="1"/>
  <c r="F66" i="5"/>
  <c r="B66" i="5"/>
  <c r="H10" i="5"/>
  <c r="K10" i="5" s="1"/>
  <c r="G10" i="5"/>
  <c r="G88" i="5"/>
  <c r="J80" i="5"/>
  <c r="E80" i="5"/>
  <c r="D78"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0" i="5" l="1"/>
  <c r="J47" i="5"/>
  <c r="E47" i="5"/>
  <c r="J45" i="5"/>
  <c r="E45" i="5"/>
  <c r="J43" i="5"/>
  <c r="E43" i="5"/>
  <c r="J41" i="5"/>
  <c r="E41" i="5"/>
  <c r="J39" i="5"/>
  <c r="E39" i="5"/>
  <c r="J36" i="5"/>
  <c r="E36" i="5"/>
  <c r="J34" i="5"/>
  <c r="E34" i="5"/>
  <c r="B72" i="5" l="1"/>
  <c r="F56" i="5"/>
  <c r="C61" i="5"/>
  <c r="G61" i="5" s="1"/>
  <c r="C70" i="5"/>
  <c r="G70" i="5" s="1"/>
  <c r="F35" i="5"/>
  <c r="F40" i="5"/>
  <c r="F44" i="5"/>
  <c r="F63" i="5"/>
  <c r="C72" i="5"/>
  <c r="G72" i="5" s="1"/>
  <c r="F72" i="5"/>
  <c r="F70" i="5"/>
  <c r="B70" i="5"/>
  <c r="B63" i="5"/>
  <c r="C63" i="5"/>
  <c r="G63" i="5" s="1"/>
  <c r="F61" i="5"/>
  <c r="B61" i="5"/>
  <c r="C56" i="5"/>
  <c r="G56" i="5" s="1"/>
  <c r="F37" i="5"/>
  <c r="F42" i="5"/>
  <c r="F46" i="5"/>
  <c r="F54" i="5"/>
  <c r="B56" i="5"/>
  <c r="B54" i="5"/>
  <c r="C54" i="5"/>
  <c r="G54" i="5" s="1"/>
  <c r="C42" i="5"/>
  <c r="G42" i="5" s="1"/>
  <c r="C48" i="5"/>
  <c r="G48" i="5" s="1"/>
  <c r="C35" i="5"/>
  <c r="G35" i="5" s="1"/>
  <c r="B48" i="5"/>
  <c r="F48" i="5"/>
  <c r="B46" i="5"/>
  <c r="C46" i="5"/>
  <c r="G46" i="5" s="1"/>
  <c r="B44" i="5"/>
  <c r="C44" i="5"/>
  <c r="G44" i="5" s="1"/>
  <c r="B42"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4" i="6" l="1"/>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2" i="5" l="1"/>
  <c r="K11" i="6" l="1"/>
  <c r="I31" i="5"/>
  <c r="L11" i="6"/>
  <c r="F81" i="5"/>
  <c r="F83" i="5" s="1"/>
  <c r="E5" i="6"/>
  <c r="D5" i="6"/>
  <c r="H12" i="5"/>
  <c r="H19" i="5"/>
  <c r="H11" i="5"/>
  <c r="H20" i="5"/>
  <c r="H14" i="5"/>
  <c r="H15" i="5"/>
  <c r="C81" i="5"/>
  <c r="G81" i="5" s="1"/>
  <c r="E82" i="5"/>
  <c r="B81" i="5"/>
  <c r="B83" i="5" s="1"/>
  <c r="H13" i="5"/>
  <c r="H18" i="5"/>
  <c r="I27" i="5"/>
  <c r="I30" i="5"/>
  <c r="I29" i="5"/>
  <c r="I32" i="5"/>
  <c r="I28" i="5"/>
  <c r="C83" i="5" l="1"/>
  <c r="G83" i="5" s="1"/>
</calcChain>
</file>

<file path=xl/sharedStrings.xml><?xml version="1.0" encoding="utf-8"?>
<sst xmlns="http://schemas.openxmlformats.org/spreadsheetml/2006/main" count="4853" uniqueCount="487">
  <si>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</si>
  <si>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</si>
  <si>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</si>
  <si>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</si>
  <si>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</si>
  <si>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</si>
  <si>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</si>
  <si>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</si>
  <si>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</si>
  <si>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</si>
  <si>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</si>
  <si>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</si>
  <si>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</si>
  <si>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</si>
  <si>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</si>
  <si>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</si>
  <si>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</si>
  <si>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</si>
  <si>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</si>
  <si>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</si>
  <si>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</si>
  <si>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</si>
  <si>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</si>
  <si>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</si>
  <si>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</si>
  <si>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</si>
  <si>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</si>
  <si>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</si>
  <si>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</si>
  <si>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</si>
  <si>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</si>
  <si>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</si>
  <si>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</si>
  <si>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</si>
  <si>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</si>
  <si>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</si>
  <si>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</si>
  <si>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</si>
  <si>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</si>
  <si>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</si>
  <si>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</si>
  <si>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</si>
  <si>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</si>
  <si>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</si>
  <si>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</si>
  <si>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</si>
  <si>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</si>
  <si>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</si>
  <si>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</si>
  <si>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</si>
  <si>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</si>
  <si>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</si>
  <si>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</si>
  <si>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</si>
  <si>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</si>
  <si>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</si>
  <si>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</si>
  <si>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</si>
  <si>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</si>
  <si>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</si>
  <si>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</si>
  <si>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</si>
  <si>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</si>
  <si>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</si>
  <si>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</si>
  <si>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</si>
  <si>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</si>
  <si>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</si>
  <si>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</si>
  <si>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</si>
  <si>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</si>
  <si>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</si>
  <si>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</si>
  <si>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</si>
  <si>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</si>
  <si>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</si>
  <si>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</si>
  <si>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</si>
  <si>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</si>
  <si>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</si>
  <si>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</si>
  <si>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</si>
  <si>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</si>
  <si>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</si>
  <si>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</si>
  <si>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</si>
  <si>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</si>
  <si>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</si>
  <si>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</si>
  <si>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</si>
  <si>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</si>
  <si>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</si>
  <si>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</si>
  <si>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</si>
  <si>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</si>
  <si>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</si>
  <si>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</si>
  <si>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</si>
  <si>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</si>
  <si>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</si>
  <si>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</si>
  <si>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</si>
  <si>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</si>
  <si>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</si>
  <si>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</si>
  <si>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</si>
  <si>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</si>
  <si>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</si>
  <si>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</si>
  <si>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</si>
  <si>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</si>
  <si>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</si>
  <si>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</si>
  <si>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</si>
  <si>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</si>
  <si>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</si>
  <si>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</si>
  <si>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</si>
  <si>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</si>
  <si>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</si>
  <si>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</si>
  <si>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</si>
  <si>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</si>
  <si>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</si>
  <si>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</si>
  <si>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</si>
  <si>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</si>
  <si>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</si>
  <si>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</si>
  <si>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</si>
  <si>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</si>
  <si>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</si>
  <si>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</si>
  <si>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</si>
  <si>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</si>
  <si>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</si>
  <si>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</si>
  <si>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</si>
  <si>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</si>
  <si>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</si>
  <si>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</si>
  <si>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</si>
  <si>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</si>
  <si>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</si>
  <si>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</si>
  <si>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</si>
  <si>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</si>
  <si>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</si>
  <si>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</si>
  <si>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</si>
  <si>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</si>
  <si>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</si>
  <si>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</si>
  <si>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</si>
  <si>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</si>
  <si>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</si>
  <si>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</si>
  <si>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</si>
  <si>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</si>
  <si>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</si>
  <si>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</si>
  <si>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</si>
  <si>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</si>
  <si>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</si>
  <si>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</si>
  <si>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</si>
  <si>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</si>
  <si>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</si>
  <si>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</si>
  <si>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</si>
  <si>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</si>
  <si>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</si>
  <si>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</si>
  <si>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</si>
  <si>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</si>
  <si>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</si>
  <si>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</si>
  <si>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</si>
  <si>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</si>
  <si>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</si>
  <si>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</si>
  <si>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</si>
  <si>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</si>
  <si>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</si>
  <si>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</si>
  <si>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</si>
  <si>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</si>
  <si>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</si>
  <si>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</si>
  <si>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</si>
  <si>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</si>
  <si>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</si>
  <si>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</si>
  <si>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</si>
  <si>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</si>
  <si>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</si>
  <si>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</si>
  <si>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</si>
  <si>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</si>
  <si>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</si>
  <si>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</si>
  <si>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</si>
  <si>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</si>
  <si>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</si>
  <si>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</si>
  <si>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</si>
  <si>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</si>
  <si>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</si>
  <si>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</si>
  <si>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</si>
  <si>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</si>
  <si>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</si>
  <si>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</si>
  <si>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</si>
  <si>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</si>
  <si>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</si>
  <si>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</si>
  <si>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</si>
  <si>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</si>
  <si>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</si>
  <si>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</si>
  <si>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</si>
  <si>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</si>
  <si>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</si>
  <si>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</si>
  <si>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</si>
  <si>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</si>
  <si>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</si>
  <si>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</si>
  <si>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</si>
  <si>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</si>
  <si>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</si>
  <si>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</si>
  <si>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</si>
  <si>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</si>
  <si>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</si>
  <si>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</si>
  <si>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</si>
  <si>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</si>
  <si>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</si>
  <si>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</si>
  <si>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</si>
  <si>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</si>
  <si>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</si>
  <si>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</si>
  <si>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</si>
  <si>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</si>
  <si>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</si>
  <si>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</si>
  <si>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</si>
  <si>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</si>
  <si>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</si>
  <si>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</si>
  <si>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</si>
  <si>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</si>
  <si>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</si>
  <si>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</si>
  <si>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</si>
  <si>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</si>
  <si>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</si>
  <si>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</si>
  <si>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</si>
  <si>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</si>
  <si>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</si>
  <si>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</si>
  <si>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</si>
  <si>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</si>
  <si>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</si>
  <si>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</si>
  <si>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</si>
  <si>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</si>
  <si>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</si>
  <si>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</si>
  <si>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</si>
  <si>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</si>
  <si>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</si>
  <si>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</si>
  <si>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</si>
  <si>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</si>
  <si>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</si>
  <si>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</si>
  <si>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</si>
  <si>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</si>
  <si>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</si>
  <si>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</si>
  <si>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</si>
  <si>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</si>
  <si>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</si>
  <si>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</si>
  <si>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</si>
  <si>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</si>
  <si>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</si>
  <si>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</si>
  <si>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</si>
  <si>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</si>
  <si>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</si>
  <si>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</si>
  <si>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</si>
  <si>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</si>
  <si>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</si>
  <si>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</si>
  <si>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</si>
  <si>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</si>
  <si>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</si>
  <si>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</si>
  <si>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</si>
  <si>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</si>
  <si>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</si>
  <si>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</si>
  <si>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</si>
  <si>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</si>
  <si>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</si>
  <si>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</si>
  <si>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</si>
  <si>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</si>
  <si>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</si>
  <si>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</si>
  <si>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</si>
  <si>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</si>
  <si>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</si>
  <si>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</si>
  <si>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</si>
  <si>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</si>
  <si>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</si>
  <si>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</si>
  <si>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</si>
  <si>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</si>
  <si>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</si>
  <si>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</si>
  <si>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</si>
  <si>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</si>
  <si>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</si>
  <si>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</si>
  <si>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</si>
  <si>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</si>
  <si>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</si>
  <si>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</si>
  <si>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</si>
  <si>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</si>
  <si>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</si>
  <si>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</si>
  <si>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</si>
  <si>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</si>
  <si>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</si>
  <si>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</si>
  <si>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</si>
  <si>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</si>
  <si>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</si>
  <si>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</si>
  <si>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</si>
  <si>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</si>
  <si>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</si>
  <si>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</si>
  <si>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</si>
  <si>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</si>
  <si>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</si>
  <si>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</si>
  <si>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</si>
  <si>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</si>
  <si>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</si>
  <si>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</si>
  <si>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</si>
  <si>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</si>
  <si>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</si>
  <si>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</si>
  <si>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</si>
  <si>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</si>
  <si>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</si>
  <si>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</si>
  <si>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</si>
  <si>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</si>
  <si>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</si>
  <si>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</si>
  <si>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</si>
  <si>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</si>
  <si>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</si>
  <si>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</si>
  <si>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</si>
  <si>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</si>
  <si>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</si>
  <si>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</si>
  <si>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</si>
  <si>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</si>
  <si>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</si>
  <si>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</si>
  <si>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</si>
  <si>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</si>
  <si>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</si>
  <si>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</si>
  <si>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</si>
  <si>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</si>
  <si>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</si>
  <si>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</si>
  <si>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</si>
  <si>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</si>
  <si>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</si>
  <si>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</si>
  <si>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</si>
  <si>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</si>
  <si>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</si>
  <si>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</si>
  <si>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</si>
  <si>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</si>
  <si>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</si>
  <si>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</si>
  <si>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</si>
  <si>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</si>
  <si>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</si>
  <si>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</si>
  <si>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</si>
  <si>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</si>
  <si>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</si>
  <si>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</si>
  <si>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</si>
  <si>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</si>
  <si>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</si>
  <si>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</si>
  <si>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</si>
  <si>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</si>
  <si>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</si>
  <si>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</si>
  <si>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</si>
  <si>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</si>
  <si>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</si>
  <si>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</si>
  <si>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</si>
  <si>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</si>
  <si>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</si>
  <si>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</si>
  <si>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</si>
  <si>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</si>
  <si>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</si>
  <si>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</si>
  <si>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</si>
  <si>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</si>
  <si>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</si>
  <si>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</si>
  <si>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</si>
  <si>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</si>
  <si>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</si>
  <si>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</si>
  <si>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</si>
  <si>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</si>
  <si>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</si>
  <si>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</si>
  <si>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</si>
  <si>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</si>
  <si>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</si>
  <si>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</si>
  <si>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</si>
  <si>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</si>
  <si>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</si>
  <si>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</si>
  <si>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</si>
  <si>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</si>
  <si>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</si>
  <si>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</si>
  <si>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</si>
  <si>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</si>
  <si>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</si>
  <si>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</si>
  <si>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</si>
  <si>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</si>
  <si>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</si>
  <si>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</si>
  <si>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</si>
  <si>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</si>
  <si>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</si>
  <si>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</si>
  <si>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</si>
  <si>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</si>
  <si>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</si>
  <si>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</si>
  <si>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</si>
  <si>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</si>
  <si>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</si>
  <si>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</si>
  <si>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</si>
  <si>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北京市第五十六中学成立于1955年, 学校正在实施 " 全纳成功教育"的育人模式，在"全纳成功教育"的办学理念指引下，如今的五十六中学已经成为环境优美、设施优质、校风优良、声誉较高的完全中学。我校提出来了近5年的目标，就是经过教职员工的共同努力，争取将北京市第五十六中学办成一所校风好、质量较高、有特色的完全中学。即成功教育内涵特色突出、学校依法治校、德育工作扎实、学生特长得到发展、教学质量提高较快的普通中学一流校。我们学校不仅在校园文化、队伍建设、教育改革、质量提高等方面加大力度，积极开展工作，在翻转课堂和网络教学上走在了前列，而且在改善办学条件和改进行政管理工作方面也做出重大的努力。为寻求学校良好的发展空间，不断提高教育质量，学校重视提高管理水平，注重各项管理条例的严谨和规范。</t>
    <phoneticPr fontId="4" type="noConversion"/>
  </si>
  <si>
    <t>主要原因是安排的项目资金减少。</t>
    <phoneticPr fontId="4" type="noConversion"/>
  </si>
  <si>
    <t>主要原因是人员经费支出增加。</t>
    <phoneticPr fontId="4" type="noConversion"/>
  </si>
  <si>
    <t>主要原因是教育费附加按预算执行</t>
    <phoneticPr fontId="4" type="noConversion"/>
  </si>
  <si>
    <t>主要原因是本年度养老保险工资基数下降。</t>
    <phoneticPr fontId="4" type="noConversion"/>
  </si>
  <si>
    <t>主要原因是人员工资比年初预算增加。</t>
    <phoneticPr fontId="4" type="noConversion"/>
  </si>
  <si>
    <t>主要原因是人员工资比年初预算增加</t>
    <phoneticPr fontId="4" type="noConversion"/>
  </si>
  <si>
    <t>主要原因是项目经费按实际支出。</t>
    <phoneticPr fontId="4" type="noConversion"/>
  </si>
  <si>
    <t>主要原因是五位老师去世抚恤金。</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</si>
</sst>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8">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4">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xf numFmtId="0" fontId="11" fillId="7" borderId="0" xfId="0" applyFont="1" applyFill="1" applyAlignment="1">
      <alignment horizontal="left" vertical="top" wrapText="1"/>
    </xf>
  </cellXfs>
  <cellStyles count="8">
    <cellStyle name="常规" xfId="0" builtinId="0"/>
    <cellStyle name="常规 2" xfId="1" xr:uid="{93FA3CC2-6478-4622-A037-E7E7B8A2BE8E}"/>
    <cellStyle name="常规 2 2" xfId="2" xr:uid="{F357774D-4FFF-4315-A33E-04701353A587}"/>
    <cellStyle name="常规 3" xfId="3" xr:uid="{DE0C487A-40CA-464B-8500-4FB8181E0EAB}"/>
    <cellStyle name="常规 3 2" xfId="5" xr:uid="{F4CC54C8-C522-4561-82B3-BCFA6F429EAF}"/>
    <cellStyle name="常规 4" xfId="6" xr:uid="{B859A443-2519-43F0-9E25-51776BF0A6F1}"/>
    <cellStyle name="千位分隔 2" xfId="4" xr:uid="{91D0C6F5-E1F3-4AC8-99F8-8E5A46071690}"/>
    <cellStyle name="千位分隔 3" xfId="7" xr:uid="{9442E64F-C6BA-43E6-8A78-A97A0C1D7B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735B-6F38-475A-AAE5-898820AD2003}">
  <sheetPr>
    <tabColor rgb="FFFFFF00"/>
  </sheetPr>
  <dimension ref="A1:N26"/>
  <sheetViews>
    <sheetView zoomScale="80" zoomScaleNormal="80" workbookViewId="0">
      <selection activeCell="A12" sqref="A12:M12"/>
    </sheetView>
  </sheetViews>
  <sheetFormatPr defaultRowHeight="14.25"/>
  <cols>
    <col min="1" max="1" width="16.5" customWidth="1"/>
    <col min="2" max="2" width="12.75" bestFit="1" customWidth="1"/>
  </cols>
  <sheetData>
    <row r="1" spans="1:14" ht="37.9" customHeight="1">
      <c r="A1" s="27" t="s">
        <v>0</v>
      </c>
      <c r="B1" s="28">
        <v>255013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北京市第五十六中学</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14576-2992-4981-9293-0911A4715E05}">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E8F02-B10F-489E-A593-C09CDD5541B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2440F-59BF-418D-BCA6-9536B8FE923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6C77-C61F-46EE-8B04-8D6C6A05CC8E}">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264D-F289-42F9-842E-4E4F22494472}">
  <dimension ref="A10:N11"/>
  <sheetViews>
    <sheetView zoomScale="90" zoomScaleNormal="90" workbookViewId="0">
      <selection activeCell="A10" sqref="A10:N10"/>
    </sheetView>
  </sheetViews>
  <sheetFormatPr defaultRowHeight="14.25"/>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4B51B-4EB0-4C7F-910F-72CE08E94EFD}">
  <dimension ref="A1:N301"/>
  <sheetViews>
    <sheetView zoomScaleNormal="100" workbookViewId="0">
      <selection activeCell="B59" sqref="B59:L59"/>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280.14999999999998" customHeight="1">
      <c r="A4" s="84" t="s">
        <v>478</v>
      </c>
      <c r="B4" s="84"/>
      <c r="C4" s="84"/>
      <c r="D4" s="84"/>
      <c r="E4" s="84"/>
      <c r="F4" s="84"/>
      <c r="G4" s="84"/>
      <c r="H4" s="84"/>
      <c r="I4" s="84"/>
      <c r="J4" s="84"/>
      <c r="K4" s="84"/>
      <c r="L4" s="84"/>
      <c r="M4" s="84"/>
      <c r="N4" s="19"/>
    </row>
    <row r="5" spans="1:14" ht="18" customHeight="1">
      <c r="A5" s="7" t="s">
        <v>176</v>
      </c>
    </row>
    <row r="6" spans="1:14" ht="18" customHeight="1">
      <c r="A6" s="88" t="s">
        <v>245</v>
      </c>
      <c r="B6" s="88"/>
      <c r="C6" s="10">
        <v>113</v>
      </c>
      <c r="D6" s="10" t="s">
        <v>247</v>
      </c>
      <c r="E6" s="8">
        <f>_xlfn.IFNA(VLOOKUP(封面!B1,'2021决算导出'!A:C,3,FALSE),"")</f>
        <v>109</v>
      </c>
      <c r="F6" s="10" t="s">
        <v>248</v>
      </c>
      <c r="G6" s="10"/>
      <c r="H6" s="10"/>
      <c r="I6" s="10"/>
      <c r="J6" s="10"/>
      <c r="K6" s="10"/>
      <c r="L6" s="10"/>
      <c r="M6" s="10"/>
      <c r="N6" s="10"/>
    </row>
    <row r="7" spans="1:14" ht="18" customHeight="1">
      <c r="A7" s="6" t="s">
        <v>177</v>
      </c>
    </row>
    <row r="8" spans="1:14" ht="18" customHeight="1">
      <c r="A8" s="88" t="s">
        <v>416</v>
      </c>
      <c r="B8" s="88"/>
      <c r="C8" s="88"/>
      <c r="D8" s="14">
        <f>_xlfn.IFNA(VLOOKUP(封面!B1,'2021决算导出'!A:D,4,FALSE),"")</f>
        <v>44194258.240000002</v>
      </c>
      <c r="E8" s="7" t="s">
        <v>179</v>
      </c>
      <c r="F8" s="20" t="s">
        <v>249</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2117106.6499999985</v>
      </c>
      <c r="I8" s="16" t="s">
        <v>179</v>
      </c>
      <c r="J8" s="30" t="str">
        <f>IF(ISNA(VLOOKUP(封面!B1,'2020决算导出'!A:D,4,FALSE)),"",IF(D8-VLOOKUP(封面!B1,'2020决算导出'!A:D,4,FALSE)&gt;0,"增长","下降"))</f>
        <v>下降</v>
      </c>
      <c r="K8" s="31">
        <f>IF(ISNA(VLOOKUP(封面!B1,'2020决算导出'!A:D,4,FALSE)),"",H8/VLOOKUP(封面!B1,'2020决算导出'!A:D,4,FALSE))</f>
        <v>4.5714624369819531E-2</v>
      </c>
      <c r="L8" s="7" t="s">
        <v>313</v>
      </c>
    </row>
    <row r="9" spans="1:14" ht="18" customHeight="1">
      <c r="A9" s="7" t="s">
        <v>180</v>
      </c>
      <c r="G9" s="32"/>
      <c r="H9" s="32"/>
      <c r="I9" s="32"/>
      <c r="J9" s="32"/>
      <c r="K9" s="32"/>
    </row>
    <row r="10" spans="1:14" ht="18" customHeight="1">
      <c r="A10" s="88" t="s">
        <v>417</v>
      </c>
      <c r="B10" s="88"/>
      <c r="C10" s="88"/>
      <c r="D10" s="14">
        <f>_xlfn.IFNA(VLOOKUP(封面!B1,'2021决算导出'!A:E,5,FALSE),"")</f>
        <v>44131164.990000002</v>
      </c>
      <c r="E10" s="7" t="s">
        <v>179</v>
      </c>
      <c r="F10" s="20" t="s">
        <v>249</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2152594.9499999955</v>
      </c>
      <c r="I10" s="16" t="s">
        <v>179</v>
      </c>
      <c r="J10" s="30" t="str">
        <f>IF(ISNA(VLOOKUP(封面!B1,'2020决算导出'!A:E,5,FALSE)),"",IF(D10-VLOOKUP(封面!B1,'2020决算导出'!A:E,5,FALSE)&gt;0,"增长","下降"))</f>
        <v>下降</v>
      </c>
      <c r="K10" s="31">
        <f>IF(ISNA(VLOOKUP(封面!B1,'2020决算导出'!A:E,5,FALSE)),"",H10/VLOOKUP(封面!B1,'2020决算导出'!A:E,5,FALSE))</f>
        <v>4.6508644777142442E-2</v>
      </c>
      <c r="L10" s="7" t="s">
        <v>314</v>
      </c>
    </row>
    <row r="11" spans="1:14" ht="18" customHeight="1">
      <c r="A11" s="88" t="s">
        <v>181</v>
      </c>
      <c r="B11" s="88"/>
      <c r="C11" s="88"/>
      <c r="D11" s="14">
        <f>_xlfn.IFNA(VLOOKUP(封面!B1,'2021决算导出'!A:F,6,FALSE),"")</f>
        <v>43961414.990000002</v>
      </c>
      <c r="E11" s="7" t="s">
        <v>179</v>
      </c>
      <c r="F11" s="88" t="s">
        <v>182</v>
      </c>
      <c r="G11" s="88"/>
      <c r="H11" s="29">
        <f>D11/$D$10</f>
        <v>0.99615351192205182</v>
      </c>
      <c r="I11" s="7" t="s">
        <v>315</v>
      </c>
    </row>
    <row r="12" spans="1:14" ht="18" customHeight="1">
      <c r="A12" s="88" t="s">
        <v>184</v>
      </c>
      <c r="B12" s="88"/>
      <c r="C12" s="88"/>
      <c r="D12" s="14">
        <f>_xlfn.IFNA(VLOOKUP(封面!B1,'2021决算导出'!A:G,7,FALSE),"")</f>
        <v>169750</v>
      </c>
      <c r="E12" s="7" t="s">
        <v>179</v>
      </c>
      <c r="F12" s="88" t="s">
        <v>182</v>
      </c>
      <c r="G12" s="88"/>
      <c r="H12" s="29">
        <f t="shared" ref="H12:H15" si="0">D12/$D$10</f>
        <v>3.8464880779481999E-3</v>
      </c>
      <c r="I12" s="7" t="s">
        <v>315</v>
      </c>
    </row>
    <row r="13" spans="1:14" ht="18" customHeight="1">
      <c r="A13" s="88" t="s">
        <v>185</v>
      </c>
      <c r="B13" s="88"/>
      <c r="C13" s="88"/>
      <c r="D13" s="14">
        <f>_xlfn.IFNA(VLOOKUP(封面!B1,'2021决算导出'!A:H,8,FALSE),"")</f>
        <v>0</v>
      </c>
      <c r="E13" s="7" t="s">
        <v>179</v>
      </c>
      <c r="F13" s="88" t="s">
        <v>182</v>
      </c>
      <c r="G13" s="88"/>
      <c r="H13" s="29">
        <f t="shared" si="0"/>
        <v>0</v>
      </c>
      <c r="I13" s="7" t="s">
        <v>315</v>
      </c>
    </row>
    <row r="14" spans="1:14" ht="18" customHeight="1">
      <c r="A14" s="88" t="s">
        <v>186</v>
      </c>
      <c r="B14" s="88"/>
      <c r="C14" s="88"/>
      <c r="D14" s="14">
        <f>_xlfn.IFNA(VLOOKUP(封面!B1,'2021决算导出'!A:I,9,FALSE),"")</f>
        <v>0</v>
      </c>
      <c r="E14" s="7" t="s">
        <v>179</v>
      </c>
      <c r="F14" s="88" t="s">
        <v>182</v>
      </c>
      <c r="G14" s="88"/>
      <c r="H14" s="29">
        <f t="shared" si="0"/>
        <v>0</v>
      </c>
      <c r="I14" s="7" t="s">
        <v>315</v>
      </c>
    </row>
    <row r="15" spans="1:14" ht="18" customHeight="1">
      <c r="A15" s="88" t="s">
        <v>187</v>
      </c>
      <c r="B15" s="88"/>
      <c r="C15" s="88"/>
      <c r="D15" s="14">
        <f>_xlfn.IFNA(VLOOKUP(封面!B1,'2021决算导出'!A:J,10,FALSE),"")</f>
        <v>0</v>
      </c>
      <c r="E15" s="7" t="s">
        <v>179</v>
      </c>
      <c r="F15" s="88" t="s">
        <v>182</v>
      </c>
      <c r="G15" s="88"/>
      <c r="H15" s="29">
        <f t="shared" si="0"/>
        <v>0</v>
      </c>
      <c r="I15" s="7" t="s">
        <v>316</v>
      </c>
    </row>
    <row r="16" spans="1:14" ht="18" customHeight="1">
      <c r="A16" s="7" t="s">
        <v>188</v>
      </c>
    </row>
    <row r="17" spans="1:13" ht="18" customHeight="1">
      <c r="A17" s="88" t="s">
        <v>418</v>
      </c>
      <c r="B17" s="88"/>
      <c r="C17" s="88"/>
      <c r="D17" s="14">
        <f>_xlfn.IFNA(VLOOKUP(封面!B1,'2021决算导出'!A:K,11,FALSE),"")</f>
        <v>44193188.240000002</v>
      </c>
      <c r="E17" s="7" t="s">
        <v>179</v>
      </c>
      <c r="F17" s="20" t="s">
        <v>249</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2083186.6499999985</v>
      </c>
      <c r="I17" s="7" t="s">
        <v>179</v>
      </c>
      <c r="J17" s="30" t="str">
        <f>IF(ISNA(VLOOKUP(封面!B1,'2020决算导出'!A:K,11,FALSE)),"",IF(D17-VLOOKUP(封面!B1,'2020决算导出'!A:K,11,FALSE)&gt;0,"增长","下降"))</f>
        <v>下降</v>
      </c>
      <c r="K17" s="31">
        <f>IF(ISNA(VLOOKUP(封面!B1,'2020决算导出'!A:K,11,FALSE)),"",H17/VLOOKUP(封面!B1,'2020决算导出'!A:K,11,FALSE))</f>
        <v>4.5016202218773199E-2</v>
      </c>
      <c r="L17" s="7" t="s">
        <v>317</v>
      </c>
    </row>
    <row r="18" spans="1:13" ht="18" customHeight="1">
      <c r="A18" s="88" t="s">
        <v>189</v>
      </c>
      <c r="B18" s="88"/>
      <c r="C18" s="88"/>
      <c r="D18" s="14">
        <f>_xlfn.IFNA(VLOOKUP(封面!B1,'2021决算导出'!A:L,12,FALSE),"")</f>
        <v>42603715.399999999</v>
      </c>
      <c r="E18" s="7" t="s">
        <v>179</v>
      </c>
      <c r="F18" s="88" t="s">
        <v>190</v>
      </c>
      <c r="G18" s="88"/>
      <c r="H18" s="29">
        <f>D18/$D$17</f>
        <v>0.96403353314614793</v>
      </c>
      <c r="I18" s="7" t="s">
        <v>315</v>
      </c>
    </row>
    <row r="19" spans="1:13" ht="18" customHeight="1">
      <c r="A19" s="88" t="s">
        <v>191</v>
      </c>
      <c r="B19" s="88"/>
      <c r="C19" s="88"/>
      <c r="D19" s="14">
        <f>_xlfn.IFNA(VLOOKUP(封面!B1,'2021决算导出'!A:M,13,FALSE),"")</f>
        <v>1589472.84</v>
      </c>
      <c r="E19" s="7" t="s">
        <v>179</v>
      </c>
      <c r="F19" s="88" t="s">
        <v>190</v>
      </c>
      <c r="G19" s="88"/>
      <c r="H19" s="29">
        <f t="shared" ref="H19:H20" si="1">D19/$D$17</f>
        <v>3.5966466853851957E-2</v>
      </c>
      <c r="I19" s="7" t="s">
        <v>315</v>
      </c>
    </row>
    <row r="20" spans="1:13" ht="18" customHeight="1">
      <c r="A20" s="88" t="s">
        <v>192</v>
      </c>
      <c r="B20" s="88"/>
      <c r="C20" s="88"/>
      <c r="D20" s="14">
        <f>_xlfn.IFNA(VLOOKUP(封面!B1,'2021决算导出'!A:N,14,FALSE),"")</f>
        <v>0</v>
      </c>
      <c r="E20" s="7" t="s">
        <v>179</v>
      </c>
      <c r="F20" s="88" t="s">
        <v>190</v>
      </c>
      <c r="G20" s="88"/>
      <c r="H20" s="29">
        <f t="shared" si="1"/>
        <v>0</v>
      </c>
      <c r="I20" s="7" t="s">
        <v>316</v>
      </c>
    </row>
    <row r="21" spans="1:13" ht="18" customHeight="1">
      <c r="A21" s="6" t="s">
        <v>193</v>
      </c>
    </row>
    <row r="22" spans="1:13" ht="18" customHeight="1">
      <c r="A22" s="88" t="s">
        <v>419</v>
      </c>
      <c r="B22" s="88"/>
      <c r="C22" s="88"/>
      <c r="D22" s="88"/>
      <c r="E22" s="83">
        <f>_xlfn.IFNA(VLOOKUP(封面!B1,'2021决算导出'!A:O,15,FALSE),"")</f>
        <v>43985472.990000002</v>
      </c>
      <c r="F22" s="83"/>
      <c r="G22" s="15" t="s">
        <v>249</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2169441.8999999985</v>
      </c>
      <c r="J22" s="7" t="s">
        <v>179</v>
      </c>
      <c r="K22" s="30" t="str">
        <f>IF(ISNA(VLOOKUP(封面!B1,'2020决算导出'!A:O,15,FALSE)),"",IF(E22-VLOOKUP(封面!B1,'2020决算导出'!A:O,15,FALSE)&gt;0,"增长","下降"))</f>
        <v>下降</v>
      </c>
      <c r="L22" s="31">
        <f>IF(ISNA(VLOOKUP(封面!B1,'2020决算导出'!A:O,15,FALSE)),"",I22/VLOOKUP(封面!B1,'2020决算导出'!A:O,15,FALSE))</f>
        <v>4.7003486089626248E-2</v>
      </c>
      <c r="M22" s="7" t="s">
        <v>313</v>
      </c>
    </row>
    <row r="23" spans="1:13" ht="63.6" customHeight="1">
      <c r="B23" s="90" t="s">
        <v>479</v>
      </c>
      <c r="C23" s="90"/>
      <c r="D23" s="90"/>
      <c r="E23" s="90"/>
      <c r="F23" s="90"/>
      <c r="G23" s="90"/>
      <c r="H23" s="90"/>
      <c r="I23" s="90"/>
      <c r="J23" s="90"/>
      <c r="K23" s="90"/>
      <c r="L23" s="90"/>
      <c r="M23" s="90"/>
    </row>
    <row r="24" spans="1:13" ht="18" customHeight="1">
      <c r="A24" s="6" t="s">
        <v>194</v>
      </c>
    </row>
    <row r="25" spans="1:13" ht="18" customHeight="1">
      <c r="A25" s="7" t="s">
        <v>195</v>
      </c>
    </row>
    <row r="26" spans="1:13" ht="18" customHeight="1">
      <c r="A26" s="88" t="s">
        <v>420</v>
      </c>
      <c r="B26" s="88"/>
      <c r="C26" s="88"/>
      <c r="D26" s="88"/>
      <c r="E26" s="88"/>
      <c r="F26" s="83">
        <f>_xlfn.IFNA(VLOOKUP(封面!B1,'2021决算导出'!A:P,16,FALSE),"")</f>
        <v>43960344.990000002</v>
      </c>
      <c r="G26" s="83"/>
      <c r="H26" s="7" t="s">
        <v>179</v>
      </c>
      <c r="I26" s="10" t="s">
        <v>196</v>
      </c>
      <c r="J26" s="10"/>
      <c r="K26" s="10"/>
      <c r="L26" s="10"/>
      <c r="M26" s="10"/>
    </row>
    <row r="27" spans="1:13" ht="18" customHeight="1">
      <c r="A27" s="88" t="s">
        <v>199</v>
      </c>
      <c r="B27" s="88"/>
      <c r="C27" s="88"/>
      <c r="D27" s="83">
        <f>_xlfn.IFNA(VLOOKUP(封面!B1,'2021决算导出'!A:Q,17,FALSE),"")</f>
        <v>28003327.789999999</v>
      </c>
      <c r="E27" s="83"/>
      <c r="F27" s="7" t="s">
        <v>179</v>
      </c>
      <c r="G27" s="86" t="s">
        <v>198</v>
      </c>
      <c r="H27" s="86"/>
      <c r="I27" s="29">
        <f>D27/$F$26</f>
        <v>0.63701337640480604</v>
      </c>
      <c r="J27" s="7" t="s">
        <v>315</v>
      </c>
      <c r="K27" s="9"/>
      <c r="L27" s="9"/>
      <c r="M27" s="9"/>
    </row>
    <row r="28" spans="1:13" ht="18" customHeight="1">
      <c r="A28" s="88" t="s">
        <v>200</v>
      </c>
      <c r="B28" s="88"/>
      <c r="C28" s="88"/>
      <c r="D28" s="83">
        <f>_xlfn.IFNA(VLOOKUP(封面!B1,'2021决算导出'!A:R,18,FALSE),"")</f>
        <v>0</v>
      </c>
      <c r="E28" s="83"/>
      <c r="F28" s="7" t="s">
        <v>179</v>
      </c>
      <c r="G28" s="86" t="s">
        <v>198</v>
      </c>
      <c r="H28" s="86"/>
      <c r="I28" s="29">
        <f t="shared" ref="I28:I32" si="2">D28/$F$26</f>
        <v>0</v>
      </c>
      <c r="J28" s="7" t="s">
        <v>315</v>
      </c>
      <c r="K28" s="9"/>
      <c r="L28" s="9"/>
      <c r="M28" s="9"/>
    </row>
    <row r="29" spans="1:13" ht="18" customHeight="1">
      <c r="A29" s="88" t="s">
        <v>197</v>
      </c>
      <c r="B29" s="88"/>
      <c r="C29" s="88"/>
      <c r="D29" s="83">
        <f>_xlfn.IFNA(VLOOKUP(封面!B1,'2021决算导出'!A:S,19,FALSE),"")</f>
        <v>7100146.9400000004</v>
      </c>
      <c r="E29" s="83"/>
      <c r="F29" s="7" t="s">
        <v>179</v>
      </c>
      <c r="G29" s="86" t="s">
        <v>198</v>
      </c>
      <c r="H29" s="86"/>
      <c r="I29" s="29">
        <f t="shared" si="2"/>
        <v>0.16151253912168173</v>
      </c>
      <c r="J29" s="7" t="s">
        <v>315</v>
      </c>
    </row>
    <row r="30" spans="1:13" ht="18" customHeight="1">
      <c r="A30" s="88" t="s">
        <v>201</v>
      </c>
      <c r="B30" s="88"/>
      <c r="C30" s="88"/>
      <c r="D30" s="83">
        <f>_xlfn.IFNA(VLOOKUP(封面!B1,'2021决算导出'!A:T,20,FALSE),"")</f>
        <v>3282334.26</v>
      </c>
      <c r="E30" s="83"/>
      <c r="F30" s="7" t="s">
        <v>179</v>
      </c>
      <c r="G30" s="86" t="s">
        <v>198</v>
      </c>
      <c r="H30" s="86"/>
      <c r="I30" s="29">
        <f t="shared" si="2"/>
        <v>7.4665798476937745E-2</v>
      </c>
      <c r="J30" s="7" t="s">
        <v>315</v>
      </c>
    </row>
    <row r="31" spans="1:13" ht="18" customHeight="1">
      <c r="A31" s="88" t="s">
        <v>202</v>
      </c>
      <c r="B31" s="88"/>
      <c r="C31" s="88"/>
      <c r="D31" s="83">
        <f>_xlfn.IFNA(VLOOKUP(封面!B1,'2021决算导出'!A:U,21,FALSE),"")</f>
        <v>0</v>
      </c>
      <c r="E31" s="83"/>
      <c r="F31" s="7" t="s">
        <v>179</v>
      </c>
      <c r="G31" s="86" t="s">
        <v>198</v>
      </c>
      <c r="H31" s="86"/>
      <c r="I31" s="29">
        <f t="shared" si="2"/>
        <v>0</v>
      </c>
      <c r="J31" s="7" t="s">
        <v>315</v>
      </c>
    </row>
    <row r="32" spans="1:13" ht="18" customHeight="1">
      <c r="A32" s="88" t="s">
        <v>203</v>
      </c>
      <c r="B32" s="88"/>
      <c r="C32" s="88"/>
      <c r="D32" s="83">
        <f>_xlfn.IFNA(VLOOKUP(封面!B1,'2021决算导出'!A:V,22,FALSE),"")</f>
        <v>5574536</v>
      </c>
      <c r="E32" s="83"/>
      <c r="F32" s="7" t="s">
        <v>179</v>
      </c>
      <c r="G32" s="86" t="s">
        <v>198</v>
      </c>
      <c r="H32" s="86"/>
      <c r="I32" s="29">
        <f t="shared" si="2"/>
        <v>0.12680828599657448</v>
      </c>
      <c r="J32" s="7" t="s">
        <v>315</v>
      </c>
    </row>
    <row r="33" spans="1:12" ht="18" customHeight="1">
      <c r="A33" s="7" t="s">
        <v>204</v>
      </c>
    </row>
    <row r="34" spans="1:12" ht="18" customHeight="1">
      <c r="A34" s="85" t="s">
        <v>421</v>
      </c>
      <c r="B34" s="85"/>
      <c r="C34" s="85"/>
      <c r="D34" s="85"/>
      <c r="E34" s="83">
        <f>_xlfn.IFNA(VLOOKUP(封面!B1,一般公共预算财政拨款支出决算具体情况!A:C,3,FALSE),"")</f>
        <v>28003327.790000003</v>
      </c>
      <c r="F34" s="83"/>
      <c r="G34" s="7" t="s">
        <v>179</v>
      </c>
      <c r="H34" s="86" t="s">
        <v>422</v>
      </c>
      <c r="I34" s="86"/>
      <c r="J34" s="83">
        <f>_xlfn.IFNA(VLOOKUP(封面!B1,一般公共预算财政拨款支出决算具体情况!A:D,4,FALSE),"")</f>
        <v>27136978.34</v>
      </c>
      <c r="K34" s="83"/>
      <c r="L34" s="11" t="s">
        <v>178</v>
      </c>
    </row>
    <row r="35" spans="1:12" ht="18" customHeight="1">
      <c r="B35" s="15" t="str">
        <f>IF(E34&gt;J34,"增加","减少")</f>
        <v>增加</v>
      </c>
      <c r="C35" s="83">
        <f>ABS(E34-J34)</f>
        <v>866349.45000000298</v>
      </c>
      <c r="D35" s="83"/>
      <c r="E35" s="7" t="s">
        <v>179</v>
      </c>
      <c r="F35" s="15" t="str">
        <f>IF(E34&gt;J34,"增长","下降")</f>
        <v>增长</v>
      </c>
      <c r="G35" s="34">
        <f>IF(J34=0,IF(E34&gt;0,1,""),C35/J34)</f>
        <v>3.1925052197981856E-2</v>
      </c>
      <c r="H35" s="7" t="s">
        <v>316</v>
      </c>
      <c r="I35" s="11" t="s">
        <v>205</v>
      </c>
    </row>
    <row r="36" spans="1:12" ht="18" customHeight="1">
      <c r="A36" s="88" t="s">
        <v>423</v>
      </c>
      <c r="B36" s="88"/>
      <c r="C36" s="88"/>
      <c r="D36" s="88"/>
      <c r="E36" s="83">
        <f>_xlfn.IFNA(VLOOKUP(封面!B1,一般公共预算财政拨款支出决算具体情况!A:E,5,FALSE),"")</f>
        <v>27921942.790000003</v>
      </c>
      <c r="F36" s="83"/>
      <c r="G36" s="7" t="s">
        <v>179</v>
      </c>
      <c r="H36" s="86" t="s">
        <v>422</v>
      </c>
      <c r="I36" s="86"/>
      <c r="J36" s="83">
        <f>_xlfn.IFNA(VLOOKUP(封面!B1,一般公共预算财政拨款支出决算具体情况!A:F,6,FALSE),"")</f>
        <v>27055593.34</v>
      </c>
      <c r="K36" s="83"/>
      <c r="L36" s="11" t="s">
        <v>178</v>
      </c>
    </row>
    <row r="37" spans="1:12" ht="18" customHeight="1">
      <c r="A37" s="15"/>
      <c r="B37" s="15" t="str">
        <f>IF(E36&gt;J36,"增加","减少")</f>
        <v>增加</v>
      </c>
      <c r="C37" s="83">
        <f>ABS(E36-J36)</f>
        <v>866349.45000000298</v>
      </c>
      <c r="D37" s="83"/>
      <c r="E37" s="7" t="s">
        <v>179</v>
      </c>
      <c r="F37" s="15" t="str">
        <f>IF(E36&gt;J36,"增长","下降")</f>
        <v>增长</v>
      </c>
      <c r="G37" s="34">
        <f>IF(J36=0,IF(E36&gt;0,1,""),C37/J36)</f>
        <v>3.2021084849732699E-2</v>
      </c>
      <c r="H37" s="7" t="s">
        <v>316</v>
      </c>
    </row>
    <row r="38" spans="1:12" ht="28.5" customHeight="1">
      <c r="B38" s="84" t="s">
        <v>480</v>
      </c>
      <c r="C38" s="84"/>
      <c r="D38" s="84"/>
      <c r="E38" s="84"/>
      <c r="F38" s="84"/>
      <c r="G38" s="84"/>
      <c r="H38" s="84"/>
      <c r="I38" s="84"/>
      <c r="J38" s="84"/>
      <c r="K38" s="84"/>
      <c r="L38" s="84"/>
    </row>
    <row r="39" spans="1:12" ht="18" customHeight="1">
      <c r="A39" s="88" t="s">
        <v>424</v>
      </c>
      <c r="B39" s="88"/>
      <c r="C39" s="88"/>
      <c r="D39" s="88"/>
      <c r="E39" s="83">
        <f>_xlfn.IFNA(VLOOKUP(封面!B1,一般公共预算财政拨款支出决算具体情况!A:G,7,FALSE),"")</f>
        <v>0</v>
      </c>
      <c r="F39" s="83"/>
      <c r="G39" s="7" t="s">
        <v>179</v>
      </c>
      <c r="H39" s="86" t="s">
        <v>422</v>
      </c>
      <c r="I39" s="86"/>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18" customHeight="1">
      <c r="A41" s="88" t="s">
        <v>425</v>
      </c>
      <c r="B41" s="88"/>
      <c r="C41" s="88"/>
      <c r="D41" s="88"/>
      <c r="E41" s="83">
        <f>_xlfn.IFNA(VLOOKUP(封面!B1,一般公共预算财政拨款支出决算具体情况!A:I,9,FALSE),"")</f>
        <v>0</v>
      </c>
      <c r="F41" s="83"/>
      <c r="G41" s="7" t="s">
        <v>179</v>
      </c>
      <c r="H41" s="86" t="s">
        <v>422</v>
      </c>
      <c r="I41" s="86"/>
      <c r="J41" s="83">
        <f>_xlfn.IFNA(VLOOKUP(封面!B1,一般公共预算财政拨款支出决算具体情况!A:J,10,FALSE),"")</f>
        <v>0</v>
      </c>
      <c r="K41" s="83"/>
      <c r="L41" s="11" t="s">
        <v>178</v>
      </c>
    </row>
    <row r="42" spans="1:12" ht="18" customHeight="1">
      <c r="A42" s="15"/>
      <c r="B42" s="15" t="str">
        <f>IF(E41&gt;J41,"增加","减少")</f>
        <v>减少</v>
      </c>
      <c r="C42" s="83">
        <f>ABS(E41-J41)</f>
        <v>0</v>
      </c>
      <c r="D42" s="83"/>
      <c r="E42" s="7" t="s">
        <v>179</v>
      </c>
      <c r="F42" s="15" t="str">
        <f>IF(E41&gt;J41,"增长","下降")</f>
        <v>下降</v>
      </c>
      <c r="G42" s="34" t="str">
        <f>IF(J41=0,IF(E41&gt;0,1,""),C42/J41)</f>
        <v/>
      </c>
      <c r="H42" s="7" t="s">
        <v>316</v>
      </c>
    </row>
    <row r="43" spans="1:12" ht="18" customHeight="1">
      <c r="A43" s="88" t="s">
        <v>426</v>
      </c>
      <c r="B43" s="88"/>
      <c r="C43" s="88"/>
      <c r="D43" s="88"/>
      <c r="E43" s="83">
        <f>_xlfn.IFNA(VLOOKUP(封面!B1,一般公共预算财政拨款支出决算具体情况!A:K,11,FALSE),"")</f>
        <v>0</v>
      </c>
      <c r="F43" s="83"/>
      <c r="G43" s="7" t="s">
        <v>179</v>
      </c>
      <c r="H43" s="86" t="s">
        <v>422</v>
      </c>
      <c r="I43" s="86"/>
      <c r="J43" s="83">
        <f>_xlfn.IFNA(VLOOKUP(封面!B1,一般公共预算财政拨款支出决算具体情况!A:L,12,FALSE),"")</f>
        <v>0</v>
      </c>
      <c r="K43" s="83"/>
      <c r="L43" s="11" t="s">
        <v>178</v>
      </c>
    </row>
    <row r="44" spans="1:12" ht="18" customHeight="1">
      <c r="A44" s="15"/>
      <c r="B44" s="15" t="str">
        <f>IF(E43&gt;J43,"增加","减少")</f>
        <v>减少</v>
      </c>
      <c r="C44" s="83">
        <f>ABS(E43-J43)</f>
        <v>0</v>
      </c>
      <c r="D44" s="83"/>
      <c r="E44" s="7" t="s">
        <v>179</v>
      </c>
      <c r="F44" s="15" t="str">
        <f>IF(E43&gt;J43,"增长","下降")</f>
        <v>下降</v>
      </c>
      <c r="G44" s="34" t="str">
        <f>IF(J43=0,IF(E43&gt;0,1,""),C44/J43)</f>
        <v/>
      </c>
      <c r="H44" s="7" t="s">
        <v>316</v>
      </c>
    </row>
    <row r="45" spans="1:12" ht="18" customHeight="1">
      <c r="A45" s="88" t="s">
        <v>427</v>
      </c>
      <c r="B45" s="88"/>
      <c r="C45" s="88"/>
      <c r="D45" s="88"/>
      <c r="E45" s="83">
        <f>_xlfn.IFNA(VLOOKUP(封面!B1,一般公共预算财政拨款支出决算具体情况!A:M,13,FALSE),"")</f>
        <v>72760</v>
      </c>
      <c r="F45" s="83"/>
      <c r="G45" s="7" t="s">
        <v>179</v>
      </c>
      <c r="H45" s="86" t="s">
        <v>422</v>
      </c>
      <c r="I45" s="86"/>
      <c r="J45" s="83">
        <f>_xlfn.IFNA(VLOOKUP(封面!B1,一般公共预算财政拨款支出决算具体情况!A:N,14,FALSE),"")</f>
        <v>72760</v>
      </c>
      <c r="K45" s="83"/>
      <c r="L45" s="11" t="s">
        <v>178</v>
      </c>
    </row>
    <row r="46" spans="1:12" ht="18" customHeight="1">
      <c r="A46" s="15"/>
      <c r="B46" s="15" t="str">
        <f>IF(E45&gt;J45,"增加","减少")</f>
        <v>减少</v>
      </c>
      <c r="C46" s="83">
        <f>ABS(E45-J45)</f>
        <v>0</v>
      </c>
      <c r="D46" s="83"/>
      <c r="E46" s="7" t="s">
        <v>179</v>
      </c>
      <c r="F46" s="15" t="str">
        <f>IF(E45&gt;J45,"增长","下降")</f>
        <v>下降</v>
      </c>
      <c r="G46" s="34">
        <f>IF(J45=0,IF(E45&gt;0,1,""),C46/J45)</f>
        <v>0</v>
      </c>
      <c r="H46" s="7" t="s">
        <v>316</v>
      </c>
    </row>
    <row r="47" spans="1:12" ht="18" customHeight="1">
      <c r="A47" s="87" t="s">
        <v>428</v>
      </c>
      <c r="B47" s="87"/>
      <c r="C47" s="87"/>
      <c r="D47" s="87"/>
      <c r="E47" s="83">
        <f>_xlfn.IFNA(VLOOKUP(封面!B1,一般公共预算财政拨款支出决算具体情况!A:O,15,FALSE),"")</f>
        <v>8625</v>
      </c>
      <c r="F47" s="83"/>
      <c r="G47" s="7" t="s">
        <v>179</v>
      </c>
      <c r="H47" s="86" t="s">
        <v>422</v>
      </c>
      <c r="I47" s="86"/>
      <c r="J47" s="83">
        <f>_xlfn.IFNA(VLOOKUP(封面!B1,一般公共预算财政拨款支出决算具体情况!A:P,16,FALSE),"")</f>
        <v>8625</v>
      </c>
      <c r="K47" s="83"/>
      <c r="L47" s="11" t="s">
        <v>178</v>
      </c>
    </row>
    <row r="48" spans="1:12" ht="18" customHeight="1">
      <c r="A48" s="15"/>
      <c r="B48" s="15" t="str">
        <f>IF(E47&gt;J47,"增加","减少")</f>
        <v>减少</v>
      </c>
      <c r="C48" s="83">
        <f>ABS(E47-J47)</f>
        <v>0</v>
      </c>
      <c r="D48" s="83"/>
      <c r="E48" s="7" t="s">
        <v>179</v>
      </c>
      <c r="F48" s="15" t="str">
        <f>IF(E47&gt;J47,"增长","下降")</f>
        <v>下降</v>
      </c>
      <c r="G48" s="34">
        <f>IF(J47=0,IF(E47&gt;0,1,""),C48/J47)</f>
        <v>0</v>
      </c>
      <c r="H48" s="7" t="s">
        <v>316</v>
      </c>
    </row>
    <row r="49" spans="1:12" ht="30" customHeight="1">
      <c r="B49" s="84" t="s">
        <v>481</v>
      </c>
      <c r="C49" s="84"/>
      <c r="D49" s="84"/>
      <c r="E49" s="84"/>
      <c r="F49" s="84"/>
      <c r="G49" s="84"/>
      <c r="H49" s="84"/>
      <c r="I49" s="84"/>
      <c r="J49" s="84"/>
      <c r="K49" s="84"/>
      <c r="L49" s="84"/>
    </row>
    <row r="50" spans="1:12" ht="18" customHeight="1">
      <c r="A50" s="89" t="s">
        <v>429</v>
      </c>
      <c r="B50" s="89"/>
      <c r="C50" s="89"/>
      <c r="D50" s="89"/>
      <c r="E50" s="83">
        <f>_xlfn.IFNA(VLOOKUP(封面!B1,一般公共预算财政拨款支出决算具体情况!A:Q,17,FALSE),"")</f>
        <v>0</v>
      </c>
      <c r="F50" s="83"/>
      <c r="G50" s="7" t="s">
        <v>179</v>
      </c>
      <c r="H50" s="85" t="s">
        <v>430</v>
      </c>
      <c r="I50" s="85"/>
      <c r="J50" s="85"/>
      <c r="K50" s="85"/>
      <c r="L50" s="11"/>
    </row>
    <row r="51" spans="1:12" ht="18" customHeight="1">
      <c r="A51" s="87" t="s">
        <v>472</v>
      </c>
      <c r="B51" s="87"/>
      <c r="C51" s="87"/>
      <c r="D51" s="87"/>
      <c r="E51" s="83">
        <f>_xlfn.IFNA(VLOOKUP(封面!B1,一般公共预算财政拨款支出决算具体情况!A:S,19,FALSE),"")</f>
        <v>0</v>
      </c>
      <c r="F51" s="83"/>
      <c r="G51" s="7" t="s">
        <v>179</v>
      </c>
      <c r="H51" s="85" t="s">
        <v>432</v>
      </c>
      <c r="I51" s="85"/>
      <c r="J51" s="85"/>
      <c r="K51" s="85"/>
      <c r="L51" s="11"/>
    </row>
    <row r="52" spans="1:12" ht="18" customHeight="1">
      <c r="A52" s="88" t="s">
        <v>431</v>
      </c>
      <c r="B52" s="88"/>
      <c r="C52" s="88"/>
      <c r="D52" s="88"/>
      <c r="E52" s="83">
        <f>_xlfn.IFNA(VLOOKUP(封面!B1,一般公共预算财政拨款支出决算具体情况!A:U,21,FALSE),"")</f>
        <v>0</v>
      </c>
      <c r="F52" s="83"/>
      <c r="G52" s="7" t="s">
        <v>179</v>
      </c>
      <c r="H52" s="85" t="s">
        <v>432</v>
      </c>
      <c r="I52" s="85"/>
      <c r="J52" s="85"/>
      <c r="K52" s="85"/>
      <c r="L52" s="11"/>
    </row>
    <row r="53" spans="1:12" ht="18" customHeight="1">
      <c r="A53" s="89" t="s">
        <v>433</v>
      </c>
      <c r="B53" s="89"/>
      <c r="C53" s="89"/>
      <c r="D53" s="89"/>
      <c r="E53" s="83">
        <f>_xlfn.IFNA(VLOOKUP(封面!B1,一般公共预算财政拨款支出决算具体情况!A:W,23,FALSE),"")</f>
        <v>7100146.9399999995</v>
      </c>
      <c r="F53" s="83"/>
      <c r="G53" s="7" t="s">
        <v>179</v>
      </c>
      <c r="H53" s="86" t="s">
        <v>422</v>
      </c>
      <c r="I53" s="86"/>
      <c r="J53" s="83">
        <f>_xlfn.IFNA(VLOOKUP(封面!B1,一般公共预算财政拨款支出决算具体情况!A:X,24,FALSE),"")</f>
        <v>7366694.6799999997</v>
      </c>
      <c r="K53" s="83"/>
      <c r="L53" s="11" t="s">
        <v>178</v>
      </c>
    </row>
    <row r="54" spans="1:12" ht="18" customHeight="1">
      <c r="B54" s="15" t="str">
        <f>IF(E53&gt;J53,"增加","减少")</f>
        <v>减少</v>
      </c>
      <c r="C54" s="83">
        <f>ABS(E53-J53)</f>
        <v>266547.74000000022</v>
      </c>
      <c r="D54" s="83"/>
      <c r="E54" s="7" t="s">
        <v>179</v>
      </c>
      <c r="F54" s="15" t="str">
        <f>IF(E53&gt;J53,"增长","下降")</f>
        <v>下降</v>
      </c>
      <c r="G54" s="34">
        <f>IF(J53=0,IF(E53&gt;0,1,""),C54/J53)</f>
        <v>3.6182813538296422E-2</v>
      </c>
      <c r="H54" s="7" t="s">
        <v>316</v>
      </c>
      <c r="I54" s="11" t="s">
        <v>205</v>
      </c>
    </row>
    <row r="55" spans="1:12" ht="18" customHeight="1">
      <c r="A55" s="87" t="s">
        <v>434</v>
      </c>
      <c r="B55" s="87"/>
      <c r="C55" s="87"/>
      <c r="D55" s="87"/>
      <c r="E55" s="83">
        <f>_xlfn.IFNA(VLOOKUP(封面!B1,一般公共预算财政拨款支出决算具体情况!A:Y,25,FALSE),"")</f>
        <v>7100146.9399999995</v>
      </c>
      <c r="F55" s="83"/>
      <c r="G55" s="7" t="s">
        <v>179</v>
      </c>
      <c r="H55" s="86" t="s">
        <v>422</v>
      </c>
      <c r="I55" s="86"/>
      <c r="J55" s="83">
        <f>_xlfn.IFNA(VLOOKUP(封面!B1,一般公共预算财政拨款支出决算具体情况!A:Z,26,FALSE),"")</f>
        <v>7366694.6799999997</v>
      </c>
      <c r="K55" s="83"/>
      <c r="L55" s="11" t="s">
        <v>178</v>
      </c>
    </row>
    <row r="56" spans="1:12" ht="18" customHeight="1">
      <c r="A56" s="15"/>
      <c r="B56" s="15" t="str">
        <f>IF(E55&gt;J55,"增加","减少")</f>
        <v>减少</v>
      </c>
      <c r="C56" s="83">
        <f>ABS(E55-J55)</f>
        <v>266547.74000000022</v>
      </c>
      <c r="D56" s="83"/>
      <c r="E56" s="7" t="s">
        <v>179</v>
      </c>
      <c r="F56" s="15" t="str">
        <f>IF(E55&gt;J55,"增长","下降")</f>
        <v>下降</v>
      </c>
      <c r="G56" s="34">
        <f>IF(J55=0,IF(E55&gt;0,1,""),C56/J55)</f>
        <v>3.6182813538296422E-2</v>
      </c>
      <c r="H56" s="7" t="s">
        <v>316</v>
      </c>
    </row>
    <row r="57" spans="1:12" ht="28.5" customHeight="1">
      <c r="B57" s="84" t="s">
        <v>482</v>
      </c>
      <c r="C57" s="84"/>
      <c r="D57" s="84"/>
      <c r="E57" s="84"/>
      <c r="F57" s="84"/>
      <c r="G57" s="84"/>
      <c r="H57" s="84"/>
      <c r="I57" s="84"/>
      <c r="J57" s="84"/>
      <c r="K57" s="84"/>
      <c r="L57" s="84"/>
    </row>
    <row r="58" spans="1:12" ht="18" customHeight="1">
      <c r="A58" s="87" t="s">
        <v>435</v>
      </c>
      <c r="B58" s="87"/>
      <c r="C58" s="87"/>
      <c r="D58" s="87"/>
      <c r="E58" s="83">
        <v>839854</v>
      </c>
      <c r="F58" s="83"/>
      <c r="G58" s="7" t="s">
        <v>179</v>
      </c>
      <c r="H58" s="86" t="s">
        <v>432</v>
      </c>
      <c r="I58" s="86"/>
      <c r="J58" s="83"/>
      <c r="K58" s="83"/>
      <c r="L58" s="11"/>
    </row>
    <row r="59" spans="1:12" ht="29.25" customHeight="1">
      <c r="B59" s="93" t="s">
        <v>486</v>
      </c>
      <c r="C59" s="93"/>
      <c r="D59" s="93"/>
      <c r="E59" s="93"/>
      <c r="F59" s="93"/>
      <c r="G59" s="93"/>
      <c r="H59" s="93"/>
      <c r="I59" s="93"/>
      <c r="J59" s="93"/>
      <c r="K59" s="93"/>
      <c r="L59" s="93"/>
    </row>
    <row r="60" spans="1:12" ht="18" customHeight="1">
      <c r="A60" s="89" t="s">
        <v>436</v>
      </c>
      <c r="B60" s="89"/>
      <c r="C60" s="89"/>
      <c r="D60" s="89"/>
      <c r="E60" s="83">
        <f>_xlfn.IFNA(VLOOKUP(封面!B1,一般公共预算财政拨款支出决算具体情况!A:AC,29,FALSE),"")</f>
        <v>3282334.26</v>
      </c>
      <c r="F60" s="83"/>
      <c r="G60" s="7" t="s">
        <v>179</v>
      </c>
      <c r="H60" s="86" t="s">
        <v>422</v>
      </c>
      <c r="I60" s="86"/>
      <c r="J60" s="83">
        <f>_xlfn.IFNA(VLOOKUP(封面!B1,一般公共预算财政拨款支出决算具体情况!A:AD,30,FALSE),"")</f>
        <v>2972539.06</v>
      </c>
      <c r="K60" s="83"/>
      <c r="L60" s="11" t="s">
        <v>178</v>
      </c>
    </row>
    <row r="61" spans="1:12" ht="18" customHeight="1">
      <c r="B61" s="15" t="str">
        <f>IF(E60&gt;J60,"增加","减少")</f>
        <v>增加</v>
      </c>
      <c r="C61" s="83">
        <f>ABS(E60-J60)</f>
        <v>309795.19999999972</v>
      </c>
      <c r="D61" s="83"/>
      <c r="E61" s="7" t="s">
        <v>179</v>
      </c>
      <c r="F61" s="15" t="str">
        <f>IF(E60&gt;J60,"增长","下降")</f>
        <v>增长</v>
      </c>
      <c r="G61" s="34">
        <f>IF(J60=0,IF(E60&gt;0,1,""),C61/J60)</f>
        <v>0.10421905103578344</v>
      </c>
      <c r="H61" s="7" t="s">
        <v>316</v>
      </c>
      <c r="I61" s="11" t="s">
        <v>205</v>
      </c>
    </row>
    <row r="62" spans="1:12" ht="18" customHeight="1">
      <c r="A62" s="87" t="s">
        <v>437</v>
      </c>
      <c r="B62" s="87"/>
      <c r="C62" s="87"/>
      <c r="D62" s="87"/>
      <c r="E62" s="83">
        <f>_xlfn.IFNA(VLOOKUP(封面!B1,一般公共预算财政拨款支出决算具体情况!A:AE,31,FALSE),"")</f>
        <v>3282334.26</v>
      </c>
      <c r="F62" s="83"/>
      <c r="G62" s="7" t="s">
        <v>179</v>
      </c>
      <c r="H62" s="86" t="s">
        <v>422</v>
      </c>
      <c r="I62" s="86"/>
      <c r="J62" s="83">
        <f>_xlfn.IFNA(VLOOKUP(封面!B1,一般公共预算财政拨款支出决算具体情况!A:AF,32,FALSE),"")</f>
        <v>2972539.06</v>
      </c>
      <c r="K62" s="83"/>
      <c r="L62" s="11" t="s">
        <v>178</v>
      </c>
    </row>
    <row r="63" spans="1:12" ht="18" customHeight="1">
      <c r="A63" s="15"/>
      <c r="B63" s="15" t="str">
        <f>IF(E62&gt;J62,"增加","减少")</f>
        <v>增加</v>
      </c>
      <c r="C63" s="83">
        <f>ABS(E62-J62)</f>
        <v>309795.19999999972</v>
      </c>
      <c r="D63" s="83"/>
      <c r="E63" s="7" t="s">
        <v>179</v>
      </c>
      <c r="F63" s="15" t="str">
        <f>IF(E62&gt;J62,"增长","下降")</f>
        <v>增长</v>
      </c>
      <c r="G63" s="34">
        <f>IF(J62=0,IF(E62&gt;0,1,""),C63/J62)</f>
        <v>0.10421905103578344</v>
      </c>
      <c r="H63" s="7" t="s">
        <v>316</v>
      </c>
    </row>
    <row r="64" spans="1:12" ht="36" customHeight="1">
      <c r="B64" s="84" t="s">
        <v>483</v>
      </c>
      <c r="C64" s="84"/>
      <c r="D64" s="84"/>
      <c r="E64" s="84"/>
      <c r="F64" s="84"/>
      <c r="G64" s="84"/>
      <c r="H64" s="84"/>
      <c r="I64" s="84"/>
      <c r="J64" s="84"/>
      <c r="K64" s="84"/>
      <c r="L64" s="84"/>
    </row>
    <row r="65" spans="1:13" ht="18" customHeight="1">
      <c r="A65" s="89" t="s">
        <v>438</v>
      </c>
      <c r="B65" s="89"/>
      <c r="C65" s="89"/>
      <c r="D65" s="89"/>
      <c r="E65" s="83">
        <f>_xlfn.IFNA(VLOOKUP(封面!B1,一般公共预算财政拨款支出决算具体情况!A:AG,33,FALSE),"")</f>
        <v>0</v>
      </c>
      <c r="F65" s="83"/>
      <c r="G65" s="7" t="s">
        <v>179</v>
      </c>
      <c r="H65" s="86" t="s">
        <v>422</v>
      </c>
      <c r="I65" s="86"/>
      <c r="J65" s="83">
        <f>_xlfn.IFNA(VLOOKUP(封面!B1,一般公共预算财政拨款支出决算具体情况!A:AH,34,FALSE),"")</f>
        <v>0</v>
      </c>
      <c r="K65" s="83"/>
      <c r="L65" s="11" t="s">
        <v>178</v>
      </c>
    </row>
    <row r="66" spans="1:13" ht="18" customHeight="1">
      <c r="B66" s="15" t="str">
        <f>IF(E65&gt;J65,"增加","减少")</f>
        <v>减少</v>
      </c>
      <c r="C66" s="83">
        <f>ABS(E65-J65)</f>
        <v>0</v>
      </c>
      <c r="D66" s="83"/>
      <c r="E66" s="7" t="s">
        <v>179</v>
      </c>
      <c r="F66" s="15" t="str">
        <f>IF(E65&gt;J65,"增长","下降")</f>
        <v>下降</v>
      </c>
      <c r="G66" s="34" t="str">
        <f>IF(J65=0,IF(E65&gt;0,1,""),C66/J65)</f>
        <v/>
      </c>
      <c r="H66" s="7" t="s">
        <v>313</v>
      </c>
      <c r="I66" s="11" t="s">
        <v>205</v>
      </c>
    </row>
    <row r="67" spans="1:13" ht="18" customHeight="1">
      <c r="A67" s="87" t="s">
        <v>439</v>
      </c>
      <c r="B67" s="87"/>
      <c r="C67" s="87"/>
      <c r="D67" s="87"/>
      <c r="E67" s="83">
        <f>_xlfn.IFNA(VLOOKUP(封面!B1,一般公共预算财政拨款支出决算具体情况!A:AI,35,FALSE),"")</f>
        <v>0</v>
      </c>
      <c r="F67" s="83"/>
      <c r="G67" s="7" t="s">
        <v>179</v>
      </c>
      <c r="H67" s="86" t="s">
        <v>422</v>
      </c>
      <c r="I67" s="86"/>
      <c r="J67" s="83">
        <f>_xlfn.IFNA(VLOOKUP(封面!B1,一般公共预算财政拨款支出决算具体情况!A:AJ,36,FALSE),"")</f>
        <v>0</v>
      </c>
      <c r="K67" s="83"/>
      <c r="L67" s="11" t="s">
        <v>178</v>
      </c>
    </row>
    <row r="68" spans="1:13" ht="18" customHeight="1">
      <c r="A68" s="58"/>
      <c r="B68" s="15" t="str">
        <f>IF(E67&gt;J67,"增加","减少")</f>
        <v>减少</v>
      </c>
      <c r="C68" s="83">
        <f>ABS(E67-J67)</f>
        <v>0</v>
      </c>
      <c r="D68" s="83"/>
      <c r="E68" s="7" t="s">
        <v>179</v>
      </c>
      <c r="F68" s="15" t="str">
        <f>IF(E67&gt;J67,"增长","下降")</f>
        <v>下降</v>
      </c>
      <c r="G68" s="34" t="str">
        <f>IF(J67=0,IF(E67&gt;0,1,""),C68/J67)</f>
        <v/>
      </c>
      <c r="H68" s="7" t="s">
        <v>313</v>
      </c>
      <c r="I68" s="57"/>
      <c r="J68" s="56"/>
      <c r="K68" s="56"/>
      <c r="L68" s="11"/>
    </row>
    <row r="69" spans="1:13" ht="18" customHeight="1">
      <c r="A69" s="89" t="s">
        <v>473</v>
      </c>
      <c r="B69" s="89"/>
      <c r="C69" s="89"/>
      <c r="D69" s="89"/>
      <c r="E69" s="83">
        <f>_xlfn.IFNA(VLOOKUP(封面!B1,一般公共预算财政拨款支出决算具体情况!A:AK,37,FALSE),"")</f>
        <v>5574536</v>
      </c>
      <c r="F69" s="83"/>
      <c r="G69" s="7" t="s">
        <v>179</v>
      </c>
      <c r="H69" s="86" t="s">
        <v>422</v>
      </c>
      <c r="I69" s="86"/>
      <c r="J69" s="83">
        <f>_xlfn.IFNA(VLOOKUP(封面!B1,一般公共预算财政拨款支出决算具体情况!A:AL,38,FALSE),"")</f>
        <v>5308303.4399999995</v>
      </c>
      <c r="K69" s="83"/>
      <c r="L69" s="11" t="s">
        <v>178</v>
      </c>
    </row>
    <row r="70" spans="1:13" ht="18" customHeight="1">
      <c r="B70" s="15" t="str">
        <f>IF(E69&gt;J69,"增加","减少")</f>
        <v>增加</v>
      </c>
      <c r="C70" s="83">
        <f>ABS(E69-J69)</f>
        <v>266232.56000000052</v>
      </c>
      <c r="D70" s="83"/>
      <c r="E70" s="7" t="s">
        <v>179</v>
      </c>
      <c r="F70" s="15" t="str">
        <f>IF(E69&gt;J69,"增长","下降")</f>
        <v>增长</v>
      </c>
      <c r="G70" s="34">
        <f>IF(J69=0,IF(E69&gt;0,1,""),C70/J69)</f>
        <v>5.0153982907955343E-2</v>
      </c>
      <c r="H70" s="7" t="s">
        <v>316</v>
      </c>
      <c r="I70" s="11" t="s">
        <v>205</v>
      </c>
    </row>
    <row r="71" spans="1:13" ht="18" customHeight="1">
      <c r="A71" s="87" t="s">
        <v>440</v>
      </c>
      <c r="B71" s="87"/>
      <c r="C71" s="87"/>
      <c r="D71" s="87"/>
      <c r="E71" s="83">
        <f>_xlfn.IFNA(VLOOKUP(封面!B1,一般公共预算财政拨款支出决算具体情况!A:AM,39,FALSE),"")</f>
        <v>5574536</v>
      </c>
      <c r="F71" s="83"/>
      <c r="G71" s="7" t="s">
        <v>179</v>
      </c>
      <c r="H71" s="86" t="s">
        <v>422</v>
      </c>
      <c r="I71" s="86"/>
      <c r="J71" s="83">
        <f>_xlfn.IFNA(VLOOKUP(封面!B1,一般公共预算财政拨款支出决算具体情况!A:AN,40,FALSE),"")</f>
        <v>5308303.4399999995</v>
      </c>
      <c r="K71" s="83"/>
      <c r="L71" s="11" t="s">
        <v>178</v>
      </c>
    </row>
    <row r="72" spans="1:13" ht="18" customHeight="1">
      <c r="A72" s="15"/>
      <c r="B72" s="15" t="str">
        <f>IF(E71&gt;J71,"增加","减少")</f>
        <v>增加</v>
      </c>
      <c r="C72" s="83">
        <f>ABS(E71-J71)</f>
        <v>266232.56000000052</v>
      </c>
      <c r="D72" s="83"/>
      <c r="E72" s="7" t="s">
        <v>179</v>
      </c>
      <c r="F72" s="15" t="str">
        <f>IF(E71&gt;J71,"增长","下降")</f>
        <v>增长</v>
      </c>
      <c r="G72" s="34">
        <f>IF(J71=0,IF(E71&gt;0,1,""),C72/J71)</f>
        <v>5.0153982907955343E-2</v>
      </c>
      <c r="H72" s="7" t="s">
        <v>316</v>
      </c>
    </row>
    <row r="73" spans="1:13" ht="36" customHeight="1">
      <c r="B73" s="84" t="s">
        <v>484</v>
      </c>
      <c r="C73" s="84"/>
      <c r="D73" s="84"/>
      <c r="E73" s="84"/>
      <c r="F73" s="84"/>
      <c r="G73" s="84"/>
      <c r="H73" s="84"/>
      <c r="I73" s="84"/>
      <c r="J73" s="84"/>
      <c r="K73" s="84"/>
      <c r="L73" s="84"/>
    </row>
    <row r="74" spans="1:13" ht="18" customHeight="1">
      <c r="A74" s="6" t="s">
        <v>206</v>
      </c>
    </row>
    <row r="75" spans="1:13" ht="18" customHeight="1">
      <c r="A75" s="7" t="str">
        <f>IF(_xlfn.IFNA(VLOOKUP(封面!B1,'2021决算导出'!A:W,23,FALSE),"")=0,"本年度无此项支出。","")</f>
        <v/>
      </c>
    </row>
    <row r="76" spans="1:13" ht="18" customHeight="1">
      <c r="A76" s="7" t="s">
        <v>207</v>
      </c>
    </row>
    <row r="77" spans="1:13" ht="18" customHeight="1">
      <c r="A77" s="88" t="s">
        <v>441</v>
      </c>
      <c r="B77" s="88"/>
      <c r="C77" s="88"/>
      <c r="D77" s="88"/>
      <c r="E77" s="88"/>
      <c r="F77" s="83">
        <f>_xlfn.IFNA(VLOOKUP(封面!B1,'2021决算导出'!A:W,23,FALSE),"")</f>
        <v>24058</v>
      </c>
      <c r="G77" s="83"/>
      <c r="H77" s="7" t="s">
        <v>179</v>
      </c>
      <c r="I77" s="85" t="s">
        <v>196</v>
      </c>
      <c r="J77" s="85"/>
      <c r="K77" s="85"/>
      <c r="L77" s="85"/>
      <c r="M77" s="85"/>
    </row>
    <row r="78" spans="1:13" ht="18" customHeight="1">
      <c r="A78" s="88" t="s">
        <v>208</v>
      </c>
      <c r="B78" s="88"/>
      <c r="C78" s="88"/>
      <c r="D78" s="83">
        <f>_xlfn.IFNA(VLOOKUP(封面!B1,'2021决算导出'!A:Y,25,FALSE),"")</f>
        <v>24058</v>
      </c>
      <c r="E78" s="83"/>
      <c r="F78" s="7" t="s">
        <v>179</v>
      </c>
      <c r="G78" s="86" t="s">
        <v>198</v>
      </c>
      <c r="H78" s="86"/>
      <c r="I78" s="13">
        <v>100</v>
      </c>
      <c r="J78" s="7" t="s">
        <v>183</v>
      </c>
      <c r="K78" s="9"/>
      <c r="L78" s="9"/>
      <c r="M78" s="9"/>
    </row>
    <row r="79" spans="1:13" ht="18" customHeight="1">
      <c r="A79" s="7" t="s">
        <v>209</v>
      </c>
    </row>
    <row r="80" spans="1:13" ht="18" customHeight="1">
      <c r="A80" s="85" t="s">
        <v>442</v>
      </c>
      <c r="B80" s="85"/>
      <c r="C80" s="85"/>
      <c r="D80" s="85"/>
      <c r="E80" s="83">
        <f>_xlfn.IFNA(VLOOKUP(封面!B1,'2021决算导出'!A:Y,25,FALSE),"")</f>
        <v>24058</v>
      </c>
      <c r="F80" s="83"/>
      <c r="G80" s="7" t="s">
        <v>179</v>
      </c>
      <c r="H80" s="86" t="s">
        <v>422</v>
      </c>
      <c r="I80" s="86"/>
      <c r="J80" s="83">
        <f>_xlfn.IFNA(VLOOKUP(封面!B1,'2021决算导出'!A:Z,26,FALSE),"")</f>
        <v>34990</v>
      </c>
      <c r="K80" s="83"/>
      <c r="L80" s="11" t="s">
        <v>178</v>
      </c>
    </row>
    <row r="81" spans="1:13" ht="18" customHeight="1">
      <c r="B81" s="15" t="str">
        <f>IF(E80&gt;J80,"增加","减少")</f>
        <v>减少</v>
      </c>
      <c r="C81" s="83">
        <f>ABS(E80-J80)</f>
        <v>10932</v>
      </c>
      <c r="D81" s="83"/>
      <c r="E81" s="7" t="s">
        <v>179</v>
      </c>
      <c r="F81" s="15" t="str">
        <f>IF(E80&gt;J80,"增长","下降")</f>
        <v>下降</v>
      </c>
      <c r="G81" s="34">
        <f>IF(J80=0,IF(E80&gt;0,1,""),C81/J80)</f>
        <v>0.3124321234638468</v>
      </c>
      <c r="H81" s="7" t="s">
        <v>316</v>
      </c>
      <c r="I81" s="11" t="s">
        <v>205</v>
      </c>
    </row>
    <row r="82" spans="1:13" ht="18" customHeight="1">
      <c r="A82" s="87" t="s">
        <v>443</v>
      </c>
      <c r="B82" s="87"/>
      <c r="C82" s="87"/>
      <c r="D82" s="87"/>
      <c r="E82" s="83">
        <f>E80</f>
        <v>24058</v>
      </c>
      <c r="F82" s="83"/>
      <c r="G82" s="7" t="s">
        <v>179</v>
      </c>
      <c r="H82" s="86" t="s">
        <v>422</v>
      </c>
      <c r="I82" s="86"/>
      <c r="J82" s="83">
        <f>J80</f>
        <v>34990</v>
      </c>
      <c r="K82" s="83"/>
      <c r="L82" s="11" t="s">
        <v>178</v>
      </c>
    </row>
    <row r="83" spans="1:13" ht="18" customHeight="1">
      <c r="A83" s="15"/>
      <c r="B83" s="15" t="str">
        <f>B81</f>
        <v>减少</v>
      </c>
      <c r="C83" s="83">
        <f>C81</f>
        <v>10932</v>
      </c>
      <c r="D83" s="83"/>
      <c r="E83" s="7" t="s">
        <v>179</v>
      </c>
      <c r="F83" s="15" t="str">
        <f>F81</f>
        <v>下降</v>
      </c>
      <c r="G83" s="34">
        <f>IF(J82=0,IF(E82&gt;0,1,""),C83/J82)</f>
        <v>0.3124321234638468</v>
      </c>
      <c r="H83" s="7" t="s">
        <v>316</v>
      </c>
    </row>
    <row r="84" spans="1:13" ht="36" customHeight="1">
      <c r="B84" s="84" t="s">
        <v>485</v>
      </c>
      <c r="C84" s="84"/>
      <c r="D84" s="84"/>
      <c r="E84" s="84"/>
      <c r="F84" s="84"/>
      <c r="G84" s="84"/>
      <c r="H84" s="84"/>
      <c r="I84" s="84"/>
      <c r="J84" s="84"/>
      <c r="K84" s="84"/>
      <c r="L84" s="84"/>
    </row>
    <row r="85" spans="1:13" ht="18" customHeight="1">
      <c r="A85" s="6" t="s">
        <v>210</v>
      </c>
    </row>
    <row r="86" spans="1:13" ht="18" customHeight="1">
      <c r="A86" s="7" t="s">
        <v>211</v>
      </c>
    </row>
    <row r="87" spans="1:13" ht="18" customHeight="1">
      <c r="A87" s="6" t="s">
        <v>212</v>
      </c>
    </row>
    <row r="88" spans="1:13" ht="18" customHeight="1">
      <c r="A88" s="7" t="s">
        <v>444</v>
      </c>
      <c r="G88" s="83">
        <f>_xlfn.IFNA(VLOOKUP(封面!B1,'2021决算导出'!A:AA,27,FALSE),"")</f>
        <v>42564680.149999999</v>
      </c>
      <c r="H88" s="83"/>
      <c r="I88" s="11" t="s">
        <v>179</v>
      </c>
    </row>
    <row r="89" spans="1:13" ht="130.15" customHeight="1">
      <c r="A89" s="84" t="s">
        <v>213</v>
      </c>
      <c r="B89" s="84"/>
      <c r="C89" s="84"/>
      <c r="D89" s="84"/>
      <c r="E89" s="84"/>
      <c r="F89" s="84"/>
      <c r="G89" s="84"/>
      <c r="H89" s="84"/>
      <c r="I89" s="84"/>
      <c r="J89" s="84"/>
      <c r="K89" s="84"/>
      <c r="L89" s="84"/>
      <c r="M89" s="84"/>
    </row>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sheetData>
  <mergeCells count="158">
    <mergeCell ref="C54:D54"/>
    <mergeCell ref="A55:D55"/>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A31:C31"/>
    <mergeCell ref="D31:E31"/>
    <mergeCell ref="G31:H31"/>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C44:D44"/>
    <mergeCell ref="A45:D45"/>
    <mergeCell ref="E45:F45"/>
    <mergeCell ref="H45:I45"/>
    <mergeCell ref="J45:K45"/>
    <mergeCell ref="C42:D42"/>
    <mergeCell ref="A43:D43"/>
    <mergeCell ref="E43:F43"/>
    <mergeCell ref="H43:I43"/>
    <mergeCell ref="J43:K43"/>
    <mergeCell ref="C48:D48"/>
    <mergeCell ref="B49:L49"/>
    <mergeCell ref="A50:D50"/>
    <mergeCell ref="E50:F50"/>
    <mergeCell ref="C46:D46"/>
    <mergeCell ref="A47:D47"/>
    <mergeCell ref="E47:F47"/>
    <mergeCell ref="H47:I47"/>
    <mergeCell ref="J47:K47"/>
    <mergeCell ref="H50:K50"/>
    <mergeCell ref="A51:D51"/>
    <mergeCell ref="E51:F51"/>
    <mergeCell ref="H51:K51"/>
    <mergeCell ref="A65:D65"/>
    <mergeCell ref="E65:F65"/>
    <mergeCell ref="A67:D67"/>
    <mergeCell ref="E67:F67"/>
    <mergeCell ref="A62:D62"/>
    <mergeCell ref="E62:F62"/>
    <mergeCell ref="H62:I62"/>
    <mergeCell ref="J62:K62"/>
    <mergeCell ref="C63:D63"/>
    <mergeCell ref="B64:L64"/>
    <mergeCell ref="H65:I65"/>
    <mergeCell ref="J65:K65"/>
    <mergeCell ref="H52:K52"/>
    <mergeCell ref="A53:D53"/>
    <mergeCell ref="E53:F53"/>
    <mergeCell ref="H53:I53"/>
    <mergeCell ref="J53:K53"/>
    <mergeCell ref="A52:D52"/>
    <mergeCell ref="E52:F52"/>
    <mergeCell ref="A58:D58"/>
    <mergeCell ref="E58:F58"/>
    <mergeCell ref="C72:D72"/>
    <mergeCell ref="A69:D69"/>
    <mergeCell ref="E69:F69"/>
    <mergeCell ref="H69:I69"/>
    <mergeCell ref="J69:K69"/>
    <mergeCell ref="C83:D83"/>
    <mergeCell ref="B84:L84"/>
    <mergeCell ref="E55:F55"/>
    <mergeCell ref="H55:I55"/>
    <mergeCell ref="J55:K55"/>
    <mergeCell ref="C56:D56"/>
    <mergeCell ref="C68:D68"/>
    <mergeCell ref="C66:D66"/>
    <mergeCell ref="H67:I67"/>
    <mergeCell ref="J67:K67"/>
    <mergeCell ref="B59:L59"/>
    <mergeCell ref="A60:D60"/>
    <mergeCell ref="E60:F60"/>
    <mergeCell ref="H60:I60"/>
    <mergeCell ref="J60:K60"/>
    <mergeCell ref="C61:D61"/>
    <mergeCell ref="B57:L57"/>
    <mergeCell ref="H58:I58"/>
    <mergeCell ref="J58:K58"/>
    <mergeCell ref="G88:H88"/>
    <mergeCell ref="A89:M89"/>
    <mergeCell ref="A4:M4"/>
    <mergeCell ref="A80:D80"/>
    <mergeCell ref="E80:F80"/>
    <mergeCell ref="H80:I80"/>
    <mergeCell ref="J80:K80"/>
    <mergeCell ref="C81:D81"/>
    <mergeCell ref="A82:D82"/>
    <mergeCell ref="E82:F82"/>
    <mergeCell ref="H82:I82"/>
    <mergeCell ref="J82:K82"/>
    <mergeCell ref="B73:L73"/>
    <mergeCell ref="A77:E77"/>
    <mergeCell ref="F77:G77"/>
    <mergeCell ref="I77:M77"/>
    <mergeCell ref="A78:C78"/>
    <mergeCell ref="D78:E78"/>
    <mergeCell ref="G78:H78"/>
    <mergeCell ref="C70:D70"/>
    <mergeCell ref="A71:D71"/>
    <mergeCell ref="E71:F71"/>
    <mergeCell ref="H71:I71"/>
    <mergeCell ref="J71:K7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249C7-C812-428A-BDAF-EEE2BAEBE3D5}">
  <dimension ref="A1:N35"/>
  <sheetViews>
    <sheetView tabSelected="1" workbookViewId="0">
      <selection activeCell="E26" sqref="E26:F26"/>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445</v>
      </c>
      <c r="F4" s="83">
        <f>_xlfn.IFNA(VLOOKUP(封面!B1,'2021决算导出'!A:AB,28,FALSE),"")</f>
        <v>24682.73</v>
      </c>
      <c r="G4" s="83"/>
      <c r="H4" s="7" t="s">
        <v>179</v>
      </c>
      <c r="I4" s="7" t="s">
        <v>446</v>
      </c>
    </row>
    <row r="5" spans="1:14" ht="18" customHeight="1">
      <c r="A5" s="91">
        <f>_xlfn.IFNA(VLOOKUP(封面!B1,'2021决算导出'!A:AC,29,FALSE),"")</f>
        <v>27000</v>
      </c>
      <c r="B5" s="91"/>
      <c r="C5" s="7" t="s">
        <v>178</v>
      </c>
      <c r="D5" s="30" t="str">
        <f>IF(F4&gt;A5,"增加","减少")</f>
        <v>减少</v>
      </c>
      <c r="E5" s="91">
        <f>ABS(F4-A5)</f>
        <v>2317.2700000000004</v>
      </c>
      <c r="F5" s="91"/>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2" t="s">
        <v>448</v>
      </c>
      <c r="B9" s="92"/>
      <c r="C9" s="92"/>
      <c r="D9" s="92"/>
      <c r="E9" s="92"/>
      <c r="F9" s="92"/>
      <c r="G9" s="92"/>
      <c r="H9" s="92"/>
      <c r="I9" s="92"/>
      <c r="J9" s="92"/>
      <c r="K9" s="92"/>
      <c r="L9" s="92"/>
      <c r="M9" s="92"/>
      <c r="N9" s="92"/>
    </row>
    <row r="10" spans="1:14" ht="18" customHeight="1">
      <c r="A10" s="7" t="s">
        <v>219</v>
      </c>
    </row>
    <row r="11" spans="1:14" ht="18" customHeight="1">
      <c r="A11" s="88" t="s">
        <v>449</v>
      </c>
      <c r="B11" s="88"/>
      <c r="C11" s="35">
        <f>_xlfn.IFNA(VLOOKUP(封面!B1,'2021决算导出'!A:AI,35,FALSE),"")</f>
        <v>24682.73</v>
      </c>
      <c r="D11" s="7" t="s">
        <v>179</v>
      </c>
      <c r="E11" s="88" t="s">
        <v>450</v>
      </c>
      <c r="F11" s="88"/>
      <c r="G11" s="88"/>
      <c r="H11" s="91">
        <f>_xlfn.IFNA(VLOOKUP(封面!B1,'2021决算导出'!A:AJ,36,FALSE),"")</f>
        <v>27000</v>
      </c>
      <c r="I11" s="91"/>
      <c r="J11" s="16" t="s">
        <v>178</v>
      </c>
      <c r="K11" s="30" t="str">
        <f>IF(C11&gt;H11,"增加","减少")</f>
        <v>减少</v>
      </c>
      <c r="L11" s="91">
        <f>ABS(C11-H11)</f>
        <v>2317.2700000000004</v>
      </c>
      <c r="M11" s="91"/>
      <c r="N11" s="7" t="s">
        <v>215</v>
      </c>
    </row>
    <row r="12" spans="1:14" ht="18" customHeight="1">
      <c r="A12" s="88" t="s">
        <v>451</v>
      </c>
      <c r="B12" s="88"/>
      <c r="C12" s="88"/>
      <c r="D12" s="88"/>
      <c r="E12" s="88"/>
      <c r="F12" s="91">
        <f>_xlfn.IFNA(VLOOKUP(封面!B1,'2021决算导出'!A:AK,37,FALSE),"")</f>
        <v>0</v>
      </c>
      <c r="G12" s="91"/>
      <c r="H12" s="17" t="s">
        <v>179</v>
      </c>
      <c r="I12" s="88" t="s">
        <v>450</v>
      </c>
      <c r="J12" s="88"/>
      <c r="K12" s="88"/>
      <c r="L12" s="91">
        <f>_xlfn.IFNA(VLOOKUP(封面!B1,'2021决算导出'!A:AL,38,FALSE),"")</f>
        <v>0</v>
      </c>
      <c r="M12" s="91"/>
      <c r="N12" s="7" t="s">
        <v>178</v>
      </c>
    </row>
    <row r="13" spans="1:14" ht="18" customHeight="1">
      <c r="A13" s="15" t="str">
        <f>IF(F12&gt;L12,"增加","减少")</f>
        <v>减少</v>
      </c>
      <c r="B13" s="91">
        <f>ABS(F12-L12)</f>
        <v>0</v>
      </c>
      <c r="C13" s="91"/>
      <c r="D13" s="7" t="s">
        <v>215</v>
      </c>
      <c r="H13" s="91"/>
      <c r="I13" s="91"/>
      <c r="J13" s="16"/>
    </row>
    <row r="14" spans="1:14" ht="18" customHeight="1">
      <c r="A14" s="88" t="s">
        <v>452</v>
      </c>
      <c r="B14" s="88"/>
      <c r="C14" s="88"/>
      <c r="D14" s="8">
        <f>_xlfn.IFNA(VLOOKUP(封面!B1,'2021决算导出'!A:AM,39,FALSE),"")</f>
        <v>0</v>
      </c>
      <c r="E14" s="7" t="s">
        <v>220</v>
      </c>
      <c r="F14" s="88" t="s">
        <v>221</v>
      </c>
      <c r="G14" s="88"/>
      <c r="H14" s="91">
        <f>IF(D14=0,0,F12/D14)</f>
        <v>0</v>
      </c>
      <c r="I14" s="91"/>
      <c r="J14" s="7" t="s">
        <v>215</v>
      </c>
    </row>
    <row r="15" spans="1:14" ht="18" customHeight="1">
      <c r="A15" s="86" t="s">
        <v>453</v>
      </c>
      <c r="B15" s="86"/>
      <c r="C15" s="86"/>
      <c r="D15" s="86"/>
      <c r="E15" s="86"/>
      <c r="F15" s="91">
        <f>_xlfn.IFNA(VLOOKUP(封面!B1,'2021决算导出'!A:AO,41,FALSE),"")</f>
        <v>24682.73</v>
      </c>
      <c r="G15" s="91" t="s">
        <v>179</v>
      </c>
      <c r="H15" s="7" t="s">
        <v>179</v>
      </c>
      <c r="I15" s="7" t="s">
        <v>450</v>
      </c>
      <c r="L15" s="91">
        <f>_xlfn.IFNA(VLOOKUP(封面!B1,'2021决算导出'!A:AP,42,FALSE),"")</f>
        <v>27000</v>
      </c>
      <c r="M15" s="91" t="s">
        <v>179</v>
      </c>
      <c r="N15" s="7" t="s">
        <v>179</v>
      </c>
    </row>
    <row r="16" spans="1:14" ht="18" customHeight="1">
      <c r="A16" s="15" t="str">
        <f>IF(F15&gt;L15,"增加","减少")</f>
        <v>减少</v>
      </c>
      <c r="B16" s="91">
        <f>ABS(F15-L15)</f>
        <v>2317.2700000000004</v>
      </c>
      <c r="C16" s="91"/>
      <c r="D16" s="7" t="s">
        <v>215</v>
      </c>
    </row>
    <row r="17" spans="1:14" ht="36" customHeight="1">
      <c r="A17" s="84" t="s">
        <v>222</v>
      </c>
      <c r="B17" s="84"/>
      <c r="C17" s="84"/>
      <c r="D17" s="84"/>
      <c r="E17" s="84"/>
      <c r="F17" s="84"/>
      <c r="G17" s="84"/>
      <c r="H17" s="84"/>
      <c r="I17" s="84"/>
      <c r="J17" s="84"/>
      <c r="K17" s="84"/>
      <c r="L17" s="84"/>
      <c r="M17" s="84"/>
      <c r="N17" s="84"/>
    </row>
    <row r="18" spans="1:14" ht="18" customHeight="1">
      <c r="A18" s="88" t="s">
        <v>454</v>
      </c>
      <c r="B18" s="88"/>
      <c r="C18" s="88"/>
      <c r="D18" s="88"/>
      <c r="E18" s="88"/>
      <c r="F18" s="88"/>
      <c r="G18" s="91">
        <f>_xlfn.IFNA(VLOOKUP(封面!B1,'2021决算导出'!A:AQ,43,FALSE),"")</f>
        <v>19000</v>
      </c>
      <c r="H18" s="91" t="s">
        <v>179</v>
      </c>
      <c r="I18" s="7" t="s">
        <v>179</v>
      </c>
      <c r="J18" s="7" t="s">
        <v>223</v>
      </c>
      <c r="L18" s="91">
        <f>_xlfn.IFNA(VLOOKUP(封面!B1,'2021决算导出'!A:AR,44,FALSE),"")</f>
        <v>1198.5</v>
      </c>
      <c r="M18" s="91" t="s">
        <v>179</v>
      </c>
      <c r="N18" s="7" t="s">
        <v>179</v>
      </c>
    </row>
    <row r="19" spans="1:14" ht="18" customHeight="1">
      <c r="A19" s="88" t="s">
        <v>224</v>
      </c>
      <c r="B19" s="88"/>
      <c r="C19" s="91">
        <f>_xlfn.IFNA(VLOOKUP(封面!B1,'2021决算导出'!A:AS,45,FALSE),"")</f>
        <v>4484.2299999999996</v>
      </c>
      <c r="D19" s="91" t="s">
        <v>179</v>
      </c>
      <c r="E19" s="7" t="s">
        <v>179</v>
      </c>
      <c r="F19" s="88" t="s">
        <v>225</v>
      </c>
      <c r="G19" s="88"/>
      <c r="H19" s="88"/>
      <c r="I19" s="91">
        <f>_xlfn.IFNA(VLOOKUP(封面!B1,'2021决算导出'!A:AT,46,FALSE),"")</f>
        <v>0</v>
      </c>
      <c r="J19" s="91" t="s">
        <v>179</v>
      </c>
      <c r="K19" s="7" t="s">
        <v>215</v>
      </c>
    </row>
    <row r="20" spans="1:14" ht="18" customHeight="1">
      <c r="A20" s="88" t="s">
        <v>455</v>
      </c>
      <c r="B20" s="88"/>
      <c r="C20" s="88"/>
      <c r="D20" s="8">
        <f>_xlfn.IFNA(VLOOKUP(封面!B1,'2021决算导出'!A:AU,47,FALSE),"")</f>
        <v>1</v>
      </c>
      <c r="E20" s="85" t="s">
        <v>407</v>
      </c>
      <c r="F20" s="85"/>
      <c r="G20" s="85"/>
      <c r="H20" s="85"/>
      <c r="I20" s="85"/>
      <c r="J20" s="85"/>
      <c r="K20" s="85"/>
      <c r="L20" s="85"/>
      <c r="M20" s="54">
        <f>F15/D20</f>
        <v>24682.73</v>
      </c>
      <c r="N20" s="7" t="s">
        <v>215</v>
      </c>
    </row>
    <row r="21" spans="1:14" ht="18" customHeight="1">
      <c r="A21" s="6" t="s">
        <v>226</v>
      </c>
    </row>
    <row r="22" spans="1:14" ht="18" customHeight="1">
      <c r="A22" s="7" t="s">
        <v>227</v>
      </c>
    </row>
    <row r="23" spans="1:14" ht="18" customHeight="1">
      <c r="A23" s="6" t="s">
        <v>228</v>
      </c>
    </row>
    <row r="24" spans="1:14" ht="18" customHeight="1">
      <c r="A24" s="88" t="s">
        <v>456</v>
      </c>
      <c r="B24" s="88"/>
      <c r="C24" s="88"/>
      <c r="D24" s="88"/>
      <c r="E24" s="83">
        <f>_xlfn.IFNA(VLOOKUP(封面!B1,'2021决算导出'!A:AW,49,FALSE),"")</f>
        <v>285000</v>
      </c>
      <c r="F24" s="83"/>
      <c r="G24" s="7" t="s">
        <v>179</v>
      </c>
      <c r="H24" s="88" t="s">
        <v>229</v>
      </c>
      <c r="I24" s="88"/>
      <c r="J24" s="88"/>
      <c r="K24" s="88"/>
      <c r="L24" s="83">
        <f>_xlfn.IFNA(VLOOKUP(封面!B1,'2021决算导出'!A:AX,50,FALSE),"")</f>
        <v>0</v>
      </c>
      <c r="M24" s="83" t="s">
        <v>179</v>
      </c>
      <c r="N24" s="7" t="s">
        <v>179</v>
      </c>
    </row>
    <row r="25" spans="1:14" ht="18" customHeight="1">
      <c r="A25" s="88" t="s">
        <v>230</v>
      </c>
      <c r="B25" s="88"/>
      <c r="C25" s="88"/>
      <c r="D25" s="83">
        <f>_xlfn.IFNA(VLOOKUP(封面!B1,'2021决算导出'!A:AY,51,FALSE),"")</f>
        <v>0</v>
      </c>
      <c r="E25" s="83" t="s">
        <v>179</v>
      </c>
      <c r="F25" s="7" t="s">
        <v>179</v>
      </c>
      <c r="G25" s="88" t="s">
        <v>231</v>
      </c>
      <c r="H25" s="88"/>
      <c r="I25" s="88"/>
      <c r="J25" s="83">
        <f>_xlfn.IFNA(VLOOKUP(封面!B1,'2021决算导出'!A:AZ,52,FALSE),"")</f>
        <v>285000</v>
      </c>
      <c r="K25" s="83" t="s">
        <v>179</v>
      </c>
      <c r="L25" s="7" t="s">
        <v>215</v>
      </c>
    </row>
    <row r="26" spans="1:14" ht="18" customHeight="1">
      <c r="A26" s="88" t="s">
        <v>232</v>
      </c>
      <c r="B26" s="88"/>
      <c r="C26" s="88"/>
      <c r="D26" s="88"/>
      <c r="E26" s="83">
        <f>_xlfn.IFNA(VLOOKUP(封面!B1,'2021决算导出'!A:BA,53,FALSE),"")</f>
        <v>0</v>
      </c>
      <c r="F26" s="83" t="s">
        <v>179</v>
      </c>
      <c r="G26" s="7" t="s">
        <v>179</v>
      </c>
      <c r="H26" s="86" t="s">
        <v>233</v>
      </c>
      <c r="I26" s="86"/>
      <c r="J26" s="86"/>
      <c r="K26" s="29">
        <f>E26/$E$24</f>
        <v>0</v>
      </c>
      <c r="L26" s="18" t="s">
        <v>314</v>
      </c>
      <c r="M26" s="7" t="s">
        <v>408</v>
      </c>
    </row>
    <row r="27" spans="1:14" ht="18" customHeight="1">
      <c r="A27" s="88" t="s">
        <v>234</v>
      </c>
      <c r="B27" s="88"/>
      <c r="C27" s="88"/>
      <c r="D27" s="88"/>
      <c r="E27" s="83">
        <f>_xlfn.IFNA(VLOOKUP(封面!B1,'2021决算导出'!A:BB,54,FALSE),"")</f>
        <v>0</v>
      </c>
      <c r="F27" s="83" t="s">
        <v>179</v>
      </c>
      <c r="G27" s="7" t="s">
        <v>179</v>
      </c>
      <c r="H27" s="86" t="s">
        <v>233</v>
      </c>
      <c r="I27" s="86"/>
      <c r="J27" s="86"/>
      <c r="K27" s="29">
        <f>E27/$E$24</f>
        <v>0</v>
      </c>
      <c r="L27" s="18" t="s">
        <v>316</v>
      </c>
    </row>
    <row r="28" spans="1:14" ht="18" customHeight="1">
      <c r="A28" s="6" t="s">
        <v>235</v>
      </c>
    </row>
    <row r="29" spans="1:14" ht="18" customHeight="1">
      <c r="A29" s="88" t="s">
        <v>457</v>
      </c>
      <c r="B29" s="88"/>
      <c r="C29" s="8">
        <f>_xlfn.IFNA(VLOOKUP(封面!B1,'2021决算导出'!A:BC,55,FALSE),"")</f>
        <v>1</v>
      </c>
      <c r="D29" s="7" t="s">
        <v>236</v>
      </c>
      <c r="M29" s="91">
        <f>_xlfn.IFNA(VLOOKUP(封面!B1,'2021决算导出'!A:BD,56,FALSE),"")</f>
        <v>169582.99</v>
      </c>
      <c r="N29" s="91" t="s">
        <v>179</v>
      </c>
    </row>
    <row r="30" spans="1:14" ht="18" customHeight="1">
      <c r="A30" s="12" t="s">
        <v>237</v>
      </c>
      <c r="B30" s="88" t="s">
        <v>238</v>
      </c>
      <c r="C30" s="88"/>
      <c r="D30" s="88"/>
      <c r="E30" s="88"/>
      <c r="F30" s="88"/>
      <c r="G30" s="8">
        <f>_xlfn.IFNA(VLOOKUP(封面!B1,'2021决算导出'!A:BE,57,FALSE),"")</f>
        <v>1</v>
      </c>
      <c r="H30" s="7" t="s">
        <v>239</v>
      </c>
      <c r="J30" s="7" t="s">
        <v>240</v>
      </c>
    </row>
    <row r="31" spans="1:14" ht="18" customHeight="1">
      <c r="A31" s="12">
        <f>_xlfn.IFNA(VLOOKUP(封面!B1,'2021决算导出'!A:BF,58,FALSE),"")</f>
        <v>0</v>
      </c>
      <c r="B31" s="7" t="s">
        <v>241</v>
      </c>
    </row>
    <row r="32" spans="1:14" ht="18" customHeight="1">
      <c r="A32" s="6" t="s">
        <v>242</v>
      </c>
    </row>
    <row r="33" spans="1:14" ht="18" customHeight="1">
      <c r="A33" s="7" t="s">
        <v>243</v>
      </c>
    </row>
    <row r="34" spans="1:14" ht="18" customHeight="1">
      <c r="A34" s="6" t="s">
        <v>244</v>
      </c>
    </row>
    <row r="35" spans="1:14" ht="375.6" customHeight="1">
      <c r="A35" s="84" t="s">
        <v>474</v>
      </c>
      <c r="B35" s="84"/>
      <c r="C35" s="84"/>
      <c r="D35" s="84"/>
      <c r="E35" s="84"/>
      <c r="F35" s="84"/>
      <c r="G35" s="84"/>
      <c r="H35" s="84"/>
      <c r="I35" s="84"/>
      <c r="J35" s="84"/>
      <c r="K35" s="84"/>
      <c r="L35" s="84"/>
      <c r="M35" s="84"/>
      <c r="N35" s="84"/>
    </row>
  </sheetData>
  <mergeCells count="50">
    <mergeCell ref="F14:G14"/>
    <mergeCell ref="A15:E15"/>
    <mergeCell ref="A9:N9"/>
    <mergeCell ref="A11:B11"/>
    <mergeCell ref="E11:G11"/>
    <mergeCell ref="H11:I11"/>
    <mergeCell ref="L11:M11"/>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A14:C14"/>
    <mergeCell ref="G18:H18"/>
    <mergeCell ref="L18:M18"/>
    <mergeCell ref="C19:D19"/>
    <mergeCell ref="I19:J19"/>
    <mergeCell ref="A18:F18"/>
    <mergeCell ref="A19:B19"/>
    <mergeCell ref="F19:H19"/>
    <mergeCell ref="A20:C20"/>
    <mergeCell ref="E20:L20"/>
    <mergeCell ref="A24:D24"/>
    <mergeCell ref="E24:F24"/>
    <mergeCell ref="H24:K24"/>
    <mergeCell ref="L24:M24"/>
    <mergeCell ref="A25:C25"/>
    <mergeCell ref="D25:E25"/>
    <mergeCell ref="G25:I25"/>
    <mergeCell ref="J25:K25"/>
    <mergeCell ref="A29:B29"/>
    <mergeCell ref="M29:N29"/>
    <mergeCell ref="B30:F30"/>
    <mergeCell ref="A35:N35"/>
    <mergeCell ref="A26:D26"/>
    <mergeCell ref="E26:F26"/>
    <mergeCell ref="H26:J26"/>
    <mergeCell ref="A27:D27"/>
    <mergeCell ref="E27:F27"/>
    <mergeCell ref="H27:J27"/>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0E399-9A35-4F04-9B77-69D567DBBFF4}">
  <dimension ref="A10:N11"/>
  <sheetViews>
    <sheetView zoomScale="90" zoomScaleNormal="90" workbookViewId="0">
      <selection activeCell="A10" sqref="A10:N10"/>
    </sheetView>
  </sheetViews>
  <sheetFormatPr defaultRowHeight="14.25"/>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C4BEC-2CC3-4109-B995-FDA75E71AD7F}">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79D89-F3DD-419B-BF31-55136D48D4C9}">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C30D-8A37-497E-9CCC-8AB24FFD3851}">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86137</cp:lastModifiedBy>
  <cp:lastPrinted>2022-08-25T04:56:47Z</cp:lastPrinted>
  <dcterms:created xsi:type="dcterms:W3CDTF">2021-08-26T09:47:38Z</dcterms:created>
  <dcterms:modified xsi:type="dcterms:W3CDTF">2022-09-01T01:11:09Z</dcterms:modified>
</cp:coreProperties>
</file>