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8" i="5"/>
  <c r="E48"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<sst xmlns="http://schemas.openxmlformats.org/spreadsheetml/2006/main" count="4852" uniqueCount="483">
  <si>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</si>
  <si>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</si>
  <si>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</si>
  <si>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</si>
  <si>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</si>
  <si>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</si>
  <si>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</si>
  <si>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</si>
  <si>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</si>
  <si>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</si>
  <si>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</si>
  <si>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</si>
  <si>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</si>
  <si>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</si>
  <si>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</si>
  <si>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</si>
  <si>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</si>
  <si>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</si>
  <si>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</si>
  <si>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</si>
  <si>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</si>
  <si>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</si>
  <si>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</si>
  <si>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</si>
  <si>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</si>
  <si>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</si>
  <si>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</si>
  <si>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</si>
  <si>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</si>
  <si>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</si>
  <si>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</si>
  <si>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</si>
  <si>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</si>
  <si>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</si>
  <si>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</si>
  <si>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</si>
  <si>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</si>
  <si>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</si>
  <si>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</si>
  <si>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</si>
  <si>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</si>
  <si>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</si>
  <si>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</si>
  <si>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</si>
  <si>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</si>
  <si>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</si>
  <si>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</si>
  <si>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</si>
  <si>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</si>
  <si>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</si>
  <si>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</si>
  <si>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</si>
  <si>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</si>
  <si>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</si>
  <si>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</si>
  <si>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</si>
  <si>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</si>
  <si>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</si>
  <si>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</si>
  <si>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</si>
  <si>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</si>
  <si>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</si>
  <si>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</si>
  <si>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</si>
  <si>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</si>
  <si>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</si>
  <si>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</si>
  <si>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</si>
  <si>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</si>
  <si>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</si>
  <si>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</si>
  <si>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</si>
  <si>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</si>
  <si>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</si>
  <si>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</si>
  <si>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</si>
  <si>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</si>
  <si>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</si>
  <si>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</si>
  <si>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</si>
  <si>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</si>
  <si>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</si>
  <si>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</si>
  <si>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</si>
  <si>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</si>
  <si>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</si>
  <si>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</si>
  <si>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</si>
  <si>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</si>
  <si>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</si>
  <si>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</si>
  <si>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</si>
  <si>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</si>
  <si>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</si>
  <si>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</si>
  <si>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</si>
  <si>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</si>
  <si>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</si>
  <si>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</si>
  <si>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</si>
  <si>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</si>
  <si>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</si>
  <si>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</si>
  <si>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</si>
  <si>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</si>
  <si>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</si>
  <si>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</si>
  <si>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</si>
  <si>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</si>
  <si>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</si>
  <si>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</si>
  <si>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</si>
  <si>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</si>
  <si>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</si>
  <si>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</si>
  <si>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</si>
  <si>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</si>
  <si>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</si>
  <si>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</si>
  <si>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</si>
  <si>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</si>
  <si>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</si>
  <si>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</si>
  <si>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</si>
  <si>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</si>
  <si>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</si>
  <si>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</si>
  <si>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</si>
  <si>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</si>
  <si>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</si>
  <si>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</si>
  <si>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</si>
  <si>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</si>
  <si>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</si>
  <si>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</si>
  <si>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</si>
  <si>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</si>
  <si>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</si>
  <si>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</si>
  <si>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</si>
  <si>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</si>
  <si>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</si>
  <si>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</si>
  <si>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</si>
  <si>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</si>
  <si>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</si>
  <si>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</si>
  <si>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</si>
  <si>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</si>
  <si>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</si>
  <si>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</si>
  <si>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</si>
  <si>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</si>
  <si>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</si>
  <si>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</si>
  <si>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</si>
  <si>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</si>
  <si>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</si>
  <si>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</si>
  <si>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</si>
  <si>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</si>
  <si>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</si>
  <si>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</si>
  <si>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</si>
  <si>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</si>
  <si>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</si>
  <si>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</si>
  <si>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</si>
  <si>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</si>
  <si>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</si>
  <si>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</si>
  <si>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</si>
  <si>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</si>
  <si>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</si>
  <si>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</si>
  <si>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</si>
  <si>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</si>
  <si>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</si>
  <si>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</si>
  <si>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</si>
  <si>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</si>
  <si>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</si>
  <si>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</si>
  <si>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</si>
  <si>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</si>
  <si>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</si>
  <si>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</si>
  <si>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</si>
  <si>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</si>
  <si>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</si>
  <si>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</si>
  <si>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</si>
  <si>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</si>
  <si>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</si>
  <si>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</si>
  <si>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</si>
  <si>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</si>
  <si>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</si>
  <si>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</si>
  <si>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</si>
  <si>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</si>
  <si>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</si>
  <si>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</si>
  <si>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</si>
  <si>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</si>
  <si>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</si>
  <si>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</si>
  <si>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</si>
  <si>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</si>
  <si>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</si>
  <si>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</si>
  <si>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</si>
  <si>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</si>
  <si>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</si>
  <si>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</si>
  <si>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</si>
  <si>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</si>
  <si>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</si>
  <si>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</si>
  <si>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</si>
  <si>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</si>
  <si>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</si>
  <si>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</si>
  <si>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</si>
  <si>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</si>
  <si>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</si>
  <si>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</si>
  <si>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</si>
  <si>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</si>
  <si>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</si>
  <si>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</si>
  <si>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</si>
  <si>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</si>
  <si>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</si>
  <si>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</si>
  <si>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</si>
  <si>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</si>
  <si>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</si>
  <si>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</si>
  <si>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</si>
  <si>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</si>
  <si>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</si>
  <si>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</si>
  <si>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</si>
  <si>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</si>
  <si>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</si>
  <si>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</si>
  <si>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</si>
  <si>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</si>
  <si>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</si>
  <si>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</si>
  <si>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</si>
  <si>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</si>
  <si>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</si>
  <si>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</si>
  <si>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</si>
  <si>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</si>
  <si>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</si>
  <si>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</si>
  <si>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</si>
  <si>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</si>
  <si>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</si>
  <si>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</si>
  <si>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</si>
  <si>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</si>
  <si>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</si>
  <si>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</si>
  <si>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</si>
  <si>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</si>
  <si>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</si>
  <si>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</si>
  <si>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</si>
  <si>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</si>
  <si>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</si>
  <si>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</si>
  <si>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</si>
  <si>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</si>
  <si>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</si>
  <si>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</si>
  <si>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</si>
  <si>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</si>
  <si>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</si>
  <si>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</si>
  <si>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</si>
  <si>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</si>
  <si>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</si>
  <si>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</si>
  <si>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</si>
  <si>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</si>
  <si>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</si>
  <si>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</si>
  <si>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</si>
  <si>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</si>
  <si>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</si>
  <si>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</si>
  <si>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</si>
  <si>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</si>
  <si>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</si>
  <si>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</si>
  <si>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</si>
  <si>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</si>
  <si>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</si>
  <si>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</si>
  <si>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</si>
  <si>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</si>
  <si>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</si>
  <si>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</si>
  <si>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</si>
  <si>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</si>
  <si>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</si>
  <si>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</si>
  <si>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</si>
  <si>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</si>
  <si>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</si>
  <si>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</si>
  <si>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</si>
  <si>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</si>
  <si>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</si>
  <si>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</si>
  <si>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</si>
  <si>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</si>
  <si>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</si>
  <si>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</si>
  <si>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</si>
  <si>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</si>
  <si>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</si>
  <si>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</si>
  <si>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</si>
  <si>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</si>
  <si>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</si>
  <si>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</si>
  <si>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</si>
  <si>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</si>
  <si>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</si>
  <si>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</si>
  <si>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</si>
  <si>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</si>
  <si>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</si>
  <si>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</si>
  <si>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</si>
  <si>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</si>
  <si>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</si>
  <si>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</si>
  <si>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</si>
  <si>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</si>
  <si>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</si>
  <si>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</si>
  <si>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</si>
  <si>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</si>
  <si>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</si>
  <si>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</si>
  <si>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</si>
  <si>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</si>
  <si>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</si>
  <si>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</si>
  <si>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</si>
  <si>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</si>
  <si>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</si>
  <si>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</si>
  <si>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</si>
  <si>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</si>
  <si>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</si>
  <si>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</si>
  <si>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</si>
  <si>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</si>
  <si>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</si>
  <si>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</si>
  <si>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</si>
  <si>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</si>
  <si>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</si>
  <si>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</si>
  <si>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</si>
  <si>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</si>
  <si>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</si>
  <si>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</si>
  <si>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</si>
  <si>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</si>
  <si>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</si>
  <si>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</si>
  <si>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</si>
  <si>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</si>
  <si>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</si>
  <si>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</si>
  <si>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</si>
  <si>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</si>
  <si>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</si>
  <si>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</si>
  <si>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</si>
  <si>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</si>
  <si>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</si>
  <si>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</si>
  <si>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</si>
  <si>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</si>
  <si>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</si>
  <si>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</si>
  <si>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</si>
  <si>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</si>
  <si>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</si>
  <si>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</si>
  <si>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</si>
  <si>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</si>
  <si>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</si>
  <si>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</si>
  <si>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</si>
  <si>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</si>
  <si>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</si>
  <si>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</si>
  <si>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</si>
  <si>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</si>
  <si>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</si>
  <si>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</si>
  <si>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</si>
  <si>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</si>
  <si>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</si>
  <si>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</si>
  <si>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</si>
  <si>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</si>
  <si>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</si>
  <si>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</si>
  <si>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</si>
  <si>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</si>
  <si>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</si>
  <si>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</si>
  <si>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</si>
  <si>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</si>
  <si>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</si>
  <si>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</si>
  <si>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</si>
  <si>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</si>
  <si>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</si>
  <si>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</si>
  <si>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</si>
  <si>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</si>
  <si>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</si>
  <si>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</si>
  <si>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</si>
  <si>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</si>
  <si>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</si>
  <si>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</si>
  <si>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</si>
  <si>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</si>
  <si>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</si>
  <si>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</si>
  <si>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</si>
  <si>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</si>
  <si>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</si>
  <si>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</si>
  <si>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</si>
  <si>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</si>
  <si>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</si>
  <si>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</si>
  <si>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</si>
  <si>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</si>
  <si>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</si>
  <si>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</si>
  <si>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</si>
  <si>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</si>
  <si>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</si>
  <si>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</si>
  <si>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</si>
  <si>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</si>
  <si>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</si>
  <si>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</si>
  <si>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</si>
  <si>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</si>
  <si>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</si>
  <si>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</si>
  <si>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</si>
  <si>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</si>
  <si>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</si>
  <si>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</si>
  <si>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</si>
  <si>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</si>
  <si>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</si>
  <si>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</si>
  <si>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</si>
  <si>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</si>
  <si>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主要原因是运转类、特定目标类项目减少，压缩经费规模。</t>
    <phoneticPr fontId="4" type="noConversion"/>
  </si>
  <si>
    <t>主要原因是疫情影响导致运维成本上升，社会平均工资上升导致用工成本上涨。</t>
    <phoneticPr fontId="4" type="noConversion"/>
  </si>
  <si>
    <t>主要原因是疫情影响规模、次数减少。</t>
    <phoneticPr fontId="4" type="noConversion"/>
  </si>
  <si>
    <t>主要原因是社会平均工资水平提高，用工成本上升。</t>
    <phoneticPr fontId="4" type="noConversion"/>
  </si>
  <si>
    <t>2021年决算数和2021年年初预算数均为0。主要原因是进一步落实中央、北京市的有关厉行节约、压缩财政成本等规定，加强管理，严格控制公务接待规模和标准。</t>
    <phoneticPr fontId="4" type="noConversion"/>
  </si>
  <si>
    <t xml:space="preserve">    北京市第一五九中学是一所百年的名校，在国内外享有良好声誉。在教委的关心、领导下，我校校园环境、教育教学设施均得到不断改善。全校师生以高质量、高标准实施学校发展规划，努力使我校的各项工作质量保持在我区同类校的前列。学校领导高度重视财务工作，学校财务坚持严格遵守财经法规，按财政与教委财务科的要求坚持实事求是，本着统筹兼顾、合理安排；艰苦奋斗、勤俭节约；量入为出、收支平衡的原则，根据党和国家有关方针、政策，积极完成上级下达的年度工作任务。</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</si>
</sst>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5" sqref="E5"/>
    </sheetView>
  </sheetViews>
  <sheetFormatPr defaultRowHeight="13.5"/>
  <cols>
    <col min="1" max="1" width="16.5" customWidth="1"/>
    <col min="2" max="2" width="12.75" bestFit="1" customWidth="1"/>
  </cols>
  <sheetData>
    <row r="1" spans="1:14" ht="37.9" customHeight="1">
      <c r="A1" s="27" t="s">
        <v>0</v>
      </c>
      <c r="B1" s="28">
        <v>255016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北京市第一五九中学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75"/>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81" t="s">
        <v>415</v>
      </c>
      <c r="B10" s="81"/>
      <c r="C10" s="81"/>
      <c r="D10" s="81"/>
      <c r="E10" s="81"/>
      <c r="F10" s="81"/>
      <c r="G10" s="81"/>
      <c r="H10" s="81"/>
      <c r="I10" s="81"/>
      <c r="J10" s="81"/>
      <c r="K10" s="81"/>
      <c r="L10" s="81"/>
      <c r="M10" s="81"/>
      <c r="N10" s="81"/>
    </row>
    <row r="11" spans="1:14" ht="78" customHeight="1">
      <c r="A11" s="82" t="s">
        <v>474</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76" zoomScaleNormal="100" workbookViewId="0">
      <selection activeCell="A4" sqref="A4:M4"/>
    </sheetView>
  </sheetViews>
  <sheetFormatPr defaultRowHeight="13.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113.25" customHeight="1">
      <c r="A4" s="84" t="s">
        <v>482</v>
      </c>
      <c r="B4" s="84"/>
      <c r="C4" s="84"/>
      <c r="D4" s="84"/>
      <c r="E4" s="84"/>
      <c r="F4" s="84"/>
      <c r="G4" s="84"/>
      <c r="H4" s="84"/>
      <c r="I4" s="84"/>
      <c r="J4" s="84"/>
      <c r="K4" s="84"/>
      <c r="L4" s="84"/>
      <c r="M4" s="84"/>
      <c r="N4" s="19"/>
    </row>
    <row r="5" spans="1:14" ht="18" customHeight="1">
      <c r="A5" s="7" t="s">
        <v>176</v>
      </c>
    </row>
    <row r="6" spans="1:14" ht="18" customHeight="1">
      <c r="A6" s="88" t="s">
        <v>245</v>
      </c>
      <c r="B6" s="88"/>
      <c r="C6" s="10">
        <v>162</v>
      </c>
      <c r="D6" s="10" t="s">
        <v>247</v>
      </c>
      <c r="E6" s="8">
        <f>_xlfn.IFNA(VLOOKUP(封面!B1,'2021决算导出'!A:C,3,FALSE),"")</f>
        <v>157</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70198949.209999993</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1779451.5700000077</v>
      </c>
      <c r="I8" s="16" t="s">
        <v>179</v>
      </c>
      <c r="J8" s="30" t="str">
        <f>IF(ISNA(VLOOKUP(封面!B1,'2020决算导出'!A:D,4,FALSE)),"",IF(D8-VLOOKUP(封面!B1,'2020决算导出'!A:D,4,FALSE)&gt;0,"增长","下降"))</f>
        <v>下降</v>
      </c>
      <c r="K8" s="31">
        <f>IF(ISNA(VLOOKUP(封面!B1,'2020决算导出'!A:D,4,FALSE)),"",H8/VLOOKUP(封面!B1,'2020决算导出'!A:D,4,FALSE))</f>
        <v>2.4722021477510351E-2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70148949.209999993</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1578241.3200000077</v>
      </c>
      <c r="I10" s="16" t="s">
        <v>179</v>
      </c>
      <c r="J10" s="30" t="str">
        <f>IF(ISNA(VLOOKUP(封面!B1,'2020决算导出'!A:E,5,FALSE)),"",IF(D10-VLOOKUP(封面!B1,'2020决算导出'!A:E,5,FALSE)&gt;0,"增长","下降"))</f>
        <v>下降</v>
      </c>
      <c r="K10" s="31">
        <f>IF(ISNA(VLOOKUP(封面!B1,'2020决算导出'!A:E,5,FALSE)),"",H10/VLOOKUP(封面!B1,'2020决算导出'!A:E,5,FALSE))</f>
        <v>2.2003389625861701E-2</v>
      </c>
      <c r="L10" s="7" t="s">
        <v>314</v>
      </c>
    </row>
    <row r="11" spans="1:14" ht="18" customHeight="1">
      <c r="A11" s="88" t="s">
        <v>181</v>
      </c>
      <c r="B11" s="88"/>
      <c r="C11" s="88"/>
      <c r="D11" s="14">
        <f>_xlfn.IFNA(VLOOKUP(封面!B1,'2021决算导出'!A:F,6,FALSE),"")</f>
        <v>69878949.209999993</v>
      </c>
      <c r="E11" s="7" t="s">
        <v>179</v>
      </c>
      <c r="F11" s="88" t="s">
        <v>182</v>
      </c>
      <c r="G11" s="88"/>
      <c r="H11" s="29">
        <f>D11/$D$10</f>
        <v>0.99615104712129443</v>
      </c>
      <c r="I11" s="7" t="s">
        <v>315</v>
      </c>
    </row>
    <row r="12" spans="1:14" ht="18" customHeight="1">
      <c r="A12" s="88" t="s">
        <v>184</v>
      </c>
      <c r="B12" s="88"/>
      <c r="C12" s="88"/>
      <c r="D12" s="14">
        <f>_xlfn.IFNA(VLOOKUP(封面!B1,'2021决算导出'!A:G,7,FALSE),"")</f>
        <v>270000</v>
      </c>
      <c r="E12" s="7" t="s">
        <v>179</v>
      </c>
      <c r="F12" s="88" t="s">
        <v>182</v>
      </c>
      <c r="G12" s="88"/>
      <c r="H12" s="29">
        <f t="shared" ref="H12:H15" si="0">D12/$D$10</f>
        <v>3.8489528787055659E-3</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70119358.819999993</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1809041.9600000083</v>
      </c>
      <c r="I17" s="7" t="s">
        <v>179</v>
      </c>
      <c r="J17" s="30" t="str">
        <f>IF(ISNA(VLOOKUP(封面!B1,'2020决算导出'!A:K,11,FALSE)),"",IF(D17-VLOOKUP(封面!B1,'2020决算导出'!A:K,11,FALSE)&gt;0,"增长","下降"))</f>
        <v>下降</v>
      </c>
      <c r="K17" s="31">
        <f>IF(ISNA(VLOOKUP(封面!B1,'2020决算导出'!A:K,11,FALSE)),"",H17/VLOOKUP(封面!B1,'2020决算导出'!A:K,11,FALSE))</f>
        <v>2.5150593373167558E-2</v>
      </c>
      <c r="L17" s="7" t="s">
        <v>317</v>
      </c>
    </row>
    <row r="18" spans="1:13" ht="18" customHeight="1">
      <c r="A18" s="88" t="s">
        <v>189</v>
      </c>
      <c r="B18" s="88"/>
      <c r="C18" s="88"/>
      <c r="D18" s="14">
        <f>_xlfn.IFNA(VLOOKUP(封面!B1,'2021决算导出'!A:L,12,FALSE),"")</f>
        <v>65792674.539999999</v>
      </c>
      <c r="E18" s="7" t="s">
        <v>179</v>
      </c>
      <c r="F18" s="88" t="s">
        <v>190</v>
      </c>
      <c r="G18" s="88"/>
      <c r="H18" s="29">
        <f>D18/$D$17</f>
        <v>0.93829543862335063</v>
      </c>
      <c r="I18" s="7" t="s">
        <v>315</v>
      </c>
    </row>
    <row r="19" spans="1:13" ht="18" customHeight="1">
      <c r="A19" s="88" t="s">
        <v>191</v>
      </c>
      <c r="B19" s="88"/>
      <c r="C19" s="88"/>
      <c r="D19" s="14">
        <f>_xlfn.IFNA(VLOOKUP(封面!B1,'2021决算导出'!A:M,13,FALSE),"")</f>
        <v>4326684.28</v>
      </c>
      <c r="E19" s="7" t="s">
        <v>179</v>
      </c>
      <c r="F19" s="88" t="s">
        <v>190</v>
      </c>
      <c r="G19" s="88"/>
      <c r="H19" s="29">
        <f t="shared" ref="H19:H20" si="1">D19/$D$17</f>
        <v>6.1704561376649515E-2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69928949.209999993</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1803173.9100000113</v>
      </c>
      <c r="J22" s="7" t="s">
        <v>179</v>
      </c>
      <c r="K22" s="30" t="str">
        <f>IF(ISNA(VLOOKUP(封面!B1,'2020决算导出'!A:O,15,FALSE)),"",IF(E22-VLOOKUP(封面!B1,'2020决算导出'!A:O,15,FALSE)&gt;0,"增长","下降"))</f>
        <v>下降</v>
      </c>
      <c r="L22" s="31">
        <f>IF(ISNA(VLOOKUP(封面!B1,'2020决算导出'!A:O,15,FALSE)),"",I22/VLOOKUP(封面!B1,'2020决算导出'!A:O,15,FALSE))</f>
        <v>2.5137606856881937E-2</v>
      </c>
      <c r="M22" s="7" t="s">
        <v>313</v>
      </c>
    </row>
    <row r="23" spans="1:13" ht="63.6" customHeight="1">
      <c r="B23" s="90" t="s">
        <v>477</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69799358.819999993</v>
      </c>
      <c r="G26" s="83"/>
      <c r="H26" s="7" t="s">
        <v>179</v>
      </c>
      <c r="I26" s="10" t="s">
        <v>196</v>
      </c>
      <c r="J26" s="10"/>
      <c r="K26" s="10"/>
      <c r="L26" s="10"/>
      <c r="M26" s="10"/>
    </row>
    <row r="27" spans="1:13" ht="18" customHeight="1">
      <c r="A27" s="88" t="s">
        <v>199</v>
      </c>
      <c r="B27" s="88"/>
      <c r="C27" s="88"/>
      <c r="D27" s="83">
        <f>_xlfn.IFNA(VLOOKUP(封面!B1,'2021决算导出'!A:Q,17,FALSE),"")</f>
        <v>44734103.100000001</v>
      </c>
      <c r="E27" s="83"/>
      <c r="F27" s="7" t="s">
        <v>179</v>
      </c>
      <c r="G27" s="86" t="s">
        <v>198</v>
      </c>
      <c r="H27" s="86"/>
      <c r="I27" s="29">
        <f>D27/$F$26</f>
        <v>0.6408956164677847</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12024612.199999999</v>
      </c>
      <c r="E29" s="83"/>
      <c r="F29" s="7" t="s">
        <v>179</v>
      </c>
      <c r="G29" s="86" t="s">
        <v>198</v>
      </c>
      <c r="H29" s="86"/>
      <c r="I29" s="29">
        <f t="shared" si="2"/>
        <v>0.17227396359054406</v>
      </c>
      <c r="J29" s="7" t="s">
        <v>315</v>
      </c>
    </row>
    <row r="30" spans="1:13" ht="18" customHeight="1">
      <c r="A30" s="88" t="s">
        <v>201</v>
      </c>
      <c r="B30" s="88"/>
      <c r="C30" s="88"/>
      <c r="D30" s="83">
        <f>_xlfn.IFNA(VLOOKUP(封面!B1,'2021决算导出'!A:T,20,FALSE),"")</f>
        <v>5009660.5199999996</v>
      </c>
      <c r="E30" s="83"/>
      <c r="F30" s="7" t="s">
        <v>179</v>
      </c>
      <c r="G30" s="86" t="s">
        <v>198</v>
      </c>
      <c r="H30" s="86"/>
      <c r="I30" s="29">
        <f t="shared" si="2"/>
        <v>7.1772299985147628E-2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8030983</v>
      </c>
      <c r="E32" s="83"/>
      <c r="F32" s="7" t="s">
        <v>179</v>
      </c>
      <c r="G32" s="86" t="s">
        <v>198</v>
      </c>
      <c r="H32" s="86"/>
      <c r="I32" s="29">
        <f t="shared" si="2"/>
        <v>0.11505811995652371</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44734103.100000001</v>
      </c>
      <c r="F34" s="83"/>
      <c r="G34" s="7" t="s">
        <v>179</v>
      </c>
      <c r="H34" s="86" t="s">
        <v>422</v>
      </c>
      <c r="I34" s="86"/>
      <c r="J34" s="83">
        <f>_xlfn.IFNA(VLOOKUP(封面!B1,一般公共预算财政拨款支出决算具体情况!A:D,4,FALSE),"")</f>
        <v>40551820.780000001</v>
      </c>
      <c r="K34" s="83"/>
      <c r="L34" s="11" t="s">
        <v>178</v>
      </c>
    </row>
    <row r="35" spans="1:12" ht="18" customHeight="1">
      <c r="B35" s="15" t="str">
        <f>IF(E34&gt;J34,"增加","减少")</f>
        <v>增加</v>
      </c>
      <c r="C35" s="83">
        <f>ABS(E34-J34)</f>
        <v>4182282.3200000003</v>
      </c>
      <c r="D35" s="83"/>
      <c r="E35" s="7" t="s">
        <v>179</v>
      </c>
      <c r="F35" s="15" t="str">
        <f>IF(E34&gt;J34,"增长","下降")</f>
        <v>增长</v>
      </c>
      <c r="G35" s="34">
        <f>IF(J34=0,IF(E34&gt;0,1,""),C35/J34)</f>
        <v>0.10313426720564631</v>
      </c>
      <c r="H35" s="7" t="s">
        <v>316</v>
      </c>
      <c r="I35" s="11" t="s">
        <v>205</v>
      </c>
    </row>
    <row r="36" spans="1:12" ht="18" customHeight="1">
      <c r="A36" s="88" t="s">
        <v>423</v>
      </c>
      <c r="B36" s="88"/>
      <c r="C36" s="88"/>
      <c r="D36" s="88"/>
      <c r="E36" s="83">
        <f>_xlfn.IFNA(VLOOKUP(封面!B1,一般公共预算财政拨款支出决算具体情况!A:E,5,FALSE),"")</f>
        <v>44734103.100000001</v>
      </c>
      <c r="F36" s="83"/>
      <c r="G36" s="7" t="s">
        <v>179</v>
      </c>
      <c r="H36" s="86" t="s">
        <v>422</v>
      </c>
      <c r="I36" s="86"/>
      <c r="J36" s="83">
        <f>_xlfn.IFNA(VLOOKUP(封面!B1,一般公共预算财政拨款支出决算具体情况!A:F,6,FALSE),"")</f>
        <v>40447100.780000001</v>
      </c>
      <c r="K36" s="83"/>
      <c r="L36" s="11" t="s">
        <v>178</v>
      </c>
    </row>
    <row r="37" spans="1:12" ht="18" customHeight="1">
      <c r="A37" s="15"/>
      <c r="B37" s="15" t="str">
        <f>IF(E36&gt;J36,"增加","减少")</f>
        <v>增加</v>
      </c>
      <c r="C37" s="83">
        <f>ABS(E36-J36)</f>
        <v>4287002.32</v>
      </c>
      <c r="D37" s="83"/>
      <c r="E37" s="7" t="s">
        <v>179</v>
      </c>
      <c r="F37" s="15" t="str">
        <f>IF(E36&gt;J36,"增长","下降")</f>
        <v>增长</v>
      </c>
      <c r="G37" s="34">
        <f>IF(J36=0,IF(E36&gt;0,1,""),C37/J36)</f>
        <v>0.10599034880937146</v>
      </c>
      <c r="H37" s="7" t="s">
        <v>316</v>
      </c>
    </row>
    <row r="38" spans="1:12" ht="36" customHeight="1">
      <c r="B38" s="84" t="s">
        <v>478</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6" t="s">
        <v>422</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0</v>
      </c>
      <c r="F45" s="83"/>
      <c r="G45" s="7" t="s">
        <v>179</v>
      </c>
      <c r="H45" s="86" t="s">
        <v>422</v>
      </c>
      <c r="I45" s="86"/>
      <c r="J45" s="83">
        <f>_xlfn.IFNA(VLOOKUP(封面!B1,一般公共预算财政拨款支出决算具体情况!A:N,14,FALSE),"")</f>
        <v>104720</v>
      </c>
      <c r="K45" s="83"/>
      <c r="L45" s="11" t="s">
        <v>178</v>
      </c>
    </row>
    <row r="46" spans="1:12" ht="18" customHeight="1">
      <c r="A46" s="15"/>
      <c r="B46" s="15" t="str">
        <f>IF(E45&gt;J45,"增加","减少")</f>
        <v>减少</v>
      </c>
      <c r="C46" s="83">
        <f>ABS(E45-J45)</f>
        <v>104720</v>
      </c>
      <c r="D46" s="83"/>
      <c r="E46" s="7" t="s">
        <v>179</v>
      </c>
      <c r="F46" s="15" t="str">
        <f>IF(E45&gt;J45,"增长","下降")</f>
        <v>下降</v>
      </c>
      <c r="G46" s="34">
        <f>IF(J45=0,IF(E45&gt;0,1,""),C46/J45)</f>
        <v>1</v>
      </c>
      <c r="H46" s="7" t="s">
        <v>316</v>
      </c>
    </row>
    <row r="47" spans="1:12" ht="36" customHeight="1">
      <c r="B47" s="84" t="s">
        <v>479</v>
      </c>
      <c r="C47" s="84"/>
      <c r="D47" s="84"/>
      <c r="E47" s="84"/>
      <c r="F47" s="84"/>
      <c r="G47" s="84"/>
      <c r="H47" s="84"/>
      <c r="I47" s="84"/>
      <c r="J47" s="84"/>
      <c r="K47" s="84"/>
      <c r="L47" s="84"/>
    </row>
    <row r="48" spans="1:12" ht="18" customHeight="1">
      <c r="A48" s="87" t="s">
        <v>428</v>
      </c>
      <c r="B48" s="87"/>
      <c r="C48" s="87"/>
      <c r="D48" s="87"/>
      <c r="E48" s="83">
        <f>_xlfn.IFNA(VLOOKUP(封面!B1,一般公共预算财政拨款支出决算具体情况!A:O,15,FALSE),"")</f>
        <v>0</v>
      </c>
      <c r="F48" s="83"/>
      <c r="G48" s="7" t="s">
        <v>179</v>
      </c>
      <c r="H48" s="86" t="s">
        <v>422</v>
      </c>
      <c r="I48" s="86"/>
      <c r="J48" s="83">
        <f>_xlfn.IFNA(VLOOKUP(封面!B1,一般公共预算财政拨款支出决算具体情况!A:P,16,FALSE),"")</f>
        <v>0</v>
      </c>
      <c r="K48" s="83"/>
      <c r="L48" s="11" t="s">
        <v>178</v>
      </c>
    </row>
    <row r="49" spans="1:12" ht="18" customHeight="1">
      <c r="A49" s="15"/>
      <c r="B49" s="15" t="str">
        <f>IF(E48&gt;J48,"增加","减少")</f>
        <v>减少</v>
      </c>
      <c r="C49" s="83">
        <f>ABS(E48-J48)</f>
        <v>0</v>
      </c>
      <c r="D49" s="83"/>
      <c r="E49" s="7" t="s">
        <v>179</v>
      </c>
      <c r="F49" s="15" t="str">
        <f>IF(E48&gt;J48,"增长","下降")</f>
        <v>下降</v>
      </c>
      <c r="G49" s="34" t="str">
        <f>IF(J48=0,IF(E48&gt;0,1,""),C49/J48)</f>
        <v/>
      </c>
      <c r="H49" s="7" t="s">
        <v>316</v>
      </c>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471</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12024612.199999999</v>
      </c>
      <c r="F53" s="83"/>
      <c r="G53" s="7" t="s">
        <v>179</v>
      </c>
      <c r="H53" s="86" t="s">
        <v>422</v>
      </c>
      <c r="I53" s="86"/>
      <c r="J53" s="83">
        <f>_xlfn.IFNA(VLOOKUP(封面!B1,一般公共预算财政拨款支出决算具体情况!A:X,24,FALSE),"")</f>
        <v>11616154.02</v>
      </c>
      <c r="K53" s="83"/>
      <c r="L53" s="11" t="s">
        <v>178</v>
      </c>
    </row>
    <row r="54" spans="1:12" ht="18" customHeight="1">
      <c r="B54" s="15" t="str">
        <f>IF(E53&gt;J53,"增加","减少")</f>
        <v>增加</v>
      </c>
      <c r="C54" s="83">
        <f>ABS(E53-J53)</f>
        <v>408458.1799999997</v>
      </c>
      <c r="D54" s="83"/>
      <c r="E54" s="7" t="s">
        <v>179</v>
      </c>
      <c r="F54" s="15" t="str">
        <f>IF(E53&gt;J53,"增长","下降")</f>
        <v>增长</v>
      </c>
      <c r="G54" s="34">
        <f>IF(J53=0,IF(E53&gt;0,1,""),C54/J53)</f>
        <v>3.5162944576728306E-2</v>
      </c>
      <c r="H54" s="7" t="s">
        <v>316</v>
      </c>
      <c r="I54" s="11" t="s">
        <v>205</v>
      </c>
    </row>
    <row r="55" spans="1:12" ht="18" customHeight="1">
      <c r="A55" s="87" t="s">
        <v>434</v>
      </c>
      <c r="B55" s="87"/>
      <c r="C55" s="87"/>
      <c r="D55" s="87"/>
      <c r="E55" s="83">
        <f>_xlfn.IFNA(VLOOKUP(封面!B1,一般公共预算财政拨款支出决算具体情况!A:Y,25,FALSE),"")</f>
        <v>12024612.199999999</v>
      </c>
      <c r="F55" s="83"/>
      <c r="G55" s="7" t="s">
        <v>179</v>
      </c>
      <c r="H55" s="86" t="s">
        <v>422</v>
      </c>
      <c r="I55" s="86"/>
      <c r="J55" s="83">
        <f>_xlfn.IFNA(VLOOKUP(封面!B1,一般公共预算财政拨款支出决算具体情况!A:Z,26,FALSE),"")</f>
        <v>11616154.02</v>
      </c>
      <c r="K55" s="83"/>
      <c r="L55" s="11" t="s">
        <v>178</v>
      </c>
    </row>
    <row r="56" spans="1:12" ht="18" customHeight="1">
      <c r="A56" s="15"/>
      <c r="B56" s="15" t="str">
        <f>IF(E55&gt;J55,"增加","减少")</f>
        <v>增加</v>
      </c>
      <c r="C56" s="83">
        <f>ABS(E55-J55)</f>
        <v>408458.1799999997</v>
      </c>
      <c r="D56" s="83"/>
      <c r="E56" s="7" t="s">
        <v>179</v>
      </c>
      <c r="F56" s="15" t="str">
        <f>IF(E55&gt;J55,"增长","下降")</f>
        <v>增长</v>
      </c>
      <c r="G56" s="34">
        <f>IF(J55=0,IF(E55&gt;0,1,""),C56/J55)</f>
        <v>3.5162944576728306E-2</v>
      </c>
      <c r="H56" s="7" t="s">
        <v>316</v>
      </c>
    </row>
    <row r="57" spans="1:12" ht="36" customHeight="1">
      <c r="B57" s="84" t="s">
        <v>480</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5009660.5199999996</v>
      </c>
      <c r="F59" s="83"/>
      <c r="G59" s="7" t="s">
        <v>179</v>
      </c>
      <c r="H59" s="86" t="s">
        <v>422</v>
      </c>
      <c r="I59" s="86"/>
      <c r="J59" s="83">
        <f>_xlfn.IFNA(VLOOKUP(封面!B1,一般公共预算财政拨款支出决算具体情况!A:AD,30,FALSE),"")</f>
        <v>4464620.92</v>
      </c>
      <c r="K59" s="83"/>
      <c r="L59" s="11" t="s">
        <v>178</v>
      </c>
    </row>
    <row r="60" spans="1:12" ht="18" customHeight="1">
      <c r="B60" s="15" t="str">
        <f>IF(E59&gt;J59,"增加","减少")</f>
        <v>增加</v>
      </c>
      <c r="C60" s="83">
        <f>ABS(E59-J59)</f>
        <v>545039.59999999963</v>
      </c>
      <c r="D60" s="83"/>
      <c r="E60" s="7" t="s">
        <v>179</v>
      </c>
      <c r="F60" s="15" t="str">
        <f>IF(E59&gt;J59,"增长","下降")</f>
        <v>增长</v>
      </c>
      <c r="G60" s="34">
        <f>IF(J59=0,IF(E59&gt;0,1,""),C60/J59)</f>
        <v>0.12207970391358548</v>
      </c>
      <c r="H60" s="7" t="s">
        <v>316</v>
      </c>
      <c r="I60" s="11" t="s">
        <v>205</v>
      </c>
    </row>
    <row r="61" spans="1:12" ht="18" customHeight="1">
      <c r="A61" s="87" t="s">
        <v>437</v>
      </c>
      <c r="B61" s="87"/>
      <c r="C61" s="87"/>
      <c r="D61" s="87"/>
      <c r="E61" s="83">
        <f>_xlfn.IFNA(VLOOKUP(封面!B1,一般公共预算财政拨款支出决算具体情况!A:AE,31,FALSE),"")</f>
        <v>5009660.5199999996</v>
      </c>
      <c r="F61" s="83"/>
      <c r="G61" s="7" t="s">
        <v>179</v>
      </c>
      <c r="H61" s="86" t="s">
        <v>422</v>
      </c>
      <c r="I61" s="86"/>
      <c r="J61" s="83">
        <f>_xlfn.IFNA(VLOOKUP(封面!B1,一般公共预算财政拨款支出决算具体情况!A:AF,32,FALSE),"")</f>
        <v>4464620.92</v>
      </c>
      <c r="K61" s="83"/>
      <c r="L61" s="11" t="s">
        <v>178</v>
      </c>
    </row>
    <row r="62" spans="1:12" ht="18" customHeight="1">
      <c r="A62" s="15"/>
      <c r="B62" s="15" t="str">
        <f>IF(E61&gt;J61,"增加","减少")</f>
        <v>增加</v>
      </c>
      <c r="C62" s="83">
        <f>ABS(E61-J61)</f>
        <v>545039.59999999963</v>
      </c>
      <c r="D62" s="83"/>
      <c r="E62" s="7" t="s">
        <v>179</v>
      </c>
      <c r="F62" s="15" t="str">
        <f>IF(E61&gt;J61,"增长","下降")</f>
        <v>增长</v>
      </c>
      <c r="G62" s="34">
        <f>IF(J61=0,IF(E61&gt;0,1,""),C62/J61)</f>
        <v>0.12207970391358548</v>
      </c>
      <c r="H62" s="7" t="s">
        <v>316</v>
      </c>
    </row>
    <row r="63" spans="1:12" ht="36" customHeight="1">
      <c r="B63" s="84" t="s">
        <v>480</v>
      </c>
      <c r="C63" s="84"/>
      <c r="D63" s="84"/>
      <c r="E63" s="84"/>
      <c r="F63" s="84"/>
      <c r="G63" s="84"/>
      <c r="H63" s="84"/>
      <c r="I63" s="84"/>
      <c r="J63" s="84"/>
      <c r="K63" s="84"/>
      <c r="L63" s="84"/>
    </row>
    <row r="64" spans="1:12" ht="18" customHeight="1">
      <c r="A64" s="89" t="s">
        <v>438</v>
      </c>
      <c r="B64" s="89"/>
      <c r="C64" s="89"/>
      <c r="D64" s="89"/>
      <c r="E64" s="83">
        <f>_xlfn.IFNA(VLOOKUP(封面!B1,一般公共预算财政拨款支出决算具体情况!A:AG,33,FALSE),"")</f>
        <v>0</v>
      </c>
      <c r="F64" s="83"/>
      <c r="G64" s="7" t="s">
        <v>179</v>
      </c>
      <c r="H64" s="86" t="s">
        <v>422</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7" t="s">
        <v>439</v>
      </c>
      <c r="B66" s="87"/>
      <c r="C66" s="87"/>
      <c r="D66" s="87"/>
      <c r="E66" s="83">
        <f>_xlfn.IFNA(VLOOKUP(封面!B1,一般公共预算财政拨款支出决算具体情况!A:AI,35,FALSE),"")</f>
        <v>0</v>
      </c>
      <c r="F66" s="83"/>
      <c r="G66" s="7" t="s">
        <v>179</v>
      </c>
      <c r="H66" s="86" t="s">
        <v>422</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89" t="s">
        <v>472</v>
      </c>
      <c r="B68" s="89"/>
      <c r="C68" s="89"/>
      <c r="D68" s="89"/>
      <c r="E68" s="83">
        <f>_xlfn.IFNA(VLOOKUP(封面!B1,一般公共预算财政拨款支出决算具体情况!A:AK,37,FALSE),"")</f>
        <v>8030983</v>
      </c>
      <c r="F68" s="83"/>
      <c r="G68" s="7" t="s">
        <v>179</v>
      </c>
      <c r="H68" s="86" t="s">
        <v>422</v>
      </c>
      <c r="I68" s="86"/>
      <c r="J68" s="83">
        <f>_xlfn.IFNA(VLOOKUP(封面!B1,一般公共预算财政拨款支出决算具体情况!A:AL,38,FALSE),"")</f>
        <v>7473419.0099999998</v>
      </c>
      <c r="K68" s="83"/>
      <c r="L68" s="11" t="s">
        <v>178</v>
      </c>
    </row>
    <row r="69" spans="1:13" ht="18" customHeight="1">
      <c r="B69" s="15" t="str">
        <f>IF(E68&gt;J68,"增加","减少")</f>
        <v>增加</v>
      </c>
      <c r="C69" s="83">
        <f>ABS(E68-J68)</f>
        <v>557563.99000000022</v>
      </c>
      <c r="D69" s="83"/>
      <c r="E69" s="7" t="s">
        <v>179</v>
      </c>
      <c r="F69" s="15" t="str">
        <f>IF(E68&gt;J68,"增长","下降")</f>
        <v>增长</v>
      </c>
      <c r="G69" s="34">
        <f>IF(J68=0,IF(E68&gt;0,1,""),C69/J68)</f>
        <v>7.4606279837105008E-2</v>
      </c>
      <c r="H69" s="7" t="s">
        <v>316</v>
      </c>
      <c r="I69" s="11" t="s">
        <v>205</v>
      </c>
    </row>
    <row r="70" spans="1:13" ht="18" customHeight="1">
      <c r="A70" s="87" t="s">
        <v>440</v>
      </c>
      <c r="B70" s="87"/>
      <c r="C70" s="87"/>
      <c r="D70" s="87"/>
      <c r="E70" s="83">
        <f>_xlfn.IFNA(VLOOKUP(封面!B1,一般公共预算财政拨款支出决算具体情况!A:AM,39,FALSE),"")</f>
        <v>8030983</v>
      </c>
      <c r="F70" s="83"/>
      <c r="G70" s="7" t="s">
        <v>179</v>
      </c>
      <c r="H70" s="86" t="s">
        <v>422</v>
      </c>
      <c r="I70" s="86"/>
      <c r="J70" s="83">
        <f>_xlfn.IFNA(VLOOKUP(封面!B1,一般公共预算财政拨款支出决算具体情况!A:AN,40,FALSE),"")</f>
        <v>7473419.0099999998</v>
      </c>
      <c r="K70" s="83"/>
      <c r="L70" s="11" t="s">
        <v>178</v>
      </c>
    </row>
    <row r="71" spans="1:13" ht="18" customHeight="1">
      <c r="A71" s="15"/>
      <c r="B71" s="15" t="str">
        <f>IF(E70&gt;J70,"增加","减少")</f>
        <v>增加</v>
      </c>
      <c r="C71" s="83">
        <f>ABS(E70-J70)</f>
        <v>557563.99000000022</v>
      </c>
      <c r="D71" s="83"/>
      <c r="E71" s="7" t="s">
        <v>179</v>
      </c>
      <c r="F71" s="15" t="str">
        <f>IF(E70&gt;J70,"增长","下降")</f>
        <v>增长</v>
      </c>
      <c r="G71" s="34">
        <f>IF(J70=0,IF(E70&gt;0,1,""),C71/J70)</f>
        <v>7.4606279837105008E-2</v>
      </c>
      <c r="H71" s="7" t="s">
        <v>316</v>
      </c>
    </row>
    <row r="72" spans="1:13" ht="36" customHeight="1">
      <c r="B72" s="84" t="s">
        <v>480</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
      </c>
    </row>
    <row r="75" spans="1:13" ht="18" customHeight="1">
      <c r="A75" s="7" t="s">
        <v>207</v>
      </c>
    </row>
    <row r="76" spans="1:13" ht="18" customHeight="1">
      <c r="A76" s="88" t="s">
        <v>441</v>
      </c>
      <c r="B76" s="88"/>
      <c r="C76" s="88"/>
      <c r="D76" s="88"/>
      <c r="E76" s="88"/>
      <c r="F76" s="83">
        <f>_xlfn.IFNA(VLOOKUP(封面!B1,'2021决算导出'!A:W,23,FALSE),"")</f>
        <v>50000</v>
      </c>
      <c r="G76" s="83"/>
      <c r="H76" s="7" t="s">
        <v>179</v>
      </c>
      <c r="I76" s="85" t="s">
        <v>196</v>
      </c>
      <c r="J76" s="85"/>
      <c r="K76" s="85"/>
      <c r="L76" s="85"/>
      <c r="M76" s="85"/>
    </row>
    <row r="77" spans="1:13" ht="18" customHeight="1">
      <c r="A77" s="88" t="s">
        <v>208</v>
      </c>
      <c r="B77" s="88"/>
      <c r="C77" s="88"/>
      <c r="D77" s="83">
        <f>_xlfn.IFNA(VLOOKUP(封面!B1,'2021决算导出'!A:Y,25,FALSE),"")</f>
        <v>50000</v>
      </c>
      <c r="E77" s="83"/>
      <c r="F77" s="7" t="s">
        <v>179</v>
      </c>
      <c r="G77" s="86" t="s">
        <v>198</v>
      </c>
      <c r="H77" s="86"/>
      <c r="I77" s="13">
        <v>100</v>
      </c>
      <c r="J77" s="7" t="s">
        <v>183</v>
      </c>
      <c r="K77" s="9"/>
      <c r="L77" s="9"/>
      <c r="M77" s="9"/>
    </row>
    <row r="78" spans="1:13" ht="18" customHeight="1">
      <c r="A78" s="7" t="s">
        <v>209</v>
      </c>
    </row>
    <row r="79" spans="1:13" ht="18" customHeight="1">
      <c r="A79" s="85" t="s">
        <v>442</v>
      </c>
      <c r="B79" s="85"/>
      <c r="C79" s="85"/>
      <c r="D79" s="85"/>
      <c r="E79" s="83">
        <f>_xlfn.IFNA(VLOOKUP(封面!B1,'2021决算导出'!A:Y,25,FALSE),"")</f>
        <v>50000</v>
      </c>
      <c r="F79" s="83"/>
      <c r="G79" s="7" t="s">
        <v>179</v>
      </c>
      <c r="H79" s="86" t="s">
        <v>422</v>
      </c>
      <c r="I79" s="86"/>
      <c r="J79" s="83">
        <f>_xlfn.IFNA(VLOOKUP(封面!B1,'2021决算导出'!A:Z,26,FALSE),"")</f>
        <v>50000</v>
      </c>
      <c r="K79" s="83"/>
      <c r="L79" s="11" t="s">
        <v>178</v>
      </c>
    </row>
    <row r="80" spans="1:13" ht="18" customHeight="1">
      <c r="B80" s="15" t="str">
        <f>IF(E79&gt;J79,"增加","减少")</f>
        <v>减少</v>
      </c>
      <c r="C80" s="83">
        <f>ABS(E79-J79)</f>
        <v>0</v>
      </c>
      <c r="D80" s="83"/>
      <c r="E80" s="7" t="s">
        <v>179</v>
      </c>
      <c r="F80" s="15" t="str">
        <f>IF(E79&gt;J79,"增长","下降")</f>
        <v>下降</v>
      </c>
      <c r="G80" s="34">
        <f>IF(J79=0,IF(E79&gt;0,1,""),C80/J79)</f>
        <v>0</v>
      </c>
      <c r="H80" s="7" t="s">
        <v>316</v>
      </c>
      <c r="I80" s="11" t="s">
        <v>205</v>
      </c>
    </row>
    <row r="81" spans="1:13" ht="18" customHeight="1">
      <c r="A81" s="87" t="s">
        <v>443</v>
      </c>
      <c r="B81" s="87"/>
      <c r="C81" s="87"/>
      <c r="D81" s="87"/>
      <c r="E81" s="83">
        <f>E79</f>
        <v>50000</v>
      </c>
      <c r="F81" s="83"/>
      <c r="G81" s="7" t="s">
        <v>179</v>
      </c>
      <c r="H81" s="86" t="s">
        <v>422</v>
      </c>
      <c r="I81" s="86"/>
      <c r="J81" s="83">
        <f>J79</f>
        <v>50000</v>
      </c>
      <c r="K81" s="83"/>
      <c r="L81" s="11" t="s">
        <v>178</v>
      </c>
    </row>
    <row r="82" spans="1:13" ht="18" customHeight="1">
      <c r="A82" s="15"/>
      <c r="B82" s="15" t="str">
        <f>B80</f>
        <v>减少</v>
      </c>
      <c r="C82" s="83">
        <f>C80</f>
        <v>0</v>
      </c>
      <c r="D82" s="83"/>
      <c r="E82" s="7" t="s">
        <v>179</v>
      </c>
      <c r="F82" s="15" t="str">
        <f>F80</f>
        <v>下降</v>
      </c>
      <c r="G82" s="34">
        <f>IF(J81=0,IF(E81&gt;0,1,""),C82/J81)</f>
        <v>0</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65792674.539999999</v>
      </c>
      <c r="H86" s="83"/>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A50:D50"/>
    <mergeCell ref="E50:F50"/>
    <mergeCell ref="C46:D46"/>
    <mergeCell ref="B47:L47"/>
    <mergeCell ref="A48:D48"/>
    <mergeCell ref="E48:F48"/>
    <mergeCell ref="H48:I48"/>
    <mergeCell ref="J48:K48"/>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7"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8872.59</v>
      </c>
      <c r="G4" s="83"/>
      <c r="H4" s="7" t="s">
        <v>179</v>
      </c>
      <c r="I4" s="7" t="s">
        <v>446</v>
      </c>
    </row>
    <row r="5" spans="1:14" ht="18" customHeight="1">
      <c r="A5" s="91">
        <f>_xlfn.IFNA(VLOOKUP(封面!B1,'2021决算导出'!A:AC,29,FALSE),"")</f>
        <v>27000</v>
      </c>
      <c r="B5" s="91"/>
      <c r="C5" s="7" t="s">
        <v>178</v>
      </c>
      <c r="D5" s="30" t="str">
        <f>IF(F4&gt;A5,"增加","减少")</f>
        <v>减少</v>
      </c>
      <c r="E5" s="91">
        <f>ABS(F4-A5)</f>
        <v>18127.41</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481</v>
      </c>
      <c r="B9" s="92"/>
      <c r="C9" s="92"/>
      <c r="D9" s="92"/>
      <c r="E9" s="92"/>
      <c r="F9" s="92"/>
      <c r="G9" s="92"/>
      <c r="H9" s="92"/>
      <c r="I9" s="92"/>
      <c r="J9" s="92"/>
      <c r="K9" s="92"/>
      <c r="L9" s="92"/>
      <c r="M9" s="92"/>
      <c r="N9" s="92"/>
    </row>
    <row r="10" spans="1:14" ht="18" customHeight="1">
      <c r="A10" s="7" t="s">
        <v>219</v>
      </c>
    </row>
    <row r="11" spans="1:14" ht="18" customHeight="1">
      <c r="A11" s="88" t="s">
        <v>448</v>
      </c>
      <c r="B11" s="88"/>
      <c r="C11" s="35">
        <f>_xlfn.IFNA(VLOOKUP(封面!B1,'2021决算导出'!A:AI,35,FALSE),"")</f>
        <v>8872.59</v>
      </c>
      <c r="D11" s="7" t="s">
        <v>179</v>
      </c>
      <c r="E11" s="88" t="s">
        <v>449</v>
      </c>
      <c r="F11" s="88"/>
      <c r="G11" s="88"/>
      <c r="H11" s="91">
        <f>_xlfn.IFNA(VLOOKUP(封面!B1,'2021决算导出'!A:AJ,36,FALSE),"")</f>
        <v>27000</v>
      </c>
      <c r="I11" s="91"/>
      <c r="J11" s="16" t="s">
        <v>178</v>
      </c>
      <c r="K11" s="30" t="str">
        <f>IF(C11&gt;H11,"增加","减少")</f>
        <v>减少</v>
      </c>
      <c r="L11" s="91">
        <f>ABS(C11-H11)</f>
        <v>18127.41</v>
      </c>
      <c r="M11" s="91"/>
      <c r="N11" s="7" t="s">
        <v>215</v>
      </c>
    </row>
    <row r="12" spans="1:14" ht="18" customHeight="1">
      <c r="A12" s="88" t="s">
        <v>450</v>
      </c>
      <c r="B12" s="88"/>
      <c r="C12" s="88"/>
      <c r="D12" s="88"/>
      <c r="E12" s="88"/>
      <c r="F12" s="91">
        <f>_xlfn.IFNA(VLOOKUP(封面!B1,'2021决算导出'!A:AK,37,FALSE),"")</f>
        <v>0</v>
      </c>
      <c r="G12" s="91"/>
      <c r="H12" s="17" t="s">
        <v>179</v>
      </c>
      <c r="I12" s="88" t="s">
        <v>449</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222</v>
      </c>
      <c r="B14" s="84"/>
      <c r="C14" s="84"/>
      <c r="D14" s="84"/>
      <c r="E14" s="84"/>
      <c r="F14" s="84"/>
      <c r="G14" s="84"/>
      <c r="H14" s="84"/>
      <c r="I14" s="84"/>
      <c r="J14" s="84"/>
      <c r="K14" s="84"/>
      <c r="L14" s="84"/>
      <c r="M14" s="84"/>
      <c r="N14" s="84"/>
    </row>
    <row r="15" spans="1:14" ht="18" customHeight="1">
      <c r="A15" s="88" t="s">
        <v>451</v>
      </c>
      <c r="B15" s="88"/>
      <c r="C15" s="88"/>
      <c r="D15" s="8">
        <f>_xlfn.IFNA(VLOOKUP(封面!B1,'2021决算导出'!A:AM,39,FALSE),"")</f>
        <v>0</v>
      </c>
      <c r="E15" s="7" t="s">
        <v>220</v>
      </c>
      <c r="F15" s="88" t="s">
        <v>221</v>
      </c>
      <c r="G15" s="88"/>
      <c r="H15" s="91">
        <f>IF(D15=0,0,F12/D15)</f>
        <v>0</v>
      </c>
      <c r="I15" s="91"/>
      <c r="J15" s="7" t="s">
        <v>215</v>
      </c>
    </row>
    <row r="16" spans="1:14" ht="18" customHeight="1">
      <c r="A16" s="86" t="s">
        <v>452</v>
      </c>
      <c r="B16" s="86"/>
      <c r="C16" s="86"/>
      <c r="D16" s="86"/>
      <c r="E16" s="86"/>
      <c r="F16" s="91">
        <f>_xlfn.IFNA(VLOOKUP(封面!B1,'2021决算导出'!A:AO,41,FALSE),"")</f>
        <v>8872.59</v>
      </c>
      <c r="G16" s="91" t="s">
        <v>179</v>
      </c>
      <c r="H16" s="7" t="s">
        <v>179</v>
      </c>
      <c r="I16" s="7" t="s">
        <v>449</v>
      </c>
      <c r="L16" s="91">
        <f>_xlfn.IFNA(VLOOKUP(封面!B1,'2021决算导出'!A:AP,42,FALSE),"")</f>
        <v>27000</v>
      </c>
      <c r="M16" s="91" t="s">
        <v>179</v>
      </c>
      <c r="N16" s="7" t="s">
        <v>179</v>
      </c>
    </row>
    <row r="17" spans="1:14" ht="18" customHeight="1">
      <c r="A17" s="15" t="str">
        <f>IF(F16&gt;L16,"增加","减少")</f>
        <v>减少</v>
      </c>
      <c r="B17" s="91">
        <f>ABS(F16-L16)</f>
        <v>18127.41</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453</v>
      </c>
      <c r="B19" s="88"/>
      <c r="C19" s="88"/>
      <c r="D19" s="88"/>
      <c r="E19" s="88"/>
      <c r="F19" s="88"/>
      <c r="G19" s="91">
        <f>_xlfn.IFNA(VLOOKUP(封面!B1,'2021决算导出'!A:AQ,43,FALSE),"")</f>
        <v>3000</v>
      </c>
      <c r="H19" s="91" t="s">
        <v>179</v>
      </c>
      <c r="I19" s="7" t="s">
        <v>179</v>
      </c>
      <c r="J19" s="7" t="s">
        <v>223</v>
      </c>
      <c r="L19" s="91">
        <f>_xlfn.IFNA(VLOOKUP(封面!B1,'2021决算导出'!A:AR,44,FALSE),"")</f>
        <v>1339.39</v>
      </c>
      <c r="M19" s="91" t="s">
        <v>179</v>
      </c>
      <c r="N19" s="7" t="s">
        <v>179</v>
      </c>
    </row>
    <row r="20" spans="1:14" ht="18" customHeight="1">
      <c r="A20" s="88" t="s">
        <v>224</v>
      </c>
      <c r="B20" s="88"/>
      <c r="C20" s="91">
        <f>_xlfn.IFNA(VLOOKUP(封面!B1,'2021决算导出'!A:AS,45,FALSE),"")</f>
        <v>3931.7</v>
      </c>
      <c r="D20" s="91" t="s">
        <v>179</v>
      </c>
      <c r="E20" s="7" t="s">
        <v>179</v>
      </c>
      <c r="F20" s="88" t="s">
        <v>225</v>
      </c>
      <c r="G20" s="88"/>
      <c r="H20" s="88"/>
      <c r="I20" s="91">
        <f>_xlfn.IFNA(VLOOKUP(封面!B1,'2021决算导出'!A:AT,46,FALSE),"")</f>
        <v>601.5</v>
      </c>
      <c r="J20" s="91" t="s">
        <v>179</v>
      </c>
      <c r="K20" s="7" t="s">
        <v>215</v>
      </c>
    </row>
    <row r="21" spans="1:14" ht="18" customHeight="1">
      <c r="A21" s="88" t="s">
        <v>454</v>
      </c>
      <c r="B21" s="88"/>
      <c r="C21" s="88"/>
      <c r="D21" s="8">
        <f>_xlfn.IFNA(VLOOKUP(封面!B1,'2021决算导出'!A:AU,47,FALSE),"")</f>
        <v>1</v>
      </c>
      <c r="E21" s="85" t="s">
        <v>407</v>
      </c>
      <c r="F21" s="85"/>
      <c r="G21" s="85"/>
      <c r="H21" s="85"/>
      <c r="I21" s="85"/>
      <c r="J21" s="85"/>
      <c r="K21" s="85"/>
      <c r="L21" s="85"/>
      <c r="M21" s="54">
        <f>F16/D21</f>
        <v>8872.59</v>
      </c>
      <c r="N21" s="7" t="s">
        <v>215</v>
      </c>
    </row>
    <row r="22" spans="1:14" ht="18" customHeight="1">
      <c r="A22" s="6" t="s">
        <v>226</v>
      </c>
    </row>
    <row r="23" spans="1:14" ht="18" customHeight="1">
      <c r="A23" s="7" t="s">
        <v>227</v>
      </c>
    </row>
    <row r="24" spans="1:14" ht="18" customHeight="1">
      <c r="A24" s="6" t="s">
        <v>228</v>
      </c>
    </row>
    <row r="25" spans="1:14" ht="18" customHeight="1">
      <c r="A25" s="88" t="s">
        <v>455</v>
      </c>
      <c r="B25" s="88"/>
      <c r="C25" s="88"/>
      <c r="D25" s="88"/>
      <c r="E25" s="83">
        <f>_xlfn.IFNA(VLOOKUP(封面!B1,'2021决算导出'!A:AW,49,FALSE),"")</f>
        <v>1824711.54</v>
      </c>
      <c r="F25" s="83"/>
      <c r="G25" s="7" t="s">
        <v>179</v>
      </c>
      <c r="H25" s="88" t="s">
        <v>229</v>
      </c>
      <c r="I25" s="88"/>
      <c r="J25" s="88"/>
      <c r="K25" s="88"/>
      <c r="L25" s="83">
        <f>_xlfn.IFNA(VLOOKUP(封面!B1,'2021决算导出'!A:AX,50,FALSE),"")</f>
        <v>226800</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1597912</v>
      </c>
      <c r="K26" s="83" t="s">
        <v>179</v>
      </c>
      <c r="L26" s="7" t="s">
        <v>215</v>
      </c>
    </row>
    <row r="27" spans="1:14" ht="18" customHeight="1">
      <c r="A27" s="88" t="s">
        <v>232</v>
      </c>
      <c r="B27" s="88"/>
      <c r="C27" s="88"/>
      <c r="D27" s="88"/>
      <c r="E27" s="83">
        <f>_xlfn.IFNA(VLOOKUP(封面!B1,'2021决算导出'!A:BA,53,FALSE),"")</f>
        <v>1824712</v>
      </c>
      <c r="F27" s="83" t="s">
        <v>179</v>
      </c>
      <c r="G27" s="7" t="s">
        <v>179</v>
      </c>
      <c r="H27" s="86" t="s">
        <v>233</v>
      </c>
      <c r="I27" s="86"/>
      <c r="J27" s="86"/>
      <c r="K27" s="29">
        <f>E27/$E$25</f>
        <v>1.0000002520946407</v>
      </c>
      <c r="L27" s="18" t="s">
        <v>314</v>
      </c>
      <c r="M27" s="7" t="s">
        <v>408</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316</v>
      </c>
    </row>
    <row r="29" spans="1:14" ht="18" customHeight="1">
      <c r="A29" s="6" t="s">
        <v>235</v>
      </c>
    </row>
    <row r="30" spans="1:14" ht="18" customHeight="1">
      <c r="A30" s="88" t="s">
        <v>456</v>
      </c>
      <c r="B30" s="88"/>
      <c r="C30" s="8">
        <f>_xlfn.IFNA(VLOOKUP(封面!B1,'2021决算导出'!A:BC,55,FALSE),"")</f>
        <v>1</v>
      </c>
      <c r="D30" s="7" t="s">
        <v>236</v>
      </c>
      <c r="M30" s="91">
        <f>_xlfn.IFNA(VLOOKUP(封面!B1,'2021决算导出'!A:BD,56,FALSE),"")</f>
        <v>169582.99</v>
      </c>
      <c r="N30" s="91"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473</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5"/>
  <sheetData>
    <row r="10" spans="1:14" ht="54.6" customHeight="1">
      <c r="A10" s="81" t="s">
        <v>475</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457</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462</v>
      </c>
      <c r="X1" s="60" t="s">
        <v>463</v>
      </c>
      <c r="Y1" s="22" t="s">
        <v>464</v>
      </c>
      <c r="Z1" s="22" t="s">
        <v>458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459</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460</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461</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469</v>
      </c>
      <c r="T1" s="76" t="s">
        <v>470</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460</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461</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465</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465</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459</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459</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459</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459</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459</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459</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459</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459</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459</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459</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459</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465</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465</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460</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460</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460</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460</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460</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460</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461</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461</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461</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461</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461</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461</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465</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465</v>
      </c>
      <c r="B23" s="74">
        <v>2060499</v>
      </c>
      <c r="C23" s="74" t="s">
        <v>466</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467</v>
      </c>
      <c r="B34" s="74">
        <v>2120801</v>
      </c>
      <c r="C34" s="74" t="s">
        <v>466</v>
      </c>
      <c r="D34" s="74" t="s">
        <v>468</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xb21cn</cp:lastModifiedBy>
  <cp:lastPrinted>2022-08-25T04:56:47Z</cp:lastPrinted>
  <dcterms:created xsi:type="dcterms:W3CDTF">2021-08-26T09:47:38Z</dcterms:created>
  <dcterms:modified xsi:type="dcterms:W3CDTF">2022-08-27T06:06:32Z</dcterms:modified>
</cp:coreProperties>
</file>