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4.决算数据\决算公开\2021年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A61" i="5"/>
  <c r="J57" i="5"/>
  <c r="E57" i="5"/>
  <c r="J55" i="5"/>
  <c r="E55" i="5"/>
  <c r="J50" i="5"/>
  <c r="J52" i="5"/>
  <c r="E52" i="5"/>
  <c r="E50" i="5"/>
  <c r="E49" i="5"/>
  <c r="J46" i="5"/>
  <c r="E46" i="5"/>
  <c r="J44" i="5"/>
  <c r="E44"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2" i="5" l="1"/>
  <c r="E42" i="5"/>
  <c r="J39" i="5"/>
  <c r="E39" i="5"/>
  <c r="J36" i="5"/>
  <c r="E36" i="5"/>
  <c r="J34" i="5"/>
  <c r="E34" i="5"/>
  <c r="B58" i="5" l="1"/>
  <c r="F47" i="5"/>
  <c r="C51" i="5"/>
  <c r="G51" i="5" s="1"/>
  <c r="C56" i="5"/>
  <c r="G56" i="5" s="1"/>
  <c r="F35" i="5"/>
  <c r="F53" i="5"/>
  <c r="C58" i="5"/>
  <c r="G58" i="5" s="1"/>
  <c r="F58" i="5"/>
  <c r="F56" i="5"/>
  <c r="B56" i="5"/>
  <c r="B53" i="5"/>
  <c r="C53" i="5"/>
  <c r="G53" i="5" s="1"/>
  <c r="F51" i="5"/>
  <c r="B51" i="5"/>
  <c r="C47" i="5"/>
  <c r="G47" i="5" s="1"/>
  <c r="F37" i="5"/>
  <c r="F40" i="5"/>
  <c r="F45" i="5"/>
  <c r="B47" i="5"/>
  <c r="B45" i="5"/>
  <c r="C45" i="5"/>
  <c r="G45"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<sst xmlns="http://schemas.openxmlformats.org/spreadsheetml/2006/main" count="4790" uniqueCount="470">
  <si>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</si>
  <si>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</si>
  <si>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</si>
  <si>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</si>
  <si>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</si>
  <si>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</si>
  <si>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</si>
  <si>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</si>
  <si>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</si>
  <si>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</si>
  <si>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</si>
  <si>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</si>
  <si>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</si>
  <si>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</si>
  <si>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</si>
  <si>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</si>
  <si>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</si>
  <si>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</si>
  <si>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</si>
  <si>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</si>
  <si>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</si>
  <si>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</si>
  <si>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</si>
  <si>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</si>
  <si>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</si>
  <si>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</si>
  <si>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</si>
  <si>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</si>
  <si>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</si>
  <si>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</si>
  <si>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</si>
  <si>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</si>
  <si>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</si>
  <si>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</si>
  <si>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</si>
  <si>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</si>
  <si>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</si>
  <si>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</si>
  <si>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</si>
  <si>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</si>
  <si>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</si>
  <si>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</si>
  <si>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</si>
  <si>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</si>
  <si>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</si>
  <si>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</si>
  <si>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</si>
  <si>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</si>
  <si>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</si>
  <si>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</si>
  <si>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</si>
  <si>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</si>
  <si>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</si>
  <si>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</si>
  <si>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</si>
  <si>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</si>
  <si>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</si>
  <si>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</si>
  <si>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</si>
  <si>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</si>
  <si>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</si>
  <si>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</si>
  <si>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</si>
  <si>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</si>
  <si>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</si>
  <si>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</si>
  <si>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</si>
  <si>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</si>
  <si>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</si>
  <si>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</si>
  <si>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</si>
  <si>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</si>
  <si>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</si>
  <si>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</si>
  <si>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</si>
  <si>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</si>
  <si>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</si>
  <si>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</si>
  <si>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</si>
  <si>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</si>
  <si>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</si>
  <si>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</si>
  <si>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</si>
  <si>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</si>
  <si>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</si>
  <si>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</si>
  <si>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</si>
  <si>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</si>
  <si>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</si>
  <si>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</si>
  <si>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</si>
  <si>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</si>
  <si>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</si>
  <si>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</si>
  <si>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</si>
  <si>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</si>
  <si>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</si>
  <si>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</si>
  <si>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</si>
  <si>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</si>
  <si>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</si>
  <si>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</si>
  <si>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</si>
  <si>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</si>
  <si>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</si>
  <si>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</si>
  <si>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</si>
  <si>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</si>
  <si>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</si>
  <si>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</si>
  <si>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</si>
  <si>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</si>
  <si>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</si>
  <si>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</si>
  <si>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</si>
  <si>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</si>
  <si>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</si>
  <si>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</si>
  <si>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</si>
  <si>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</si>
  <si>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</si>
  <si>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</si>
  <si>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</si>
  <si>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</si>
  <si>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</si>
  <si>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</si>
  <si>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</si>
  <si>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</si>
  <si>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</si>
  <si>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</si>
  <si>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</si>
  <si>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</si>
  <si>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</si>
  <si>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</si>
  <si>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</si>
  <si>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</si>
  <si>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</si>
  <si>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</si>
  <si>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</si>
  <si>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</si>
  <si>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</si>
  <si>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</si>
  <si>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</si>
  <si>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</si>
  <si>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</si>
  <si>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</si>
  <si>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</si>
  <si>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</si>
  <si>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</si>
  <si>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</si>
  <si>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</si>
  <si>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</si>
  <si>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</si>
  <si>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</si>
  <si>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</si>
  <si>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</si>
  <si>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</si>
  <si>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</si>
  <si>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</si>
  <si>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</si>
  <si>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</si>
  <si>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</si>
  <si>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</si>
  <si>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</si>
  <si>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</si>
  <si>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</si>
  <si>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</si>
  <si>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</si>
  <si>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</si>
  <si>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</si>
  <si>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</si>
  <si>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</si>
  <si>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</si>
  <si>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</si>
  <si>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</si>
  <si>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</si>
  <si>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</si>
  <si>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</si>
  <si>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</si>
  <si>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</si>
  <si>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</si>
  <si>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</si>
  <si>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</si>
  <si>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</si>
  <si>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</si>
  <si>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</si>
  <si>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</si>
  <si>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</si>
  <si>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</si>
  <si>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</si>
  <si>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</si>
  <si>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</si>
  <si>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</si>
  <si>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</si>
  <si>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</si>
  <si>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</si>
  <si>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</si>
  <si>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</si>
  <si>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</si>
  <si>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</si>
  <si>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</si>
  <si>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</si>
  <si>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</si>
  <si>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</si>
  <si>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</si>
  <si>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</si>
  <si>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</si>
  <si>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</si>
  <si>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</si>
  <si>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</si>
  <si>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</si>
  <si>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</si>
  <si>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</si>
  <si>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</si>
  <si>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</si>
  <si>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</si>
  <si>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</si>
  <si>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</si>
  <si>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</si>
  <si>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</si>
  <si>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</si>
  <si>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</si>
  <si>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</si>
  <si>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</si>
  <si>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</si>
  <si>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</si>
  <si>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</si>
  <si>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</si>
  <si>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</si>
  <si>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</si>
  <si>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</si>
  <si>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</si>
  <si>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</si>
  <si>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</si>
  <si>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</si>
  <si>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</si>
  <si>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</si>
  <si>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</si>
  <si>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</si>
  <si>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</si>
  <si>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</si>
  <si>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</si>
  <si>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</si>
  <si>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</si>
  <si>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</si>
  <si>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</si>
  <si>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</si>
  <si>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</si>
  <si>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</si>
  <si>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</si>
  <si>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</si>
  <si>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</si>
  <si>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</si>
  <si>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</si>
  <si>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</si>
  <si>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</si>
  <si>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</si>
  <si>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</si>
  <si>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</si>
  <si>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</si>
  <si>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</si>
  <si>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</si>
  <si>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</si>
  <si>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</si>
  <si>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</si>
  <si>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</si>
  <si>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</si>
  <si>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</si>
  <si>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</si>
  <si>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</si>
  <si>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</si>
  <si>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</si>
  <si>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</si>
  <si>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</si>
  <si>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</si>
  <si>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</si>
  <si>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</si>
  <si>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</si>
  <si>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</si>
  <si>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</si>
  <si>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</si>
  <si>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</si>
  <si>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</si>
  <si>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</si>
  <si>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</si>
  <si>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</si>
  <si>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</si>
  <si>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</si>
  <si>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</si>
  <si>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</si>
  <si>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</si>
  <si>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</si>
  <si>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</si>
  <si>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</si>
  <si>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</si>
  <si>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</si>
  <si>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</si>
  <si>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</si>
  <si>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</si>
  <si>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</si>
  <si>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</si>
  <si>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</si>
  <si>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</si>
  <si>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</si>
  <si>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</si>
  <si>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</si>
  <si>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</si>
  <si>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</si>
  <si>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</si>
  <si>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</si>
  <si>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</si>
  <si>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</si>
  <si>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</si>
  <si>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</si>
  <si>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</si>
  <si>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</si>
  <si>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</si>
  <si>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</si>
  <si>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</si>
  <si>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</si>
  <si>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</si>
  <si>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</si>
  <si>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</si>
  <si>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</si>
  <si>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</si>
  <si>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</si>
  <si>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</si>
  <si>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</si>
  <si>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</si>
  <si>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</si>
  <si>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</si>
  <si>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</si>
  <si>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</si>
  <si>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</si>
  <si>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</si>
  <si>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</si>
  <si>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</si>
  <si>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</si>
  <si>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</si>
  <si>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</si>
  <si>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</si>
  <si>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</si>
  <si>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</si>
  <si>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</si>
  <si>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</si>
  <si>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</si>
  <si>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</si>
  <si>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</si>
  <si>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</si>
  <si>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</si>
  <si>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</si>
  <si>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</si>
  <si>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</si>
  <si>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</si>
  <si>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</si>
  <si>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</si>
  <si>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</si>
  <si>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</si>
  <si>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</si>
  <si>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</si>
  <si>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</si>
  <si>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</si>
  <si>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</si>
  <si>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</si>
  <si>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</si>
  <si>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</si>
  <si>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</si>
  <si>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</si>
  <si>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</si>
  <si>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</si>
  <si>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</si>
  <si>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</si>
  <si>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</si>
  <si>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</si>
  <si>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</si>
  <si>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</si>
  <si>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</si>
  <si>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</si>
  <si>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</si>
  <si>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</si>
  <si>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</si>
  <si>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</si>
  <si>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</si>
  <si>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</si>
  <si>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</si>
  <si>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</si>
  <si>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</si>
  <si>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</si>
  <si>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</si>
  <si>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</si>
  <si>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</si>
  <si>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</si>
  <si>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</si>
  <si>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</si>
  <si>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</si>
  <si>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</si>
  <si>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</si>
  <si>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</si>
  <si>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</si>
  <si>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</si>
  <si>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</si>
  <si>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</si>
  <si>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</si>
  <si>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</si>
  <si>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</si>
  <si>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</si>
  <si>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</si>
  <si>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</si>
  <si>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</si>
  <si>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</si>
  <si>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</si>
  <si>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</si>
  <si>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</si>
  <si>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</si>
  <si>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</si>
  <si>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</si>
  <si>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</si>
  <si>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</si>
  <si>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</si>
  <si>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</si>
  <si>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</si>
  <si>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</si>
  <si>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2021年年初无预算。</t>
  </si>
  <si>
    <t>行政事业单位养老支出（款）2021年度决算</t>
  </si>
  <si>
    <t>抚恤（款）2021年度决算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</si>
  <si>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</si>
  <si>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</si>
  <si>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</si>
  <si>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</si>
  <si>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</si>
  <si>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</si>
  <si>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</si>
  <si>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</si>
  <si>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</si>
  <si>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</si>
  <si>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</si>
  <si>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</si>
  <si>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</si>
  <si>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</si>
  <si>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</si>
  <si>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</si>
  <si>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</si>
  <si>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</si>
  <si>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</si>
  <si>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</si>
  <si>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</si>
  <si>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</si>
  <si>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</si>
  <si>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</si>
  <si>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</si>
  <si>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</si>
  <si>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</si>
  <si>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</si>
  <si>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</si>
  <si>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</si>
  <si>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</si>
  <si>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</si>
  <si>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</si>
  <si>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</si>
  <si>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第一六一中学的前身是京师公立第一女子中学，创建于1913年。建校初期得到革命先驱李大钊先生的关怀和扶持，是著名的“一二·九”爱国学生运动策源地之一。解放后成为最早被确定的市属重点中学之一。
学校全面贯彻党的教育方针，落实立德树人根本任务。在“以学生和教师为本，为学生成长、教师发展服务”办学理念的引领下，努力实现“把学校建成学生满意、家长放心、社会认可的高水平示范学校”的办学目标，承担起为民族复兴大任培养接班人的历史使命。
    学校遵循教育规律和人才成长规律，从促进学生全面发展和终身发展角度出发， 构建了行为养成、道德认知、理想信念分层递进的德育内容体现。学校“把心放在最高处，把根扎在最深处”，践行“诚真”校训，通过多种途径，推动知情意行的统一，努力培养具有“爱国 明理 乐学 向上”品质的中学生，让“站出来，让祖国挑选！”的学校精神落地生根。
    学校致力于培养学生乐学、会学的学习品质和终身学习的能力，把激发学习兴趣、培养自主学习能力作为教学研究的重点，构建有利于开发学生潜能、发展学生个性、培养学生自主能力的教学模式和方法，努力实现学生想学、会学、学好的教学目标。“双减”政策实施以来，学校以“课堂提质、作业减负、课后丰富”为目标，进一步优化教育教学管理，提高教学质量，促进学生全面健康成长，切实增强人民群众的教育获得感、家庭幸福感。
    学校现有57个教学班，2000余名学生，282名教职工，学校师资力量雄厚，其中正高级、高级教师所占比例为40%，特级教师、市区级学科带头人及骨干教师72人。
</t>
    <phoneticPr fontId="4" type="noConversion"/>
  </si>
  <si>
    <t>主要原因是学校坚决贯彻落实国家过今日子的要求，严格控制公用经费支出；搬入新校区后，教育教学活动步入正轨，修缮类项目数减少。</t>
    <phoneticPr fontId="4" type="noConversion"/>
  </si>
  <si>
    <t>主要原因是由于人员增加，以及课后服务、扩区办学、人员正常晋级等资金的增加；以及扩班等基础改造及设备等增加。</t>
    <phoneticPr fontId="4" type="noConversion"/>
  </si>
  <si>
    <t>主要原因是疫情原因没有组织相关进修及培训活动。</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</si>
  <si>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</si>
  <si>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</si>
  <si>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</si>
  <si>
    <t>主要原因是事业单位离退休支出增加。</t>
    <phoneticPr fontId="4" type="noConversion"/>
  </si>
  <si>
    <t>主要原因是行政事业单位医疗保险增加。</t>
    <phoneticPr fontId="4" type="noConversion"/>
  </si>
  <si>
    <t>主要原因是住房公积金增加。</t>
    <phoneticPr fontId="4" type="noConversion"/>
  </si>
  <si>
    <t>主要原因是我单位严格控制公务用车使用范围，降低公务用车费用，在预算范围内据实结算。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</si>
</sst>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5">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
      <sz val="11"/>
      <color indexed="8"/>
      <name val="宋体"/>
      <family val="2"/>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6">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xf numFmtId="0" fontId="11" fillId="0" borderId="0" xfId="0" applyFont="1" applyFill="1" applyBorder="1" applyAlignment="1">
      <alignment horizontal="right" vertical="center" shrinkToFit="1"/>
    </xf>
    <xf numFmtId="176" fontId="11" fillId="0" borderId="0" xfId="0" applyNumberFormat="1" applyFont="1" applyFill="1" applyBorder="1" applyAlignment="1">
      <alignment horizontal="left" vertical="center" shrinkToFit="1"/>
    </xf>
    <xf numFmtId="0" fontId="11" fillId="0" borderId="0" xfId="0" applyFont="1" applyFill="1" applyBorder="1">
      <alignment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vertical="center" shrinkToFit="1"/>
    </xf>
    <xf numFmtId="4" fontId="24" fillId="0" borderId="0" xfId="0" applyNumberFormat="1" applyFont="1" applyFill="1" applyBorder="1" applyAlignment="1">
      <alignment horizontal="right" vertical="center" shrinkToFit="1"/>
    </xf>
    <xf numFmtId="0" fontId="0" fillId="0" borderId="0" xfId="0" applyFill="1" applyBorder="1">
      <alignmen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6" t="s">
        <v>0</v>
      </c>
      <c r="B1" s="27">
        <v>255017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北京市第一六一中学</v>
      </c>
      <c r="B11" s="75"/>
      <c r="C11" s="75"/>
      <c r="D11" s="75"/>
      <c r="E11" s="75"/>
      <c r="F11" s="75"/>
      <c r="G11" s="75"/>
      <c r="H11" s="75"/>
      <c r="I11" s="75"/>
      <c r="J11" s="75"/>
      <c r="K11" s="75"/>
      <c r="L11" s="75"/>
      <c r="M11" s="75"/>
      <c r="N11" s="1"/>
    </row>
    <row r="12" spans="1:14" ht="72" customHeight="1">
      <c r="A12" s="75" t="s">
        <v>406</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1" t="s">
        <v>356</v>
      </c>
      <c r="D1" s="71" t="s">
        <v>357</v>
      </c>
      <c r="E1" s="41" t="s">
        <v>358</v>
      </c>
      <c r="F1" s="41" t="s">
        <v>359</v>
      </c>
      <c r="G1" s="41" t="s">
        <v>360</v>
      </c>
      <c r="H1" s="41" t="s">
        <v>361</v>
      </c>
      <c r="I1" s="41" t="s">
        <v>362</v>
      </c>
      <c r="J1" s="41" t="s">
        <v>363</v>
      </c>
      <c r="K1" s="41" t="s">
        <v>364</v>
      </c>
      <c r="L1" s="41" t="s">
        <v>365</v>
      </c>
      <c r="M1" s="41" t="s">
        <v>366</v>
      </c>
      <c r="N1" s="41" t="s">
        <v>367</v>
      </c>
      <c r="O1" s="41" t="s">
        <v>368</v>
      </c>
      <c r="P1" s="41" t="s">
        <v>369</v>
      </c>
      <c r="Q1" s="71" t="s">
        <v>370</v>
      </c>
      <c r="R1" s="71" t="s">
        <v>371</v>
      </c>
      <c r="S1" s="72" t="s">
        <v>453</v>
      </c>
      <c r="T1" s="72" t="s">
        <v>454</v>
      </c>
      <c r="U1" s="41" t="s">
        <v>372</v>
      </c>
      <c r="V1" s="41" t="s">
        <v>373</v>
      </c>
      <c r="W1" s="71" t="s">
        <v>374</v>
      </c>
      <c r="X1" s="71" t="s">
        <v>375</v>
      </c>
      <c r="Y1" s="41" t="s">
        <v>376</v>
      </c>
      <c r="Z1" s="41" t="s">
        <v>377</v>
      </c>
      <c r="AA1" s="41" t="s">
        <v>378</v>
      </c>
      <c r="AB1" s="41" t="s">
        <v>379</v>
      </c>
      <c r="AC1" s="71" t="s">
        <v>380</v>
      </c>
      <c r="AD1" s="71" t="s">
        <v>381</v>
      </c>
      <c r="AE1" s="41" t="s">
        <v>382</v>
      </c>
      <c r="AF1" s="41" t="s">
        <v>383</v>
      </c>
      <c r="AG1" s="71" t="s">
        <v>384</v>
      </c>
      <c r="AH1" s="71" t="s">
        <v>385</v>
      </c>
      <c r="AI1" s="41" t="s">
        <v>386</v>
      </c>
      <c r="AJ1" s="41" t="s">
        <v>387</v>
      </c>
      <c r="AK1" s="71" t="s">
        <v>388</v>
      </c>
      <c r="AL1" s="71"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444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445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449</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449</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443</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443</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443</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443</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443</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443</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443</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443</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443</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443</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443</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449</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449</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444</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444</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444</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444</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444</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444</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445</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445</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445</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445</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445</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445</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449</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0" t="s">
        <v>396</v>
      </c>
      <c r="B2" s="70">
        <v>2050101</v>
      </c>
      <c r="C2" s="70"/>
      <c r="D2" s="70"/>
      <c r="E2" s="70"/>
      <c r="F2" s="70">
        <v>205</v>
      </c>
    </row>
    <row r="3" spans="1:6">
      <c r="A3" s="70" t="s">
        <v>397</v>
      </c>
      <c r="B3" s="70">
        <v>2050102</v>
      </c>
      <c r="C3" s="70"/>
      <c r="D3" s="70"/>
      <c r="E3" s="70"/>
      <c r="F3" s="70">
        <v>206</v>
      </c>
    </row>
    <row r="4" spans="1:6">
      <c r="A4" s="70" t="s">
        <v>325</v>
      </c>
      <c r="B4" s="70">
        <v>2050201</v>
      </c>
      <c r="C4" s="70"/>
      <c r="D4" s="70"/>
      <c r="E4" s="70"/>
      <c r="F4" s="70">
        <v>208</v>
      </c>
    </row>
    <row r="5" spans="1:6">
      <c r="A5" s="70" t="s">
        <v>326</v>
      </c>
      <c r="B5" s="70">
        <v>2050202</v>
      </c>
      <c r="C5" s="70"/>
      <c r="D5" s="70"/>
      <c r="E5" s="70"/>
      <c r="F5" s="70">
        <v>210</v>
      </c>
    </row>
    <row r="6" spans="1:6">
      <c r="A6" s="70" t="s">
        <v>341</v>
      </c>
      <c r="B6" s="70">
        <v>2050203</v>
      </c>
      <c r="C6" s="70"/>
      <c r="D6" s="70"/>
      <c r="E6" s="70"/>
      <c r="F6" s="70">
        <v>212</v>
      </c>
    </row>
    <row r="7" spans="1:6">
      <c r="A7" s="70" t="s">
        <v>327</v>
      </c>
      <c r="B7" s="70">
        <v>2050204</v>
      </c>
      <c r="C7" s="70"/>
      <c r="D7" s="70"/>
      <c r="E7" s="70"/>
      <c r="F7" s="70">
        <v>221</v>
      </c>
    </row>
    <row r="8" spans="1:6">
      <c r="A8" s="70" t="s">
        <v>328</v>
      </c>
      <c r="B8" s="70">
        <v>2050299</v>
      </c>
      <c r="C8" s="70"/>
      <c r="D8" s="70"/>
      <c r="E8" s="70"/>
      <c r="F8" s="70">
        <v>229</v>
      </c>
    </row>
    <row r="9" spans="1:6">
      <c r="A9" s="70" t="s">
        <v>342</v>
      </c>
      <c r="B9" s="70">
        <v>2050302</v>
      </c>
      <c r="C9" s="70"/>
      <c r="D9" s="70"/>
      <c r="E9" s="70"/>
      <c r="F9" s="70">
        <v>234</v>
      </c>
    </row>
    <row r="10" spans="1:6">
      <c r="A10" s="70" t="s">
        <v>398</v>
      </c>
      <c r="B10" s="70">
        <v>2050304</v>
      </c>
      <c r="C10" s="70"/>
      <c r="D10" s="70"/>
      <c r="E10" s="70"/>
      <c r="F10" s="70">
        <v>213</v>
      </c>
    </row>
    <row r="11" spans="1:6">
      <c r="A11" s="70" t="s">
        <v>343</v>
      </c>
      <c r="B11" s="70">
        <v>2050399</v>
      </c>
      <c r="C11" s="70"/>
      <c r="D11" s="70"/>
      <c r="E11" s="70"/>
      <c r="F11" s="70"/>
    </row>
    <row r="12" spans="1:6">
      <c r="A12" s="70" t="s">
        <v>352</v>
      </c>
      <c r="B12" s="70">
        <v>2050403</v>
      </c>
      <c r="C12" s="70"/>
      <c r="D12" s="70"/>
      <c r="E12" s="70"/>
      <c r="F12" s="70"/>
    </row>
    <row r="13" spans="1:6">
      <c r="A13" s="70" t="s">
        <v>353</v>
      </c>
      <c r="B13" s="70">
        <v>2050404</v>
      </c>
      <c r="C13" s="70"/>
      <c r="D13" s="70"/>
      <c r="E13" s="70"/>
      <c r="F13" s="70"/>
    </row>
    <row r="14" spans="1:6">
      <c r="A14" s="70" t="s">
        <v>346</v>
      </c>
      <c r="B14" s="70">
        <v>2050701</v>
      </c>
      <c r="C14" s="70"/>
      <c r="D14" s="70"/>
      <c r="E14" s="70"/>
      <c r="F14" s="70"/>
    </row>
    <row r="15" spans="1:6">
      <c r="A15" s="70" t="s">
        <v>348</v>
      </c>
      <c r="B15" s="70">
        <v>2050702</v>
      </c>
      <c r="C15" s="70"/>
      <c r="D15" s="70"/>
      <c r="E15" s="70"/>
      <c r="F15" s="70"/>
    </row>
    <row r="16" spans="1:6">
      <c r="A16" s="70" t="s">
        <v>347</v>
      </c>
      <c r="B16" s="70">
        <v>2050799</v>
      </c>
      <c r="C16" s="70"/>
      <c r="D16" s="70"/>
      <c r="E16" s="70"/>
      <c r="F16" s="70"/>
    </row>
    <row r="17" spans="1:6">
      <c r="A17" s="70" t="s">
        <v>350</v>
      </c>
      <c r="B17" s="70">
        <v>2050801</v>
      </c>
      <c r="C17" s="70"/>
      <c r="D17" s="70"/>
      <c r="E17" s="70"/>
      <c r="F17" s="70"/>
    </row>
    <row r="18" spans="1:6">
      <c r="A18" s="70" t="s">
        <v>329</v>
      </c>
      <c r="B18" s="70">
        <v>2050803</v>
      </c>
      <c r="C18" s="70"/>
      <c r="D18" s="70"/>
      <c r="E18" s="70"/>
      <c r="F18" s="70"/>
    </row>
    <row r="19" spans="1:6">
      <c r="A19" s="70" t="s">
        <v>330</v>
      </c>
      <c r="B19" s="70">
        <v>2050903</v>
      </c>
      <c r="C19" s="70"/>
      <c r="D19" s="70"/>
      <c r="E19" s="70"/>
      <c r="F19" s="70"/>
    </row>
    <row r="20" spans="1:6">
      <c r="A20" s="70" t="s">
        <v>331</v>
      </c>
      <c r="B20" s="70">
        <v>2050904</v>
      </c>
      <c r="C20" s="70"/>
      <c r="D20" s="70"/>
      <c r="E20" s="70"/>
      <c r="F20" s="70"/>
    </row>
    <row r="21" spans="1:6">
      <c r="A21" s="70" t="s">
        <v>344</v>
      </c>
      <c r="B21" s="70">
        <v>2050905</v>
      </c>
      <c r="C21" s="70"/>
      <c r="D21" s="70"/>
      <c r="E21" s="70"/>
      <c r="F21" s="70"/>
    </row>
    <row r="22" spans="1:6">
      <c r="A22" s="70" t="s">
        <v>345</v>
      </c>
      <c r="B22" s="70">
        <v>2050999</v>
      </c>
      <c r="C22" s="70"/>
      <c r="D22" s="70"/>
      <c r="E22" s="70"/>
      <c r="F22" s="70"/>
    </row>
    <row r="23" spans="1:6">
      <c r="A23" s="70" t="s">
        <v>449</v>
      </c>
      <c r="B23" s="70">
        <v>2060499</v>
      </c>
      <c r="C23" s="70" t="s">
        <v>450</v>
      </c>
      <c r="D23" s="70"/>
      <c r="E23" s="70"/>
      <c r="F23" s="70"/>
    </row>
    <row r="24" spans="1:6">
      <c r="A24" s="70" t="s">
        <v>349</v>
      </c>
      <c r="B24" s="70">
        <v>2060702</v>
      </c>
      <c r="C24" s="70"/>
      <c r="D24" s="70"/>
      <c r="E24" s="70"/>
      <c r="F24" s="70"/>
    </row>
    <row r="25" spans="1:6">
      <c r="A25" s="70" t="s">
        <v>399</v>
      </c>
      <c r="B25" s="70">
        <v>2080501</v>
      </c>
      <c r="C25" s="70"/>
      <c r="D25" s="70"/>
      <c r="E25" s="70"/>
      <c r="F25" s="70"/>
    </row>
    <row r="26" spans="1:6">
      <c r="A26" s="70" t="s">
        <v>332</v>
      </c>
      <c r="B26" s="70">
        <v>2080502</v>
      </c>
      <c r="C26" s="70"/>
      <c r="D26" s="70"/>
      <c r="E26" s="70"/>
      <c r="F26" s="70"/>
    </row>
    <row r="27" spans="1:6">
      <c r="A27" s="70" t="s">
        <v>333</v>
      </c>
      <c r="B27" s="70">
        <v>2080505</v>
      </c>
      <c r="C27" s="70"/>
      <c r="D27" s="70"/>
      <c r="E27" s="70"/>
      <c r="F27" s="70"/>
    </row>
    <row r="28" spans="1:6">
      <c r="A28" s="70" t="s">
        <v>334</v>
      </c>
      <c r="B28" s="70">
        <v>2080506</v>
      </c>
      <c r="C28" s="70"/>
      <c r="D28" s="70"/>
      <c r="E28" s="70"/>
      <c r="F28" s="70"/>
    </row>
    <row r="29" spans="1:6">
      <c r="A29" s="70" t="s">
        <v>335</v>
      </c>
      <c r="B29" s="70">
        <v>2080801</v>
      </c>
      <c r="C29" s="70"/>
      <c r="D29" s="70"/>
      <c r="E29" s="70"/>
      <c r="F29" s="70"/>
    </row>
    <row r="30" spans="1:6">
      <c r="A30" s="70" t="s">
        <v>400</v>
      </c>
      <c r="B30" s="70">
        <v>2101101</v>
      </c>
      <c r="C30" s="70"/>
      <c r="D30" s="70"/>
      <c r="E30" s="70"/>
      <c r="F30" s="70"/>
    </row>
    <row r="31" spans="1:6">
      <c r="A31" s="70" t="s">
        <v>336</v>
      </c>
      <c r="B31" s="70">
        <v>2101102</v>
      </c>
      <c r="C31" s="70"/>
      <c r="D31" s="70"/>
      <c r="E31" s="70"/>
      <c r="F31" s="70"/>
    </row>
    <row r="32" spans="1:6">
      <c r="A32" s="70" t="s">
        <v>337</v>
      </c>
      <c r="B32" s="70">
        <v>2101199</v>
      </c>
      <c r="C32" s="70"/>
      <c r="D32" s="70"/>
      <c r="E32" s="70"/>
      <c r="F32" s="70"/>
    </row>
    <row r="33" spans="1:6">
      <c r="A33" s="70" t="s">
        <v>354</v>
      </c>
      <c r="B33" s="70">
        <v>2120399</v>
      </c>
      <c r="C33" s="70"/>
      <c r="D33" s="70"/>
      <c r="E33" s="70"/>
      <c r="F33" s="70"/>
    </row>
    <row r="34" spans="1:6">
      <c r="A34" s="70" t="s">
        <v>451</v>
      </c>
      <c r="B34" s="70">
        <v>2120801</v>
      </c>
      <c r="C34" s="70" t="s">
        <v>450</v>
      </c>
      <c r="D34" s="70" t="s">
        <v>452</v>
      </c>
      <c r="E34" s="70"/>
      <c r="F34" s="70"/>
    </row>
    <row r="35" spans="1:6">
      <c r="A35" s="70" t="s">
        <v>351</v>
      </c>
      <c r="B35" s="70">
        <v>2130506</v>
      </c>
      <c r="C35" s="70">
        <v>2020</v>
      </c>
      <c r="D35" s="70"/>
      <c r="E35" s="70"/>
      <c r="F35" s="70"/>
    </row>
    <row r="36" spans="1:6">
      <c r="A36" s="70" t="s">
        <v>338</v>
      </c>
      <c r="B36" s="70">
        <v>2210201</v>
      </c>
      <c r="C36" s="70"/>
      <c r="D36" s="70"/>
      <c r="E36" s="70"/>
      <c r="F36" s="70"/>
    </row>
    <row r="37" spans="1:6">
      <c r="A37" s="70" t="s">
        <v>339</v>
      </c>
      <c r="B37" s="70">
        <v>2210202</v>
      </c>
      <c r="C37" s="70"/>
      <c r="D37" s="70"/>
      <c r="E37" s="70"/>
      <c r="F37" s="70"/>
    </row>
    <row r="38" spans="1:6">
      <c r="A38" s="70" t="s">
        <v>340</v>
      </c>
      <c r="B38" s="70">
        <v>2210203</v>
      </c>
      <c r="C38" s="70"/>
      <c r="D38" s="70"/>
      <c r="E38" s="70"/>
      <c r="F38" s="70"/>
    </row>
    <row r="39" spans="1:6">
      <c r="A39" s="70" t="s">
        <v>401</v>
      </c>
      <c r="B39" s="70">
        <v>2296003</v>
      </c>
      <c r="C39" s="70"/>
      <c r="D39" s="70"/>
      <c r="E39" s="70"/>
      <c r="F39" s="70"/>
    </row>
    <row r="40" spans="1:6">
      <c r="A40" s="70" t="s">
        <v>402</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6" t="s">
        <v>173</v>
      </c>
      <c r="B1" s="76"/>
      <c r="C1" s="76"/>
      <c r="D1" s="76"/>
      <c r="E1" s="76"/>
      <c r="F1" s="76"/>
      <c r="G1" s="76"/>
      <c r="H1" s="76"/>
      <c r="I1" s="76"/>
      <c r="J1" s="76"/>
      <c r="K1" s="76"/>
      <c r="L1" s="76"/>
      <c r="M1" s="76"/>
      <c r="N1" s="76"/>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7" t="s">
        <v>411</v>
      </c>
      <c r="B10" s="77"/>
      <c r="C10" s="77"/>
      <c r="D10" s="77"/>
      <c r="E10" s="77"/>
      <c r="F10" s="77"/>
      <c r="G10" s="77"/>
      <c r="H10" s="77"/>
      <c r="I10" s="77"/>
      <c r="J10" s="77"/>
      <c r="K10" s="77"/>
      <c r="L10" s="77"/>
      <c r="M10" s="77"/>
      <c r="N10" s="77"/>
    </row>
    <row r="11" spans="1:14" ht="78" customHeight="1">
      <c r="A11" s="78" t="s">
        <v>456</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tabSelected="1" topLeftCell="A34" zoomScaleNormal="100" workbookViewId="0">
      <selection activeCell="O50" sqref="O50"/>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408</v>
      </c>
      <c r="B1" s="77"/>
      <c r="C1" s="77"/>
      <c r="D1" s="77"/>
      <c r="E1" s="77"/>
      <c r="F1" s="77"/>
      <c r="G1" s="77"/>
      <c r="H1" s="77"/>
      <c r="I1" s="77"/>
      <c r="J1" s="77"/>
      <c r="K1" s="77"/>
      <c r="L1" s="77"/>
      <c r="M1" s="77"/>
      <c r="N1" s="55"/>
    </row>
    <row r="2" spans="1:14" ht="18" customHeight="1">
      <c r="A2" s="6" t="s">
        <v>174</v>
      </c>
    </row>
    <row r="3" spans="1:14" ht="18" customHeight="1">
      <c r="A3" s="7" t="s">
        <v>175</v>
      </c>
    </row>
    <row r="4" spans="1:14" ht="280.14999999999998" customHeight="1">
      <c r="A4" s="80" t="s">
        <v>459</v>
      </c>
      <c r="B4" s="80"/>
      <c r="C4" s="80"/>
      <c r="D4" s="80"/>
      <c r="E4" s="80"/>
      <c r="F4" s="80"/>
      <c r="G4" s="80"/>
      <c r="H4" s="80"/>
      <c r="I4" s="80"/>
      <c r="J4" s="80"/>
      <c r="K4" s="80"/>
      <c r="L4" s="80"/>
      <c r="M4" s="80"/>
      <c r="N4" s="18"/>
    </row>
    <row r="5" spans="1:14" ht="18" customHeight="1">
      <c r="A5" s="7" t="s">
        <v>176</v>
      </c>
    </row>
    <row r="6" spans="1:14" ht="18" customHeight="1">
      <c r="A6" s="84" t="s">
        <v>241</v>
      </c>
      <c r="B6" s="84"/>
      <c r="C6" s="10">
        <v>292</v>
      </c>
      <c r="D6" s="10" t="s">
        <v>243</v>
      </c>
      <c r="E6" s="8">
        <f>_xlfn.IFNA(VLOOKUP(封面!B1,'2021决算导出'!A:C,3,FALSE),"")</f>
        <v>282</v>
      </c>
      <c r="F6" s="10" t="s">
        <v>244</v>
      </c>
      <c r="G6" s="10"/>
      <c r="H6" s="10"/>
      <c r="I6" s="10"/>
      <c r="J6" s="10"/>
      <c r="K6" s="10"/>
      <c r="L6" s="10"/>
      <c r="M6" s="10"/>
      <c r="N6" s="10"/>
    </row>
    <row r="7" spans="1:14" ht="18" customHeight="1">
      <c r="A7" s="6" t="s">
        <v>177</v>
      </c>
    </row>
    <row r="8" spans="1:14" ht="18" customHeight="1">
      <c r="A8" s="84" t="s">
        <v>412</v>
      </c>
      <c r="B8" s="84"/>
      <c r="C8" s="84"/>
      <c r="D8" s="13">
        <f>_xlfn.IFNA(VLOOKUP(封面!B1,'2021决算导出'!A:D,4,FALSE),"")</f>
        <v>130932360.23999999</v>
      </c>
      <c r="E8" s="7" t="s">
        <v>179</v>
      </c>
      <c r="F8" s="19" t="s">
        <v>245</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11288531.38000001</v>
      </c>
      <c r="I8" s="15" t="s">
        <v>179</v>
      </c>
      <c r="J8" s="29" t="str">
        <f>IF(ISNA(VLOOKUP(封面!B1,'2020决算导出'!A:D,4,FALSE)),"",IF(D8-VLOOKUP(封面!B1,'2020决算导出'!A:D,4,FALSE)&gt;0,"增长","下降"))</f>
        <v>下降</v>
      </c>
      <c r="K8" s="30">
        <f>IF(ISNA(VLOOKUP(封面!B1,'2020决算导出'!A:D,4,FALSE)),"",H8/VLOOKUP(封面!B1,'2020决算导出'!A:D,4,FALSE))</f>
        <v>7.9373228865431647E-2</v>
      </c>
      <c r="L8" s="7" t="s">
        <v>309</v>
      </c>
    </row>
    <row r="9" spans="1:14" ht="18" customHeight="1">
      <c r="A9" s="7" t="s">
        <v>180</v>
      </c>
      <c r="G9" s="31"/>
      <c r="H9" s="31"/>
      <c r="I9" s="31"/>
      <c r="J9" s="31"/>
      <c r="K9" s="31"/>
    </row>
    <row r="10" spans="1:14" ht="18" customHeight="1">
      <c r="A10" s="84" t="s">
        <v>413</v>
      </c>
      <c r="B10" s="84"/>
      <c r="C10" s="84"/>
      <c r="D10" s="13">
        <f>_xlfn.IFNA(VLOOKUP(封面!B1,'2021决算导出'!A:E,5,FALSE),"")</f>
        <v>130932360.23999999</v>
      </c>
      <c r="E10" s="7" t="s">
        <v>179</v>
      </c>
      <c r="F10" s="19" t="s">
        <v>245</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10216024.829999998</v>
      </c>
      <c r="I10" s="15" t="s">
        <v>179</v>
      </c>
      <c r="J10" s="29" t="str">
        <f>IF(ISNA(VLOOKUP(封面!B1,'2020决算导出'!A:E,5,FALSE)),"",IF(D10-VLOOKUP(封面!B1,'2020决算导出'!A:E,5,FALSE)&gt;0,"增长","下降"))</f>
        <v>下降</v>
      </c>
      <c r="K10" s="30">
        <f>IF(ISNA(VLOOKUP(封面!B1,'2020决算导出'!A:E,5,FALSE)),"",H10/VLOOKUP(封面!B1,'2020决算导出'!A:E,5,FALSE))</f>
        <v>7.2377908007474151E-2</v>
      </c>
      <c r="L10" s="7" t="s">
        <v>310</v>
      </c>
    </row>
    <row r="11" spans="1:14" ht="18" customHeight="1">
      <c r="A11" s="84" t="s">
        <v>181</v>
      </c>
      <c r="B11" s="84"/>
      <c r="C11" s="84"/>
      <c r="D11" s="13">
        <f>_xlfn.IFNA(VLOOKUP(封面!B1,'2021决算导出'!A:F,6,FALSE),"")</f>
        <v>129615560.23999999</v>
      </c>
      <c r="E11" s="7" t="s">
        <v>179</v>
      </c>
      <c r="F11" s="84" t="s">
        <v>182</v>
      </c>
      <c r="G11" s="84"/>
      <c r="H11" s="28">
        <f>D11/$D$10</f>
        <v>0.98994289877929109</v>
      </c>
      <c r="I11" s="7" t="s">
        <v>311</v>
      </c>
    </row>
    <row r="12" spans="1:14" ht="18" customHeight="1">
      <c r="A12" s="84" t="s">
        <v>183</v>
      </c>
      <c r="B12" s="84"/>
      <c r="C12" s="84"/>
      <c r="D12" s="13">
        <f>_xlfn.IFNA(VLOOKUP(封面!B1,'2021决算导出'!A:G,7,FALSE),"")</f>
        <v>1316800</v>
      </c>
      <c r="E12" s="7" t="s">
        <v>179</v>
      </c>
      <c r="F12" s="84" t="s">
        <v>182</v>
      </c>
      <c r="G12" s="84"/>
      <c r="H12" s="28">
        <f t="shared" ref="H12:H15" si="0">D12/$D$10</f>
        <v>1.0057101220708889E-2</v>
      </c>
      <c r="I12" s="7" t="s">
        <v>311</v>
      </c>
    </row>
    <row r="13" spans="1:14" ht="18" customHeight="1">
      <c r="A13" s="84" t="s">
        <v>184</v>
      </c>
      <c r="B13" s="84"/>
      <c r="C13" s="84"/>
      <c r="D13" s="13">
        <f>_xlfn.IFNA(VLOOKUP(封面!B1,'2021决算导出'!A:H,8,FALSE),"")</f>
        <v>0</v>
      </c>
      <c r="E13" s="7" t="s">
        <v>179</v>
      </c>
      <c r="F13" s="84" t="s">
        <v>182</v>
      </c>
      <c r="G13" s="84"/>
      <c r="H13" s="28">
        <f t="shared" si="0"/>
        <v>0</v>
      </c>
      <c r="I13" s="7" t="s">
        <v>311</v>
      </c>
    </row>
    <row r="14" spans="1:14" ht="18" customHeight="1">
      <c r="A14" s="84" t="s">
        <v>185</v>
      </c>
      <c r="B14" s="84"/>
      <c r="C14" s="84"/>
      <c r="D14" s="13">
        <f>_xlfn.IFNA(VLOOKUP(封面!B1,'2021决算导出'!A:I,9,FALSE),"")</f>
        <v>0</v>
      </c>
      <c r="E14" s="7" t="s">
        <v>179</v>
      </c>
      <c r="F14" s="84" t="s">
        <v>182</v>
      </c>
      <c r="G14" s="84"/>
      <c r="H14" s="28">
        <f t="shared" si="0"/>
        <v>0</v>
      </c>
      <c r="I14" s="7" t="s">
        <v>311</v>
      </c>
    </row>
    <row r="15" spans="1:14" ht="18" customHeight="1">
      <c r="A15" s="84" t="s">
        <v>186</v>
      </c>
      <c r="B15" s="84"/>
      <c r="C15" s="84"/>
      <c r="D15" s="13">
        <f>_xlfn.IFNA(VLOOKUP(封面!B1,'2021决算导出'!A:J,10,FALSE),"")</f>
        <v>0</v>
      </c>
      <c r="E15" s="7" t="s">
        <v>179</v>
      </c>
      <c r="F15" s="84" t="s">
        <v>182</v>
      </c>
      <c r="G15" s="84"/>
      <c r="H15" s="28">
        <f t="shared" si="0"/>
        <v>0</v>
      </c>
      <c r="I15" s="7" t="s">
        <v>312</v>
      </c>
    </row>
    <row r="16" spans="1:14" ht="18" customHeight="1">
      <c r="A16" s="7" t="s">
        <v>187</v>
      </c>
    </row>
    <row r="17" spans="1:13" ht="18" customHeight="1">
      <c r="A17" s="84" t="s">
        <v>414</v>
      </c>
      <c r="B17" s="84"/>
      <c r="C17" s="84"/>
      <c r="D17" s="13">
        <f>_xlfn.IFNA(VLOOKUP(封面!B1,'2021决算导出'!A:K,11,FALSE),"")</f>
        <v>130887360.23999999</v>
      </c>
      <c r="E17" s="7" t="s">
        <v>179</v>
      </c>
      <c r="F17" s="19" t="s">
        <v>245</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11333531.38000001</v>
      </c>
      <c r="I17" s="7" t="s">
        <v>179</v>
      </c>
      <c r="J17" s="29" t="str">
        <f>IF(ISNA(VLOOKUP(封面!B1,'2020决算导出'!A:K,11,FALSE)),"",IF(D17-VLOOKUP(封面!B1,'2020决算导出'!A:K,11,FALSE)&gt;0,"增长","下降"))</f>
        <v>下降</v>
      </c>
      <c r="K17" s="30">
        <f>IF(ISNA(VLOOKUP(封面!B1,'2020决算导出'!A:K,11,FALSE)),"",H17/VLOOKUP(封面!B1,'2020决算导出'!A:K,11,FALSE))</f>
        <v>7.9689638075691946E-2</v>
      </c>
      <c r="L17" s="7" t="s">
        <v>313</v>
      </c>
    </row>
    <row r="18" spans="1:13" ht="18" customHeight="1">
      <c r="A18" s="84" t="s">
        <v>188</v>
      </c>
      <c r="B18" s="84"/>
      <c r="C18" s="84"/>
      <c r="D18" s="13">
        <f>_xlfn.IFNA(VLOOKUP(封面!B1,'2021决算导出'!A:L,12,FALSE),"")</f>
        <v>119048000.81</v>
      </c>
      <c r="E18" s="7" t="s">
        <v>179</v>
      </c>
      <c r="F18" s="84" t="s">
        <v>189</v>
      </c>
      <c r="G18" s="84"/>
      <c r="H18" s="28">
        <f>D18/$D$17</f>
        <v>0.9095454335064066</v>
      </c>
      <c r="I18" s="7" t="s">
        <v>311</v>
      </c>
    </row>
    <row r="19" spans="1:13" ht="18" customHeight="1">
      <c r="A19" s="84" t="s">
        <v>190</v>
      </c>
      <c r="B19" s="84"/>
      <c r="C19" s="84"/>
      <c r="D19" s="13">
        <f>_xlfn.IFNA(VLOOKUP(封面!B1,'2021决算导出'!A:M,13,FALSE),"")</f>
        <v>11839359.43</v>
      </c>
      <c r="E19" s="7" t="s">
        <v>179</v>
      </c>
      <c r="F19" s="84" t="s">
        <v>189</v>
      </c>
      <c r="G19" s="84"/>
      <c r="H19" s="28">
        <f t="shared" ref="H19:H20" si="1">D19/$D$17</f>
        <v>9.0454566493593458E-2</v>
      </c>
      <c r="I19" s="7" t="s">
        <v>311</v>
      </c>
    </row>
    <row r="20" spans="1:13" ht="18" customHeight="1">
      <c r="A20" s="84" t="s">
        <v>191</v>
      </c>
      <c r="B20" s="84"/>
      <c r="C20" s="84"/>
      <c r="D20" s="13">
        <f>_xlfn.IFNA(VLOOKUP(封面!B1,'2021决算导出'!A:N,14,FALSE),"")</f>
        <v>0</v>
      </c>
      <c r="E20" s="7" t="s">
        <v>179</v>
      </c>
      <c r="F20" s="84" t="s">
        <v>189</v>
      </c>
      <c r="G20" s="84"/>
      <c r="H20" s="28">
        <f t="shared" si="1"/>
        <v>0</v>
      </c>
      <c r="I20" s="7" t="s">
        <v>312</v>
      </c>
    </row>
    <row r="21" spans="1:13" ht="18" customHeight="1">
      <c r="A21" s="6" t="s">
        <v>192</v>
      </c>
    </row>
    <row r="22" spans="1:13" ht="18" customHeight="1">
      <c r="A22" s="84" t="s">
        <v>415</v>
      </c>
      <c r="B22" s="84"/>
      <c r="C22" s="84"/>
      <c r="D22" s="84"/>
      <c r="E22" s="79">
        <f>_xlfn.IFNA(VLOOKUP(封面!B1,'2021决算导出'!A:O,15,FALSE),"")</f>
        <v>129615560.23999999</v>
      </c>
      <c r="F22" s="79"/>
      <c r="G22" s="14" t="s">
        <v>245</v>
      </c>
      <c r="H22" s="29" t="str">
        <f>IF(ISNA(VLOOKUP(封面!B1,'2020决算导出'!A:O,15,FALSE)),"",IF(E22-VLOOKUP(封面!B1,'2020决算导出'!A:O,15,FALSE)&gt;0,"增加","减少"))</f>
        <v>减少</v>
      </c>
      <c r="I22" s="32">
        <f>IF(ISNA(VLOOKUP(封面!B1,'2020决算导出'!A:O,15,FALSE)),"",IF(E22-VLOOKUP(封面!B1,'2020决算导出'!A:O,15,FALSE)&gt;0,E22-VLOOKUP(封面!B1,'2020决算导出'!A:O,15,FALSE),VLOOKUP(封面!B1,'2020决算导出'!A:O,15,FALSE)-E22))</f>
        <v>11596131.38000001</v>
      </c>
      <c r="J22" s="7" t="s">
        <v>179</v>
      </c>
      <c r="K22" s="29" t="str">
        <f>IF(ISNA(VLOOKUP(封面!B1,'2020决算导出'!A:O,15,FALSE)),"",IF(E22-VLOOKUP(封面!B1,'2020决算导出'!A:O,15,FALSE)&gt;0,"增长","下降"))</f>
        <v>下降</v>
      </c>
      <c r="L22" s="30">
        <f>IF(ISNA(VLOOKUP(封面!B1,'2020决算导出'!A:O,15,FALSE)),"",I22/VLOOKUP(封面!B1,'2020决算导出'!A:O,15,FALSE))</f>
        <v>8.2118776759683224E-2</v>
      </c>
      <c r="M22" s="7" t="s">
        <v>309</v>
      </c>
    </row>
    <row r="23" spans="1:13" ht="44.25" customHeight="1">
      <c r="B23" s="86" t="s">
        <v>460</v>
      </c>
      <c r="C23" s="86"/>
      <c r="D23" s="86"/>
      <c r="E23" s="86"/>
      <c r="F23" s="86"/>
      <c r="G23" s="86"/>
      <c r="H23" s="86"/>
      <c r="I23" s="86"/>
      <c r="J23" s="86"/>
      <c r="K23" s="86"/>
      <c r="L23" s="86"/>
      <c r="M23" s="86"/>
    </row>
    <row r="24" spans="1:13" ht="18" customHeight="1">
      <c r="A24" s="6" t="s">
        <v>193</v>
      </c>
    </row>
    <row r="25" spans="1:13" ht="18" customHeight="1">
      <c r="A25" s="7" t="s">
        <v>194</v>
      </c>
    </row>
    <row r="26" spans="1:13" ht="18" customHeight="1">
      <c r="A26" s="84" t="s">
        <v>416</v>
      </c>
      <c r="B26" s="84"/>
      <c r="C26" s="84"/>
      <c r="D26" s="84"/>
      <c r="E26" s="84"/>
      <c r="F26" s="79">
        <f>_xlfn.IFNA(VLOOKUP(封面!B1,'2021决算导出'!A:P,16,FALSE),"")</f>
        <v>129570560.23999999</v>
      </c>
      <c r="G26" s="79"/>
      <c r="H26" s="7" t="s">
        <v>179</v>
      </c>
      <c r="I26" s="10" t="s">
        <v>195</v>
      </c>
      <c r="J26" s="10"/>
      <c r="K26" s="10"/>
      <c r="L26" s="10"/>
      <c r="M26" s="10"/>
    </row>
    <row r="27" spans="1:13" ht="18" customHeight="1">
      <c r="A27" s="84" t="s">
        <v>198</v>
      </c>
      <c r="B27" s="84"/>
      <c r="C27" s="84"/>
      <c r="D27" s="79">
        <f>_xlfn.IFNA(VLOOKUP(封面!B1,'2021决算导出'!A:Q,17,FALSE),"")</f>
        <v>85560638.730000004</v>
      </c>
      <c r="E27" s="79"/>
      <c r="F27" s="7" t="s">
        <v>179</v>
      </c>
      <c r="G27" s="82" t="s">
        <v>197</v>
      </c>
      <c r="H27" s="82"/>
      <c r="I27" s="28">
        <f>D27/$F$26</f>
        <v>0.66034011562131378</v>
      </c>
      <c r="J27" s="7" t="s">
        <v>311</v>
      </c>
      <c r="K27" s="9"/>
      <c r="L27" s="9"/>
      <c r="M27" s="9"/>
    </row>
    <row r="28" spans="1:13" ht="18" customHeight="1">
      <c r="A28" s="84" t="s">
        <v>199</v>
      </c>
      <c r="B28" s="84"/>
      <c r="C28" s="84"/>
      <c r="D28" s="79">
        <f>_xlfn.IFNA(VLOOKUP(封面!B1,'2021决算导出'!A:R,18,FALSE),"")</f>
        <v>0</v>
      </c>
      <c r="E28" s="79"/>
      <c r="F28" s="7" t="s">
        <v>179</v>
      </c>
      <c r="G28" s="82" t="s">
        <v>197</v>
      </c>
      <c r="H28" s="82"/>
      <c r="I28" s="28">
        <f t="shared" ref="I28:I32" si="2">D28/$F$26</f>
        <v>0</v>
      </c>
      <c r="J28" s="7" t="s">
        <v>311</v>
      </c>
      <c r="K28" s="9"/>
      <c r="L28" s="9"/>
      <c r="M28" s="9"/>
    </row>
    <row r="29" spans="1:13" ht="18" customHeight="1">
      <c r="A29" s="84" t="s">
        <v>196</v>
      </c>
      <c r="B29" s="84"/>
      <c r="C29" s="84"/>
      <c r="D29" s="79">
        <f>_xlfn.IFNA(VLOOKUP(封面!B1,'2021决算导出'!A:S,19,FALSE),"")</f>
        <v>20267201.140000001</v>
      </c>
      <c r="E29" s="79"/>
      <c r="F29" s="7" t="s">
        <v>179</v>
      </c>
      <c r="G29" s="82" t="s">
        <v>197</v>
      </c>
      <c r="H29" s="82"/>
      <c r="I29" s="28">
        <f t="shared" si="2"/>
        <v>0.15641825660442943</v>
      </c>
      <c r="J29" s="7" t="s">
        <v>311</v>
      </c>
    </row>
    <row r="30" spans="1:13" ht="18" customHeight="1">
      <c r="A30" s="84" t="s">
        <v>200</v>
      </c>
      <c r="B30" s="84"/>
      <c r="C30" s="84"/>
      <c r="D30" s="79">
        <f>_xlfn.IFNA(VLOOKUP(封面!B1,'2021决算导出'!A:T,20,FALSE),"")</f>
        <v>8764931.3699999992</v>
      </c>
      <c r="E30" s="79"/>
      <c r="F30" s="7" t="s">
        <v>179</v>
      </c>
      <c r="G30" s="82" t="s">
        <v>197</v>
      </c>
      <c r="H30" s="82"/>
      <c r="I30" s="28">
        <f t="shared" si="2"/>
        <v>6.7646009662727061E-2</v>
      </c>
      <c r="J30" s="7" t="s">
        <v>311</v>
      </c>
    </row>
    <row r="31" spans="1:13" ht="18" customHeight="1">
      <c r="A31" s="84" t="s">
        <v>201</v>
      </c>
      <c r="B31" s="84"/>
      <c r="C31" s="84"/>
      <c r="D31" s="79">
        <f>_xlfn.IFNA(VLOOKUP(封面!B1,'2021决算导出'!A:U,21,FALSE),"")</f>
        <v>0</v>
      </c>
      <c r="E31" s="79"/>
      <c r="F31" s="7" t="s">
        <v>179</v>
      </c>
      <c r="G31" s="82" t="s">
        <v>197</v>
      </c>
      <c r="H31" s="82"/>
      <c r="I31" s="28">
        <f t="shared" si="2"/>
        <v>0</v>
      </c>
      <c r="J31" s="7" t="s">
        <v>311</v>
      </c>
    </row>
    <row r="32" spans="1:13" ht="18" customHeight="1">
      <c r="A32" s="84" t="s">
        <v>202</v>
      </c>
      <c r="B32" s="84"/>
      <c r="C32" s="84"/>
      <c r="D32" s="79">
        <f>_xlfn.IFNA(VLOOKUP(封面!B1,'2021决算导出'!A:V,22,FALSE),"")</f>
        <v>14977789</v>
      </c>
      <c r="E32" s="79"/>
      <c r="F32" s="7" t="s">
        <v>179</v>
      </c>
      <c r="G32" s="82" t="s">
        <v>197</v>
      </c>
      <c r="H32" s="82"/>
      <c r="I32" s="28">
        <f t="shared" si="2"/>
        <v>0.11559561811152975</v>
      </c>
      <c r="J32" s="7" t="s">
        <v>311</v>
      </c>
    </row>
    <row r="33" spans="1:12" ht="18" customHeight="1">
      <c r="A33" s="7" t="s">
        <v>203</v>
      </c>
    </row>
    <row r="34" spans="1:12" ht="18" customHeight="1">
      <c r="A34" s="85" t="s">
        <v>417</v>
      </c>
      <c r="B34" s="85"/>
      <c r="C34" s="85"/>
      <c r="D34" s="85"/>
      <c r="E34" s="79">
        <f>_xlfn.IFNA(VLOOKUP(封面!B1,一般公共预算财政拨款支出决算具体情况!A:C,3,FALSE),"")</f>
        <v>85560638.730000004</v>
      </c>
      <c r="F34" s="79"/>
      <c r="G34" s="7" t="s">
        <v>179</v>
      </c>
      <c r="H34" s="82" t="s">
        <v>418</v>
      </c>
      <c r="I34" s="82"/>
      <c r="J34" s="79">
        <f>_xlfn.IFNA(VLOOKUP(封面!B1,一般公共预算财政拨款支出决算具体情况!A:D,4,FALSE),"")</f>
        <v>74494556.170000002</v>
      </c>
      <c r="K34" s="79"/>
      <c r="L34" s="11" t="s">
        <v>178</v>
      </c>
    </row>
    <row r="35" spans="1:12" ht="18" customHeight="1">
      <c r="B35" s="14" t="str">
        <f>IF(E34&gt;J34,"增加","减少")</f>
        <v>增加</v>
      </c>
      <c r="C35" s="79">
        <f>ABS(E34-J34)</f>
        <v>11066082.560000002</v>
      </c>
      <c r="D35" s="79"/>
      <c r="E35" s="7" t="s">
        <v>179</v>
      </c>
      <c r="F35" s="14" t="str">
        <f>IF(E34&gt;J34,"增长","下降")</f>
        <v>增长</v>
      </c>
      <c r="G35" s="33">
        <f>IF(J34=0,IF(E34&gt;0,1,""),C35/J34)</f>
        <v>0.14854887563524363</v>
      </c>
      <c r="H35" s="7" t="s">
        <v>312</v>
      </c>
      <c r="I35" s="11" t="s">
        <v>204</v>
      </c>
    </row>
    <row r="36" spans="1:12" ht="18" customHeight="1">
      <c r="A36" s="84" t="s">
        <v>419</v>
      </c>
      <c r="B36" s="84"/>
      <c r="C36" s="84"/>
      <c r="D36" s="84"/>
      <c r="E36" s="79">
        <f>_xlfn.IFNA(VLOOKUP(封面!B1,一般公共预算财政拨款支出决算具体情况!A:E,5,FALSE),"")</f>
        <v>84836396.829999998</v>
      </c>
      <c r="F36" s="79"/>
      <c r="G36" s="7" t="s">
        <v>179</v>
      </c>
      <c r="H36" s="82" t="s">
        <v>418</v>
      </c>
      <c r="I36" s="82"/>
      <c r="J36" s="79">
        <f>_xlfn.IFNA(VLOOKUP(封面!B1,一般公共预算财政拨款支出决算具体情况!A:F,6,FALSE),"")</f>
        <v>73594196.170000002</v>
      </c>
      <c r="K36" s="79"/>
      <c r="L36" s="11" t="s">
        <v>178</v>
      </c>
    </row>
    <row r="37" spans="1:12" ht="18" customHeight="1">
      <c r="A37" s="14"/>
      <c r="B37" s="14" t="str">
        <f>IF(E36&gt;J36,"增加","减少")</f>
        <v>增加</v>
      </c>
      <c r="C37" s="79">
        <f>ABS(E36-J36)</f>
        <v>11242200.659999996</v>
      </c>
      <c r="D37" s="79"/>
      <c r="E37" s="7" t="s">
        <v>179</v>
      </c>
      <c r="F37" s="14" t="str">
        <f>IF(E36&gt;J36,"增长","下降")</f>
        <v>增长</v>
      </c>
      <c r="G37" s="33">
        <f>IF(J36=0,IF(E36&gt;0,1,""),C37/J36)</f>
        <v>0.15275933762535987</v>
      </c>
      <c r="H37" s="7" t="s">
        <v>312</v>
      </c>
    </row>
    <row r="38" spans="1:12" ht="36" customHeight="1">
      <c r="B38" s="80" t="s">
        <v>461</v>
      </c>
      <c r="C38" s="80"/>
      <c r="D38" s="80"/>
      <c r="E38" s="80"/>
      <c r="F38" s="80"/>
      <c r="G38" s="80"/>
      <c r="H38" s="80"/>
      <c r="I38" s="80"/>
      <c r="J38" s="80"/>
      <c r="K38" s="80"/>
      <c r="L38" s="80"/>
    </row>
    <row r="39" spans="1:12" ht="18" customHeight="1">
      <c r="A39" s="84" t="s">
        <v>420</v>
      </c>
      <c r="B39" s="84"/>
      <c r="C39" s="84"/>
      <c r="D39" s="84"/>
      <c r="E39" s="79">
        <f>_xlfn.IFNA(VLOOKUP(封面!B1,一般公共预算财政拨款支出决算具体情况!A:M,13,FALSE),"")</f>
        <v>4761.8999999999996</v>
      </c>
      <c r="F39" s="79"/>
      <c r="G39" s="7" t="s">
        <v>179</v>
      </c>
      <c r="H39" s="82" t="s">
        <v>418</v>
      </c>
      <c r="I39" s="82"/>
      <c r="J39" s="79">
        <f>_xlfn.IFNA(VLOOKUP(封面!B1,一般公共预算财政拨款支出决算具体情况!A:N,14,FALSE),"")</f>
        <v>180880</v>
      </c>
      <c r="K39" s="79"/>
      <c r="L39" s="11" t="s">
        <v>178</v>
      </c>
    </row>
    <row r="40" spans="1:12" ht="18" customHeight="1">
      <c r="A40" s="14"/>
      <c r="B40" s="14" t="str">
        <f>IF(E39&gt;J39,"增加","减少")</f>
        <v>减少</v>
      </c>
      <c r="C40" s="79">
        <f>ABS(E39-J39)</f>
        <v>176118.1</v>
      </c>
      <c r="D40" s="79"/>
      <c r="E40" s="7" t="s">
        <v>179</v>
      </c>
      <c r="F40" s="14" t="str">
        <f>IF(E39&gt;J39,"增长","下降")</f>
        <v>下降</v>
      </c>
      <c r="G40" s="33">
        <f>IF(J39=0,IF(E39&gt;0,1,""),C40/J39)</f>
        <v>0.97367370632463512</v>
      </c>
      <c r="H40" s="7" t="s">
        <v>312</v>
      </c>
    </row>
    <row r="41" spans="1:12" ht="18.75">
      <c r="B41" s="80" t="s">
        <v>462</v>
      </c>
      <c r="C41" s="80"/>
      <c r="D41" s="80"/>
      <c r="E41" s="80"/>
      <c r="F41" s="80"/>
      <c r="G41" s="80"/>
      <c r="H41" s="80"/>
      <c r="I41" s="80"/>
      <c r="J41" s="80"/>
      <c r="K41" s="80"/>
      <c r="L41" s="80"/>
    </row>
    <row r="42" spans="1:12" ht="18" customHeight="1">
      <c r="A42" s="81" t="s">
        <v>421</v>
      </c>
      <c r="B42" s="81"/>
      <c r="C42" s="81"/>
      <c r="D42" s="81"/>
      <c r="E42" s="79">
        <f>_xlfn.IFNA(VLOOKUP(封面!B1,一般公共预算财政拨款支出决算具体情况!A:O,15,FALSE),"")</f>
        <v>719480</v>
      </c>
      <c r="F42" s="79"/>
      <c r="G42" s="7" t="s">
        <v>179</v>
      </c>
      <c r="H42" s="82" t="s">
        <v>418</v>
      </c>
      <c r="I42" s="82"/>
      <c r="J42" s="79">
        <f>_xlfn.IFNA(VLOOKUP(封面!B1,一般公共预算财政拨款支出决算具体情况!A:P,16,FALSE),"")</f>
        <v>719480</v>
      </c>
      <c r="K42" s="79"/>
      <c r="L42" s="11" t="s">
        <v>178</v>
      </c>
    </row>
    <row r="43" spans="1:12" ht="18" customHeight="1">
      <c r="A43" s="14"/>
      <c r="B43" s="14" t="str">
        <f>IF(E42&gt;J42,"增加","减少")</f>
        <v>减少</v>
      </c>
      <c r="C43" s="79">
        <f>ABS(E42-J42)</f>
        <v>0</v>
      </c>
      <c r="D43" s="79"/>
      <c r="E43" s="7" t="s">
        <v>179</v>
      </c>
      <c r="F43" s="14" t="str">
        <f>IF(E42&gt;J42,"增长","下降")</f>
        <v>下降</v>
      </c>
      <c r="G43" s="33">
        <f>IF(J42=0,IF(E42&gt;0,1,""),C43/J42)</f>
        <v>0</v>
      </c>
      <c r="H43" s="7" t="s">
        <v>312</v>
      </c>
    </row>
    <row r="44" spans="1:12" ht="18" customHeight="1">
      <c r="A44" s="83" t="s">
        <v>463</v>
      </c>
      <c r="B44" s="83"/>
      <c r="C44" s="83"/>
      <c r="D44" s="83"/>
      <c r="E44" s="79">
        <f>_xlfn.IFNA(VLOOKUP(封面!B1,一般公共预算财政拨款支出决算具体情况!A:W,23,FALSE),"")</f>
        <v>20267201.140000001</v>
      </c>
      <c r="F44" s="79"/>
      <c r="G44" s="7" t="s">
        <v>179</v>
      </c>
      <c r="H44" s="82" t="s">
        <v>418</v>
      </c>
      <c r="I44" s="82"/>
      <c r="J44" s="79">
        <f>_xlfn.IFNA(VLOOKUP(封面!B1,一般公共预算财政拨款支出决算具体情况!A:X,24,FALSE),"")</f>
        <v>19750365.420000002</v>
      </c>
      <c r="K44" s="79"/>
      <c r="L44" s="11" t="s">
        <v>178</v>
      </c>
    </row>
    <row r="45" spans="1:12" ht="18" customHeight="1">
      <c r="B45" s="14" t="str">
        <f>IF(E44&gt;J44,"增加","减少")</f>
        <v>增加</v>
      </c>
      <c r="C45" s="79">
        <f>ABS(E44-J44)</f>
        <v>516835.71999999881</v>
      </c>
      <c r="D45" s="79"/>
      <c r="E45" s="7" t="s">
        <v>179</v>
      </c>
      <c r="F45" s="14" t="str">
        <f>IF(E44&gt;J44,"增长","下降")</f>
        <v>增长</v>
      </c>
      <c r="G45" s="33">
        <f>IF(J44=0,IF(E44&gt;0,1,""),C45/J44)</f>
        <v>2.616841303992434E-2</v>
      </c>
      <c r="H45" s="7" t="s">
        <v>312</v>
      </c>
      <c r="I45" s="11" t="s">
        <v>204</v>
      </c>
    </row>
    <row r="46" spans="1:12" ht="18" customHeight="1">
      <c r="A46" s="81" t="s">
        <v>423</v>
      </c>
      <c r="B46" s="81"/>
      <c r="C46" s="81"/>
      <c r="D46" s="81"/>
      <c r="E46" s="79">
        <f>_xlfn.IFNA(VLOOKUP(封面!B1,一般公共预算财政拨款支出决算具体情况!A:Y,25,FALSE),"")</f>
        <v>20267201.140000001</v>
      </c>
      <c r="F46" s="79"/>
      <c r="G46" s="7" t="s">
        <v>179</v>
      </c>
      <c r="H46" s="82" t="s">
        <v>418</v>
      </c>
      <c r="I46" s="82"/>
      <c r="J46" s="79">
        <f>_xlfn.IFNA(VLOOKUP(封面!B1,一般公共预算财政拨款支出决算具体情况!A:Z,26,FALSE),"")</f>
        <v>19750365.420000002</v>
      </c>
      <c r="K46" s="79"/>
      <c r="L46" s="11" t="s">
        <v>178</v>
      </c>
    </row>
    <row r="47" spans="1:12" ht="18" customHeight="1">
      <c r="A47" s="14"/>
      <c r="B47" s="14" t="str">
        <f>IF(E46&gt;J46,"增加","减少")</f>
        <v>增加</v>
      </c>
      <c r="C47" s="79">
        <f>ABS(E46-J46)</f>
        <v>516835.71999999881</v>
      </c>
      <c r="D47" s="79"/>
      <c r="E47" s="7" t="s">
        <v>179</v>
      </c>
      <c r="F47" s="14" t="str">
        <f>IF(E46&gt;J46,"增长","下降")</f>
        <v>增长</v>
      </c>
      <c r="G47" s="33">
        <f>IF(J46=0,IF(E46&gt;0,1,""),C47/J46)</f>
        <v>2.616841303992434E-2</v>
      </c>
      <c r="H47" s="7" t="s">
        <v>312</v>
      </c>
    </row>
    <row r="48" spans="1:12" ht="18.75">
      <c r="B48" s="80" t="s">
        <v>466</v>
      </c>
      <c r="C48" s="80"/>
      <c r="D48" s="80"/>
      <c r="E48" s="80"/>
      <c r="F48" s="80"/>
      <c r="G48" s="80"/>
      <c r="H48" s="80"/>
      <c r="I48" s="80"/>
      <c r="J48" s="80"/>
      <c r="K48" s="80"/>
      <c r="L48" s="80"/>
    </row>
    <row r="49" spans="1:13" s="95" customFormat="1" ht="18" customHeight="1">
      <c r="A49" s="89" t="s">
        <v>424</v>
      </c>
      <c r="B49" s="89"/>
      <c r="C49" s="89"/>
      <c r="D49" s="89"/>
      <c r="E49" s="90">
        <f>_xlfn.IFNA(VLOOKUP(封面!B1,一般公共预算财政拨款支出决算具体情况!A:AA,27,FALSE),"")</f>
        <v>0</v>
      </c>
      <c r="F49" s="90"/>
      <c r="G49" s="91" t="s">
        <v>179</v>
      </c>
      <c r="H49" s="92" t="s">
        <v>422</v>
      </c>
      <c r="I49" s="92"/>
      <c r="J49" s="90"/>
      <c r="K49" s="90"/>
      <c r="L49" s="93"/>
      <c r="M49" s="94"/>
    </row>
    <row r="50" spans="1:13" ht="18" customHeight="1">
      <c r="A50" s="83" t="s">
        <v>464</v>
      </c>
      <c r="B50" s="83"/>
      <c r="C50" s="83"/>
      <c r="D50" s="83"/>
      <c r="E50" s="79">
        <f>_xlfn.IFNA(VLOOKUP(封面!B1,一般公共预算财政拨款支出决算具体情况!A:AC,29,FALSE),"")</f>
        <v>8764931.370000001</v>
      </c>
      <c r="F50" s="79"/>
      <c r="G50" s="7" t="s">
        <v>179</v>
      </c>
      <c r="H50" s="82" t="s">
        <v>418</v>
      </c>
      <c r="I50" s="82"/>
      <c r="J50" s="79">
        <f>_xlfn.IFNA(VLOOKUP(封面!B1,一般公共预算财政拨款支出决算具体情况!A:AD,30,FALSE),"")</f>
        <v>7782626.0899999999</v>
      </c>
      <c r="K50" s="79"/>
      <c r="L50" s="11" t="s">
        <v>178</v>
      </c>
    </row>
    <row r="51" spans="1:13" ht="18" customHeight="1">
      <c r="B51" s="14" t="str">
        <f>IF(E50&gt;J50,"增加","减少")</f>
        <v>增加</v>
      </c>
      <c r="C51" s="79">
        <f>ABS(E50-J50)</f>
        <v>982305.28000000119</v>
      </c>
      <c r="D51" s="79"/>
      <c r="E51" s="7" t="s">
        <v>179</v>
      </c>
      <c r="F51" s="14" t="str">
        <f>IF(E50&gt;J50,"增长","下降")</f>
        <v>增长</v>
      </c>
      <c r="G51" s="33">
        <f>IF(J50=0,IF(E50&gt;0,1,""),C51/J50)</f>
        <v>0.12621771477139038</v>
      </c>
      <c r="H51" s="7" t="s">
        <v>312</v>
      </c>
      <c r="I51" s="11" t="s">
        <v>204</v>
      </c>
    </row>
    <row r="52" spans="1:13" ht="18" customHeight="1">
      <c r="A52" s="81" t="s">
        <v>425</v>
      </c>
      <c r="B52" s="81"/>
      <c r="C52" s="81"/>
      <c r="D52" s="81"/>
      <c r="E52" s="79">
        <f>_xlfn.IFNA(VLOOKUP(封面!B1,一般公共预算财政拨款支出决算具体情况!A:AE,31,FALSE),"")</f>
        <v>8764931.370000001</v>
      </c>
      <c r="F52" s="79"/>
      <c r="G52" s="7" t="s">
        <v>179</v>
      </c>
      <c r="H52" s="82" t="s">
        <v>418</v>
      </c>
      <c r="I52" s="82"/>
      <c r="J52" s="79">
        <f>_xlfn.IFNA(VLOOKUP(封面!B1,一般公共预算财政拨款支出决算具体情况!A:AF,32,FALSE),"")</f>
        <v>7782626.0899999999</v>
      </c>
      <c r="K52" s="79"/>
      <c r="L52" s="11" t="s">
        <v>178</v>
      </c>
    </row>
    <row r="53" spans="1:13" ht="18" customHeight="1">
      <c r="A53" s="14"/>
      <c r="B53" s="14" t="str">
        <f>IF(E52&gt;J52,"增加","减少")</f>
        <v>增加</v>
      </c>
      <c r="C53" s="79">
        <f>ABS(E52-J52)</f>
        <v>982305.28000000119</v>
      </c>
      <c r="D53" s="79"/>
      <c r="E53" s="7" t="s">
        <v>179</v>
      </c>
      <c r="F53" s="14" t="str">
        <f>IF(E52&gt;J52,"增长","下降")</f>
        <v>增长</v>
      </c>
      <c r="G53" s="33">
        <f>IF(J52=0,IF(E52&gt;0,1,""),C53/J52)</f>
        <v>0.12621771477139038</v>
      </c>
      <c r="H53" s="7" t="s">
        <v>312</v>
      </c>
    </row>
    <row r="54" spans="1:13" ht="36" customHeight="1">
      <c r="B54" s="80" t="s">
        <v>467</v>
      </c>
      <c r="C54" s="80"/>
      <c r="D54" s="80"/>
      <c r="E54" s="80"/>
      <c r="F54" s="80"/>
      <c r="G54" s="80"/>
      <c r="H54" s="80"/>
      <c r="I54" s="80"/>
      <c r="J54" s="80"/>
      <c r="K54" s="80"/>
      <c r="L54" s="80"/>
    </row>
    <row r="55" spans="1:13" ht="18" customHeight="1">
      <c r="A55" s="83" t="s">
        <v>465</v>
      </c>
      <c r="B55" s="83"/>
      <c r="C55" s="83"/>
      <c r="D55" s="83"/>
      <c r="E55" s="79">
        <f>_xlfn.IFNA(VLOOKUP(封面!B1,一般公共预算财政拨款支出决算具体情况!A:AK,37,FALSE),"")</f>
        <v>14977789</v>
      </c>
      <c r="F55" s="79"/>
      <c r="G55" s="7" t="s">
        <v>179</v>
      </c>
      <c r="H55" s="82" t="s">
        <v>418</v>
      </c>
      <c r="I55" s="82"/>
      <c r="J55" s="79">
        <f>_xlfn.IFNA(VLOOKUP(封面!B1,一般公共预算财政拨款支出决算具体情况!A:AL,38,FALSE),"")</f>
        <v>13952603.16</v>
      </c>
      <c r="K55" s="79"/>
      <c r="L55" s="11" t="s">
        <v>178</v>
      </c>
    </row>
    <row r="56" spans="1:13" ht="18" customHeight="1">
      <c r="B56" s="14" t="str">
        <f>IF(E55&gt;J55,"增加","减少")</f>
        <v>增加</v>
      </c>
      <c r="C56" s="79">
        <f>ABS(E55-J55)</f>
        <v>1025185.8399999999</v>
      </c>
      <c r="D56" s="79"/>
      <c r="E56" s="7" t="s">
        <v>179</v>
      </c>
      <c r="F56" s="14" t="str">
        <f>IF(E55&gt;J55,"增长","下降")</f>
        <v>增长</v>
      </c>
      <c r="G56" s="33">
        <f>IF(J55=0,IF(E55&gt;0,1,""),C56/J55)</f>
        <v>7.3476313218672512E-2</v>
      </c>
      <c r="H56" s="7" t="s">
        <v>312</v>
      </c>
      <c r="I56" s="11" t="s">
        <v>204</v>
      </c>
    </row>
    <row r="57" spans="1:13" ht="18" customHeight="1">
      <c r="A57" s="81" t="s">
        <v>426</v>
      </c>
      <c r="B57" s="81"/>
      <c r="C57" s="81"/>
      <c r="D57" s="81"/>
      <c r="E57" s="79">
        <f>_xlfn.IFNA(VLOOKUP(封面!B1,一般公共预算财政拨款支出决算具体情况!A:AM,39,FALSE),"")</f>
        <v>14977789</v>
      </c>
      <c r="F57" s="79"/>
      <c r="G57" s="7" t="s">
        <v>179</v>
      </c>
      <c r="H57" s="82" t="s">
        <v>418</v>
      </c>
      <c r="I57" s="82"/>
      <c r="J57" s="79">
        <f>_xlfn.IFNA(VLOOKUP(封面!B1,一般公共预算财政拨款支出决算具体情况!A:AN,40,FALSE),"")</f>
        <v>13952603.16</v>
      </c>
      <c r="K57" s="79"/>
      <c r="L57" s="11" t="s">
        <v>178</v>
      </c>
    </row>
    <row r="58" spans="1:13" ht="18" customHeight="1">
      <c r="A58" s="14"/>
      <c r="B58" s="14" t="str">
        <f>IF(E57&gt;J57,"增加","减少")</f>
        <v>增加</v>
      </c>
      <c r="C58" s="79">
        <f>ABS(E57-J57)</f>
        <v>1025185.8399999999</v>
      </c>
      <c r="D58" s="79"/>
      <c r="E58" s="7" t="s">
        <v>179</v>
      </c>
      <c r="F58" s="14" t="str">
        <f>IF(E57&gt;J57,"增长","下降")</f>
        <v>增长</v>
      </c>
      <c r="G58" s="33">
        <f>IF(J57=0,IF(E57&gt;0,1,""),C58/J57)</f>
        <v>7.3476313218672512E-2</v>
      </c>
      <c r="H58" s="7" t="s">
        <v>312</v>
      </c>
    </row>
    <row r="59" spans="1:13" ht="36" customHeight="1">
      <c r="B59" s="80" t="s">
        <v>468</v>
      </c>
      <c r="C59" s="80"/>
      <c r="D59" s="80"/>
      <c r="E59" s="80"/>
      <c r="F59" s="80"/>
      <c r="G59" s="80"/>
      <c r="H59" s="80"/>
      <c r="I59" s="80"/>
      <c r="J59" s="80"/>
      <c r="K59" s="80"/>
      <c r="L59" s="80"/>
    </row>
    <row r="60" spans="1:13" ht="18" customHeight="1">
      <c r="A60" s="6" t="s">
        <v>205</v>
      </c>
    </row>
    <row r="61" spans="1:13" ht="18" customHeight="1">
      <c r="A61" s="7" t="str">
        <f>IF(_xlfn.IFNA(VLOOKUP(封面!B1,'2021决算导出'!A:W,23,FALSE),"")=0,"本年度无此项支出。","")</f>
        <v>本年度无此项支出。</v>
      </c>
    </row>
    <row r="62" spans="1:13" ht="18" customHeight="1">
      <c r="A62" s="6" t="s">
        <v>206</v>
      </c>
    </row>
    <row r="63" spans="1:13" ht="18" customHeight="1">
      <c r="A63" s="7" t="s">
        <v>207</v>
      </c>
    </row>
    <row r="64" spans="1:13" ht="18" customHeight="1">
      <c r="A64" s="6" t="s">
        <v>208</v>
      </c>
    </row>
    <row r="65" spans="1:13" ht="18" customHeight="1">
      <c r="A65" s="7" t="s">
        <v>427</v>
      </c>
      <c r="G65" s="79">
        <f>_xlfn.IFNA(VLOOKUP(封面!B1,'2021决算导出'!A:AA,27,FALSE),"")</f>
        <v>119048000.81</v>
      </c>
      <c r="H65" s="79"/>
      <c r="I65" s="11" t="s">
        <v>179</v>
      </c>
    </row>
    <row r="66" spans="1:13" ht="130.15" customHeight="1">
      <c r="A66" s="80" t="s">
        <v>209</v>
      </c>
      <c r="B66" s="80"/>
      <c r="C66" s="80"/>
      <c r="D66" s="80"/>
      <c r="E66" s="80"/>
      <c r="F66" s="80"/>
      <c r="G66" s="80"/>
      <c r="H66" s="80"/>
      <c r="I66" s="80"/>
      <c r="J66" s="80"/>
      <c r="K66" s="80"/>
      <c r="L66" s="80"/>
      <c r="M66" s="80"/>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6">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A31:C31"/>
    <mergeCell ref="D31:E31"/>
    <mergeCell ref="G31:H31"/>
    <mergeCell ref="A39:D39"/>
    <mergeCell ref="E39:F39"/>
    <mergeCell ref="H39:I39"/>
    <mergeCell ref="J39:K39"/>
    <mergeCell ref="B38:L38"/>
    <mergeCell ref="C35:D35"/>
    <mergeCell ref="C37:D37"/>
    <mergeCell ref="A36:D36"/>
    <mergeCell ref="E36:F36"/>
    <mergeCell ref="H36:I36"/>
    <mergeCell ref="J36:K36"/>
    <mergeCell ref="B48:L48"/>
    <mergeCell ref="A52:D52"/>
    <mergeCell ref="E52:F52"/>
    <mergeCell ref="H52:I52"/>
    <mergeCell ref="J52:K52"/>
    <mergeCell ref="C53:D53"/>
    <mergeCell ref="B54:L54"/>
    <mergeCell ref="C43:D43"/>
    <mergeCell ref="C40:D40"/>
    <mergeCell ref="B41:L41"/>
    <mergeCell ref="A42:D42"/>
    <mergeCell ref="E42:F42"/>
    <mergeCell ref="H42:I42"/>
    <mergeCell ref="J42:K42"/>
    <mergeCell ref="A44:D44"/>
    <mergeCell ref="E44:F44"/>
    <mergeCell ref="H44:I44"/>
    <mergeCell ref="J44:K44"/>
    <mergeCell ref="A49:D49"/>
    <mergeCell ref="E49:F49"/>
    <mergeCell ref="H49:I49"/>
    <mergeCell ref="J49:K49"/>
    <mergeCell ref="C45:D45"/>
    <mergeCell ref="A46:D46"/>
    <mergeCell ref="G65:H65"/>
    <mergeCell ref="A66:M66"/>
    <mergeCell ref="A4:M4"/>
    <mergeCell ref="B59:L59"/>
    <mergeCell ref="C56:D56"/>
    <mergeCell ref="A57:D57"/>
    <mergeCell ref="E57:F57"/>
    <mergeCell ref="H57:I57"/>
    <mergeCell ref="J57:K57"/>
    <mergeCell ref="C58:D58"/>
    <mergeCell ref="A55:D55"/>
    <mergeCell ref="E55:F55"/>
    <mergeCell ref="H55:I55"/>
    <mergeCell ref="J55:K55"/>
    <mergeCell ref="E46:F46"/>
    <mergeCell ref="H46:I46"/>
    <mergeCell ref="J46:K46"/>
    <mergeCell ref="C47:D47"/>
    <mergeCell ref="A50:D50"/>
    <mergeCell ref="E50:F50"/>
    <mergeCell ref="H50:I50"/>
    <mergeCell ref="J50:K50"/>
    <mergeCell ref="C51:D5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O13" sqref="O13"/>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7" t="s">
        <v>409</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
      </c>
    </row>
    <row r="4" spans="1:14" ht="18" customHeight="1">
      <c r="A4" s="7" t="s">
        <v>428</v>
      </c>
      <c r="F4" s="79">
        <f>_xlfn.IFNA(VLOOKUP(封面!B1,'2021决算导出'!A:AB,28,FALSE),"")</f>
        <v>18950.669999999998</v>
      </c>
      <c r="G4" s="79"/>
      <c r="H4" s="7" t="s">
        <v>179</v>
      </c>
      <c r="I4" s="7" t="s">
        <v>429</v>
      </c>
    </row>
    <row r="5" spans="1:14" ht="18" customHeight="1">
      <c r="A5" s="87">
        <f>_xlfn.IFNA(VLOOKUP(封面!B1,'2021决算导出'!A:AC,29,FALSE),"")</f>
        <v>54000</v>
      </c>
      <c r="B5" s="87"/>
      <c r="C5" s="7" t="s">
        <v>178</v>
      </c>
      <c r="D5" s="29" t="str">
        <f>IF(F4&gt;A5,"增加","减少")</f>
        <v>减少</v>
      </c>
      <c r="E5" s="87">
        <f>ABS(F4-A5)</f>
        <v>35049.33</v>
      </c>
      <c r="F5" s="87"/>
      <c r="G5" s="7" t="s">
        <v>212</v>
      </c>
    </row>
    <row r="6" spans="1:14" ht="18" customHeight="1">
      <c r="A6" s="7" t="s">
        <v>213</v>
      </c>
    </row>
    <row r="7" spans="1:14" ht="18" customHeight="1">
      <c r="A7" s="54" t="s">
        <v>430</v>
      </c>
      <c r="B7" s="18"/>
      <c r="C7" s="18"/>
      <c r="D7" s="18"/>
      <c r="E7" s="18"/>
      <c r="F7" s="18"/>
      <c r="G7" s="18"/>
      <c r="H7" s="18"/>
      <c r="I7" s="18"/>
      <c r="J7" s="18"/>
      <c r="K7" s="18"/>
      <c r="L7" s="18"/>
      <c r="M7" s="18"/>
      <c r="N7" s="18"/>
    </row>
    <row r="8" spans="1:14" ht="18" customHeight="1">
      <c r="A8" s="7" t="s">
        <v>214</v>
      </c>
    </row>
    <row r="9" spans="1:14" ht="39" customHeight="1">
      <c r="A9" s="88" t="s">
        <v>431</v>
      </c>
      <c r="B9" s="88"/>
      <c r="C9" s="88"/>
      <c r="D9" s="88"/>
      <c r="E9" s="88"/>
      <c r="F9" s="88"/>
      <c r="G9" s="88"/>
      <c r="H9" s="88"/>
      <c r="I9" s="88"/>
      <c r="J9" s="88"/>
      <c r="K9" s="88"/>
      <c r="L9" s="88"/>
      <c r="M9" s="88"/>
      <c r="N9" s="88"/>
    </row>
    <row r="10" spans="1:14" ht="18" customHeight="1">
      <c r="A10" s="7" t="s">
        <v>215</v>
      </c>
    </row>
    <row r="11" spans="1:14" ht="18" customHeight="1">
      <c r="A11" s="84" t="s">
        <v>432</v>
      </c>
      <c r="B11" s="84"/>
      <c r="C11" s="34">
        <f>_xlfn.IFNA(VLOOKUP(封面!B1,'2021决算导出'!A:AI,35,FALSE),"")</f>
        <v>18950.669999999998</v>
      </c>
      <c r="D11" s="7" t="s">
        <v>179</v>
      </c>
      <c r="E11" s="84" t="s">
        <v>433</v>
      </c>
      <c r="F11" s="84"/>
      <c r="G11" s="84"/>
      <c r="H11" s="87">
        <f>_xlfn.IFNA(VLOOKUP(封面!B1,'2021决算导出'!A:AJ,36,FALSE),"")</f>
        <v>54000</v>
      </c>
      <c r="I11" s="87"/>
      <c r="J11" s="15" t="s">
        <v>178</v>
      </c>
      <c r="K11" s="29" t="str">
        <f>IF(C11&gt;H11,"增加","减少")</f>
        <v>减少</v>
      </c>
      <c r="L11" s="87">
        <f>ABS(C11-H11)</f>
        <v>35049.33</v>
      </c>
      <c r="M11" s="87"/>
      <c r="N11" s="7" t="s">
        <v>211</v>
      </c>
    </row>
    <row r="12" spans="1:14" ht="18" customHeight="1">
      <c r="A12" s="84" t="s">
        <v>434</v>
      </c>
      <c r="B12" s="84"/>
      <c r="C12" s="84"/>
      <c r="D12" s="84"/>
      <c r="E12" s="84"/>
      <c r="F12" s="87">
        <f>_xlfn.IFNA(VLOOKUP(封面!B1,'2021决算导出'!A:AK,37,FALSE),"")</f>
        <v>0</v>
      </c>
      <c r="G12" s="87"/>
      <c r="H12" s="16" t="s">
        <v>179</v>
      </c>
      <c r="I12" s="84" t="s">
        <v>433</v>
      </c>
      <c r="J12" s="84"/>
      <c r="K12" s="84"/>
      <c r="L12" s="87">
        <f>_xlfn.IFNA(VLOOKUP(封面!B1,'2021决算导出'!A:AL,38,FALSE),"")</f>
        <v>0</v>
      </c>
      <c r="M12" s="87"/>
      <c r="N12" s="7" t="s">
        <v>178</v>
      </c>
    </row>
    <row r="13" spans="1:14" ht="18" customHeight="1">
      <c r="A13" s="14" t="str">
        <f>IF(F12&gt;L12,"增加","减少")</f>
        <v>减少</v>
      </c>
      <c r="B13" s="87">
        <f>ABS(F12-L12)</f>
        <v>0</v>
      </c>
      <c r="C13" s="87"/>
      <c r="D13" s="7" t="s">
        <v>211</v>
      </c>
      <c r="H13" s="87"/>
      <c r="I13" s="87"/>
      <c r="J13" s="15"/>
    </row>
    <row r="14" spans="1:14" ht="18.75">
      <c r="A14" s="80" t="s">
        <v>469</v>
      </c>
      <c r="B14" s="80"/>
      <c r="C14" s="80"/>
      <c r="D14" s="80"/>
      <c r="E14" s="80"/>
      <c r="F14" s="80"/>
      <c r="G14" s="80"/>
      <c r="H14" s="80"/>
      <c r="I14" s="80"/>
      <c r="J14" s="80"/>
      <c r="K14" s="80"/>
      <c r="L14" s="80"/>
      <c r="M14" s="80"/>
      <c r="N14" s="80"/>
    </row>
    <row r="15" spans="1:14" ht="18" customHeight="1">
      <c r="A15" s="84" t="s">
        <v>435</v>
      </c>
      <c r="B15" s="84"/>
      <c r="C15" s="84"/>
      <c r="D15" s="8">
        <f>_xlfn.IFNA(VLOOKUP(封面!B1,'2021决算导出'!A:AM,39,FALSE),"")</f>
        <v>0</v>
      </c>
      <c r="E15" s="7" t="s">
        <v>216</v>
      </c>
      <c r="F15" s="84" t="s">
        <v>217</v>
      </c>
      <c r="G15" s="84"/>
      <c r="H15" s="87">
        <f>IF(D15=0,0,F12/D15)</f>
        <v>0</v>
      </c>
      <c r="I15" s="87"/>
      <c r="J15" s="7" t="s">
        <v>211</v>
      </c>
    </row>
    <row r="16" spans="1:14" ht="18" customHeight="1">
      <c r="A16" s="82" t="s">
        <v>436</v>
      </c>
      <c r="B16" s="82"/>
      <c r="C16" s="82"/>
      <c r="D16" s="82"/>
      <c r="E16" s="82"/>
      <c r="F16" s="87">
        <f>_xlfn.IFNA(VLOOKUP(封面!B1,'2021决算导出'!A:AO,41,FALSE),"")</f>
        <v>18950.669999999998</v>
      </c>
      <c r="G16" s="87" t="s">
        <v>179</v>
      </c>
      <c r="H16" s="7" t="s">
        <v>179</v>
      </c>
      <c r="I16" s="7" t="s">
        <v>433</v>
      </c>
      <c r="L16" s="87">
        <f>_xlfn.IFNA(VLOOKUP(封面!B1,'2021决算导出'!A:AP,42,FALSE),"")</f>
        <v>54000</v>
      </c>
      <c r="M16" s="87" t="s">
        <v>179</v>
      </c>
      <c r="N16" s="7" t="s">
        <v>179</v>
      </c>
    </row>
    <row r="17" spans="1:14" ht="18" customHeight="1">
      <c r="A17" s="14" t="str">
        <f>IF(F16&gt;L16,"增加","减少")</f>
        <v>减少</v>
      </c>
      <c r="B17" s="87">
        <f>ABS(F16-L16)</f>
        <v>35049.33</v>
      </c>
      <c r="C17" s="87"/>
      <c r="D17" s="7" t="s">
        <v>211</v>
      </c>
    </row>
    <row r="18" spans="1:14" ht="36" customHeight="1">
      <c r="A18" s="80" t="s">
        <v>218</v>
      </c>
      <c r="B18" s="80"/>
      <c r="C18" s="80"/>
      <c r="D18" s="80"/>
      <c r="E18" s="80"/>
      <c r="F18" s="80"/>
      <c r="G18" s="80"/>
      <c r="H18" s="80"/>
      <c r="I18" s="80"/>
      <c r="J18" s="80"/>
      <c r="K18" s="80"/>
      <c r="L18" s="80"/>
      <c r="M18" s="80"/>
      <c r="N18" s="80"/>
    </row>
    <row r="19" spans="1:14" ht="18" customHeight="1">
      <c r="A19" s="84" t="s">
        <v>437</v>
      </c>
      <c r="B19" s="84"/>
      <c r="C19" s="84"/>
      <c r="D19" s="84"/>
      <c r="E19" s="84"/>
      <c r="F19" s="84"/>
      <c r="G19" s="87">
        <f>_xlfn.IFNA(VLOOKUP(封面!B1,'2021决算导出'!A:AQ,43,FALSE),"")</f>
        <v>0</v>
      </c>
      <c r="H19" s="87" t="s">
        <v>179</v>
      </c>
      <c r="I19" s="7" t="s">
        <v>179</v>
      </c>
      <c r="J19" s="7" t="s">
        <v>219</v>
      </c>
      <c r="L19" s="87">
        <f>_xlfn.IFNA(VLOOKUP(封面!B1,'2021决算导出'!A:AR,44,FALSE),"")</f>
        <v>8521.65</v>
      </c>
      <c r="M19" s="87" t="s">
        <v>179</v>
      </c>
      <c r="N19" s="7" t="s">
        <v>179</v>
      </c>
    </row>
    <row r="20" spans="1:14" ht="18" customHeight="1">
      <c r="A20" s="84" t="s">
        <v>220</v>
      </c>
      <c r="B20" s="84"/>
      <c r="C20" s="87">
        <f>_xlfn.IFNA(VLOOKUP(封面!B1,'2021决算导出'!A:AS,45,FALSE),"")</f>
        <v>8956.02</v>
      </c>
      <c r="D20" s="87" t="s">
        <v>179</v>
      </c>
      <c r="E20" s="7" t="s">
        <v>179</v>
      </c>
      <c r="F20" s="84" t="s">
        <v>221</v>
      </c>
      <c r="G20" s="84"/>
      <c r="H20" s="84"/>
      <c r="I20" s="87">
        <f>_xlfn.IFNA(VLOOKUP(封面!B1,'2021决算导出'!A:AT,46,FALSE),"")</f>
        <v>1473</v>
      </c>
      <c r="J20" s="87" t="s">
        <v>179</v>
      </c>
      <c r="K20" s="7" t="s">
        <v>211</v>
      </c>
    </row>
    <row r="21" spans="1:14" ht="18" customHeight="1">
      <c r="A21" s="84" t="s">
        <v>438</v>
      </c>
      <c r="B21" s="84"/>
      <c r="C21" s="84"/>
      <c r="D21" s="8">
        <f>_xlfn.IFNA(VLOOKUP(封面!B1,'2021决算导出'!A:AU,47,FALSE),"")</f>
        <v>2</v>
      </c>
      <c r="E21" s="85" t="s">
        <v>403</v>
      </c>
      <c r="F21" s="85"/>
      <c r="G21" s="85"/>
      <c r="H21" s="85"/>
      <c r="I21" s="85"/>
      <c r="J21" s="85"/>
      <c r="K21" s="85"/>
      <c r="L21" s="85"/>
      <c r="M21" s="53">
        <f>F16/D21</f>
        <v>9475.3349999999991</v>
      </c>
      <c r="N21" s="7" t="s">
        <v>211</v>
      </c>
    </row>
    <row r="22" spans="1:14" ht="18" customHeight="1">
      <c r="A22" s="6" t="s">
        <v>222</v>
      </c>
    </row>
    <row r="23" spans="1:14" ht="18" customHeight="1">
      <c r="A23" s="7" t="s">
        <v>223</v>
      </c>
    </row>
    <row r="24" spans="1:14" ht="18" customHeight="1">
      <c r="A24" s="6" t="s">
        <v>224</v>
      </c>
    </row>
    <row r="25" spans="1:14" ht="18" customHeight="1">
      <c r="A25" s="84" t="s">
        <v>439</v>
      </c>
      <c r="B25" s="84"/>
      <c r="C25" s="84"/>
      <c r="D25" s="84"/>
      <c r="E25" s="79">
        <f>_xlfn.IFNA(VLOOKUP(封面!B1,'2021决算导出'!A:AW,49,FALSE),"")</f>
        <v>3699593.97</v>
      </c>
      <c r="F25" s="79"/>
      <c r="G25" s="7" t="s">
        <v>179</v>
      </c>
      <c r="H25" s="84" t="s">
        <v>225</v>
      </c>
      <c r="I25" s="84"/>
      <c r="J25" s="84"/>
      <c r="K25" s="84"/>
      <c r="L25" s="79">
        <f>_xlfn.IFNA(VLOOKUP(封面!B1,'2021决算导出'!A:AX,50,FALSE),"")</f>
        <v>694678</v>
      </c>
      <c r="M25" s="79" t="s">
        <v>179</v>
      </c>
      <c r="N25" s="7" t="s">
        <v>179</v>
      </c>
    </row>
    <row r="26" spans="1:14" ht="18" customHeight="1">
      <c r="A26" s="84" t="s">
        <v>226</v>
      </c>
      <c r="B26" s="84"/>
      <c r="C26" s="84"/>
      <c r="D26" s="79">
        <f>_xlfn.IFNA(VLOOKUP(封面!B1,'2021决算导出'!A:AY,51,FALSE),"")</f>
        <v>0</v>
      </c>
      <c r="E26" s="79" t="s">
        <v>179</v>
      </c>
      <c r="F26" s="7" t="s">
        <v>179</v>
      </c>
      <c r="G26" s="84" t="s">
        <v>227</v>
      </c>
      <c r="H26" s="84"/>
      <c r="I26" s="84"/>
      <c r="J26" s="79">
        <f>_xlfn.IFNA(VLOOKUP(封面!B1,'2021决算导出'!A:AZ,52,FALSE),"")</f>
        <v>3004916</v>
      </c>
      <c r="K26" s="79" t="s">
        <v>179</v>
      </c>
      <c r="L26" s="7" t="s">
        <v>211</v>
      </c>
    </row>
    <row r="27" spans="1:14" ht="18" customHeight="1">
      <c r="A27" s="84" t="s">
        <v>228</v>
      </c>
      <c r="B27" s="84"/>
      <c r="C27" s="84"/>
      <c r="D27" s="84"/>
      <c r="E27" s="79">
        <f>_xlfn.IFNA(VLOOKUP(封面!B1,'2021决算导出'!A:BA,53,FALSE),"")</f>
        <v>0</v>
      </c>
      <c r="F27" s="79" t="s">
        <v>179</v>
      </c>
      <c r="G27" s="7" t="s">
        <v>179</v>
      </c>
      <c r="H27" s="82" t="s">
        <v>229</v>
      </c>
      <c r="I27" s="82"/>
      <c r="J27" s="82"/>
      <c r="K27" s="28">
        <f>E27/$E$25</f>
        <v>0</v>
      </c>
      <c r="L27" s="17" t="s">
        <v>310</v>
      </c>
      <c r="M27" s="7" t="s">
        <v>404</v>
      </c>
    </row>
    <row r="28" spans="1:14" ht="18" customHeight="1">
      <c r="A28" s="84" t="s">
        <v>230</v>
      </c>
      <c r="B28" s="84"/>
      <c r="C28" s="84"/>
      <c r="D28" s="84"/>
      <c r="E28" s="79">
        <f>_xlfn.IFNA(VLOOKUP(封面!B1,'2021决算导出'!A:BB,54,FALSE),"")</f>
        <v>0</v>
      </c>
      <c r="F28" s="79" t="s">
        <v>179</v>
      </c>
      <c r="G28" s="7" t="s">
        <v>179</v>
      </c>
      <c r="H28" s="82" t="s">
        <v>229</v>
      </c>
      <c r="I28" s="82"/>
      <c r="J28" s="82"/>
      <c r="K28" s="28">
        <f>E28/$E$25</f>
        <v>0</v>
      </c>
      <c r="L28" s="17" t="s">
        <v>312</v>
      </c>
    </row>
    <row r="29" spans="1:14" ht="18" customHeight="1">
      <c r="A29" s="6" t="s">
        <v>231</v>
      </c>
    </row>
    <row r="30" spans="1:14" ht="18" customHeight="1">
      <c r="A30" s="84" t="s">
        <v>440</v>
      </c>
      <c r="B30" s="84"/>
      <c r="C30" s="8">
        <f>_xlfn.IFNA(VLOOKUP(封面!B1,'2021决算导出'!A:BC,55,FALSE),"")</f>
        <v>2</v>
      </c>
      <c r="D30" s="7" t="s">
        <v>232</v>
      </c>
      <c r="M30" s="87">
        <f>_xlfn.IFNA(VLOOKUP(封面!B1,'2021决算导出'!A:BD,56,FALSE),"")</f>
        <v>344382.99</v>
      </c>
      <c r="N30" s="87" t="s">
        <v>179</v>
      </c>
    </row>
    <row r="31" spans="1:14" ht="18" customHeight="1">
      <c r="A31" s="12" t="s">
        <v>233</v>
      </c>
      <c r="B31" s="84" t="s">
        <v>234</v>
      </c>
      <c r="C31" s="84"/>
      <c r="D31" s="84"/>
      <c r="E31" s="84"/>
      <c r="F31" s="84"/>
      <c r="G31" s="8">
        <f>_xlfn.IFNA(VLOOKUP(封面!B1,'2021决算导出'!A:BE,57,FALSE),"")</f>
        <v>3</v>
      </c>
      <c r="H31" s="7" t="s">
        <v>235</v>
      </c>
      <c r="J31" s="7" t="s">
        <v>236</v>
      </c>
    </row>
    <row r="32" spans="1:14" ht="18" customHeight="1">
      <c r="A32" s="12">
        <f>_xlfn.IFNA(VLOOKUP(封面!B1,'2021决算导出'!A:BF,58,FALSE),"")</f>
        <v>0</v>
      </c>
      <c r="B32" s="7" t="s">
        <v>237</v>
      </c>
    </row>
    <row r="33" spans="1:14" ht="18" customHeight="1">
      <c r="A33" s="6" t="s">
        <v>238</v>
      </c>
    </row>
    <row r="34" spans="1:14" ht="18" customHeight="1">
      <c r="A34" s="7" t="s">
        <v>239</v>
      </c>
    </row>
    <row r="35" spans="1:14" ht="18" customHeight="1">
      <c r="A35" s="6" t="s">
        <v>240</v>
      </c>
    </row>
    <row r="36" spans="1:14" ht="375.6" customHeight="1">
      <c r="A36" s="80" t="s">
        <v>455</v>
      </c>
      <c r="B36" s="80"/>
      <c r="C36" s="80"/>
      <c r="D36" s="80"/>
      <c r="E36" s="80"/>
      <c r="F36" s="80"/>
      <c r="G36" s="80"/>
      <c r="H36" s="80"/>
      <c r="I36" s="80"/>
      <c r="J36" s="80"/>
      <c r="K36" s="80"/>
      <c r="L36" s="80"/>
      <c r="M36" s="80"/>
      <c r="N36" s="80"/>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7" t="s">
        <v>457</v>
      </c>
      <c r="B10" s="77"/>
      <c r="C10" s="77"/>
      <c r="D10" s="77"/>
      <c r="E10" s="77"/>
      <c r="F10" s="77"/>
      <c r="G10" s="77"/>
      <c r="H10" s="77"/>
      <c r="I10" s="77"/>
      <c r="J10" s="77"/>
      <c r="K10" s="77"/>
      <c r="L10" s="77"/>
      <c r="M10" s="77"/>
      <c r="N10" s="77"/>
    </row>
    <row r="11" spans="1:14" ht="78" customHeight="1">
      <c r="A11" s="78" t="s">
        <v>458</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441</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446</v>
      </c>
      <c r="X1" s="56" t="s">
        <v>447</v>
      </c>
      <c r="Y1" s="21" t="s">
        <v>448</v>
      </c>
      <c r="Z1" s="21" t="s">
        <v>442</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58">
        <v>255001</v>
      </c>
      <c r="B2" s="24" t="s">
        <v>298</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305</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443</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306</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444</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445</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393</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246</v>
      </c>
      <c r="B1" s="21" t="s">
        <v>247</v>
      </c>
      <c r="C1" s="21" t="s">
        <v>242</v>
      </c>
      <c r="D1" s="67" t="s">
        <v>248</v>
      </c>
      <c r="E1" s="67" t="s">
        <v>249</v>
      </c>
      <c r="F1" s="21" t="s">
        <v>250</v>
      </c>
      <c r="G1" s="21" t="s">
        <v>251</v>
      </c>
      <c r="H1" s="21" t="s">
        <v>252</v>
      </c>
      <c r="I1" s="21" t="s">
        <v>253</v>
      </c>
      <c r="J1" s="21" t="s">
        <v>254</v>
      </c>
      <c r="K1" s="67" t="s">
        <v>255</v>
      </c>
      <c r="L1" s="21" t="s">
        <v>256</v>
      </c>
      <c r="M1" s="21" t="s">
        <v>257</v>
      </c>
      <c r="N1" s="21" t="s">
        <v>258</v>
      </c>
      <c r="O1" s="67"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cp:lastModifiedBy>
  <cp:lastPrinted>2022-08-25T04:56:47Z</cp:lastPrinted>
  <dcterms:created xsi:type="dcterms:W3CDTF">2021-08-26T09:47:38Z</dcterms:created>
  <dcterms:modified xsi:type="dcterms:W3CDTF">2022-09-02T03:28:02Z</dcterms:modified>
</cp:coreProperties>
</file>