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workbookProtection workbookAlgorithmName="SHA-512" workbookHashValue="kMSGlNZyEo0yKlZ+yWBQq7nQNiOaaLOaXtlKfps7NrolkKZG/Ca9OweXhOPTqUOb3KKvHhGALCdjfB7eFxcoqA==" workbookSaltValue="KFRptOXfGC8DQd86D0j83g==" workbookSpinCount="100000" lockStructure="1"/>
  <bookViews>
    <workbookView xWindow="-110" yWindow="-110" windowWidth="19420" windowHeight="1102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1" i="5" l="1"/>
  <c r="A31" i="6" l="1"/>
  <c r="G30" i="6"/>
  <c r="M29" i="6"/>
  <c r="C29" i="6"/>
  <c r="E27" i="6"/>
  <c r="E26" i="6"/>
  <c r="J25" i="6"/>
  <c r="D25" i="6"/>
  <c r="L24" i="6"/>
  <c r="E24" i="6"/>
  <c r="D20" i="6"/>
  <c r="I19" i="6"/>
  <c r="C19" i="6"/>
  <c r="L18" i="6"/>
  <c r="G18" i="6"/>
  <c r="L15" i="6"/>
  <c r="F15" i="6"/>
  <c r="L12" i="6"/>
  <c r="F12" i="6"/>
  <c r="H11" i="6"/>
  <c r="C11" i="6"/>
  <c r="A5" i="6"/>
  <c r="F4" i="6"/>
  <c r="A3" i="6"/>
  <c r="J47" i="5"/>
  <c r="E47" i="5"/>
  <c r="J45" i="5"/>
  <c r="E45" i="5"/>
  <c r="J40" i="5"/>
  <c r="J42" i="5"/>
  <c r="E42" i="5"/>
  <c r="E40" i="5"/>
  <c r="J37" i="5"/>
  <c r="E37" i="5"/>
  <c r="J35" i="5"/>
  <c r="E3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55" i="5"/>
  <c r="D25" i="5"/>
  <c r="D24" i="5"/>
  <c r="D23" i="5"/>
  <c r="D22" i="5"/>
  <c r="F21" i="5"/>
  <c r="E17" i="5"/>
  <c r="D15" i="5"/>
  <c r="D14" i="5"/>
  <c r="D13"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3" i="5"/>
  <c r="J13" i="5"/>
  <c r="H13" i="5"/>
  <c r="K13" i="5" s="1"/>
  <c r="K17" i="5"/>
  <c r="I17" i="5"/>
  <c r="L17" i="5" s="1"/>
  <c r="H17" i="5"/>
  <c r="J32" i="5" l="1"/>
  <c r="E32" i="5"/>
  <c r="J29" i="5"/>
  <c r="E29" i="5"/>
  <c r="J27" i="5"/>
  <c r="E27" i="5"/>
  <c r="B48" i="5" l="1"/>
  <c r="F38" i="5"/>
  <c r="C41" i="5"/>
  <c r="G41" i="5" s="1"/>
  <c r="C46" i="5"/>
  <c r="G46" i="5" s="1"/>
  <c r="F28" i="5"/>
  <c r="F43" i="5"/>
  <c r="C48" i="5"/>
  <c r="G48" i="5" s="1"/>
  <c r="F48" i="5"/>
  <c r="F46" i="5"/>
  <c r="B46" i="5"/>
  <c r="B43" i="5"/>
  <c r="C43" i="5"/>
  <c r="G43" i="5" s="1"/>
  <c r="F41" i="5"/>
  <c r="B41" i="5"/>
  <c r="C38" i="5"/>
  <c r="G38" i="5" s="1"/>
  <c r="F30" i="5"/>
  <c r="F33" i="5"/>
  <c r="F36" i="5"/>
  <c r="B38" i="5"/>
  <c r="B36" i="5"/>
  <c r="C36" i="5"/>
  <c r="G36" i="5" s="1"/>
  <c r="C28" i="5"/>
  <c r="G28" i="5" s="1"/>
  <c r="B33" i="5"/>
  <c r="C33" i="5"/>
  <c r="G33" i="5" s="1"/>
  <c r="B30" i="5"/>
  <c r="C30" i="5"/>
  <c r="G30" i="5" s="1"/>
  <c r="B28"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K26" i="6" l="1"/>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L11" i="6"/>
  <c r="E5" i="6"/>
  <c r="D5" i="6"/>
  <c r="H15" i="5"/>
  <c r="H11" i="5"/>
  <c r="H14" i="5"/>
  <c r="I22" i="5"/>
  <c r="I24" i="5"/>
  <c r="I23" i="5"/>
  <c r="I25" i="5"/>
</calcChain>
</file>

<file path=xl/sharedStrings.xml><?xml version="1.0" encoding="utf-8"?>
<sst xmlns="http://schemas.openxmlformats.org/spreadsheetml/2006/main" count="4749" uniqueCount="457">
  <si>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</si>
  <si>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</si>
  <si>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</si>
  <si>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</si>
  <si>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</si>
  <si>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</si>
  <si>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</si>
  <si>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</si>
  <si>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</si>
  <si>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</si>
  <si>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</si>
  <si>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</si>
  <si>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</si>
  <si>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</si>
  <si>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</si>
  <si>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</si>
  <si>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</si>
  <si>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</si>
  <si>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</si>
  <si>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</si>
  <si>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</si>
  <si>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</si>
  <si>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</si>
  <si>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</si>
  <si>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</si>
  <si>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</si>
  <si>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</si>
  <si>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</si>
  <si>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</si>
  <si>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</si>
  <si>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</si>
  <si>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</si>
  <si>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</si>
  <si>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</si>
  <si>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</si>
  <si>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</si>
  <si>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</si>
  <si>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</si>
  <si>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</si>
  <si>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</si>
  <si>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</si>
  <si>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</si>
  <si>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</si>
  <si>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</si>
  <si>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</si>
  <si>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</si>
  <si>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</si>
  <si>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</si>
  <si>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</si>
  <si>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</si>
  <si>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</si>
  <si>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</si>
  <si>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</si>
  <si>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</si>
  <si>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</si>
  <si>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</si>
  <si>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</si>
  <si>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</si>
  <si>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</si>
  <si>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</si>
  <si>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</si>
  <si>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</si>
  <si>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</si>
  <si>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</si>
  <si>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</si>
  <si>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</si>
  <si>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</si>
  <si>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</si>
  <si>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</si>
  <si>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</si>
  <si>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</si>
  <si>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</si>
  <si>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</si>
  <si>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</si>
  <si>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</si>
  <si>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</si>
  <si>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</si>
  <si>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</si>
  <si>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</si>
  <si>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</si>
  <si>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</si>
  <si>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</si>
  <si>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</si>
  <si>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</si>
  <si>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</si>
  <si>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</si>
  <si>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</si>
  <si>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</si>
  <si>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</si>
  <si>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</si>
  <si>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</si>
  <si>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</si>
  <si>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</si>
  <si>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</si>
  <si>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</si>
  <si>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</si>
  <si>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</si>
  <si>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</si>
  <si>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</si>
  <si>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</si>
  <si>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</si>
  <si>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</si>
  <si>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</si>
  <si>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</si>
  <si>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</si>
  <si>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</si>
  <si>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</si>
  <si>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</si>
  <si>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</si>
  <si>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</si>
  <si>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</si>
  <si>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</si>
  <si>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</si>
  <si>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</si>
  <si>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</si>
  <si>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</si>
  <si>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</si>
  <si>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</si>
  <si>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</si>
  <si>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</si>
  <si>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</si>
  <si>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</si>
  <si>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</si>
  <si>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</si>
  <si>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</si>
  <si>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</si>
  <si>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</si>
  <si>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</si>
  <si>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</si>
  <si>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</si>
  <si>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</si>
  <si>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</si>
  <si>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</si>
  <si>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</si>
  <si>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</si>
  <si>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</si>
  <si>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</si>
  <si>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</si>
  <si>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</si>
  <si>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</si>
  <si>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</si>
  <si>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</si>
  <si>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</si>
  <si>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</si>
  <si>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</si>
  <si>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</si>
  <si>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</si>
  <si>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</si>
  <si>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</si>
  <si>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</si>
  <si>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</si>
  <si>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</si>
  <si>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</si>
  <si>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</si>
  <si>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</si>
  <si>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</si>
  <si>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</si>
  <si>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</si>
  <si>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</si>
  <si>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</si>
  <si>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</si>
  <si>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</si>
  <si>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</si>
  <si>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</si>
  <si>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</si>
  <si>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</si>
  <si>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</si>
  <si>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</si>
  <si>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</si>
  <si>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</si>
  <si>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</si>
  <si>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</si>
  <si>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</si>
  <si>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</si>
  <si>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</si>
  <si>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</si>
  <si>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</si>
  <si>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</si>
  <si>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</si>
  <si>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</si>
  <si>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</si>
  <si>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</si>
  <si>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</si>
  <si>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</si>
  <si>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</si>
  <si>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</si>
  <si>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</si>
  <si>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</si>
  <si>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</si>
  <si>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</si>
  <si>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</si>
  <si>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</si>
  <si>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</si>
  <si>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</si>
  <si>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</si>
  <si>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</si>
  <si>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</si>
  <si>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</si>
  <si>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</si>
  <si>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</si>
  <si>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</si>
  <si>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</si>
  <si>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</si>
  <si>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</si>
  <si>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</si>
  <si>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</si>
  <si>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</si>
  <si>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</si>
  <si>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</si>
  <si>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</si>
  <si>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</si>
  <si>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</si>
  <si>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</si>
  <si>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</si>
  <si>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</si>
  <si>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</si>
  <si>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</si>
  <si>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</si>
  <si>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</si>
  <si>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</si>
  <si>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</si>
  <si>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</si>
  <si>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</si>
  <si>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</si>
  <si>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</si>
  <si>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</si>
  <si>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</si>
  <si>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</si>
  <si>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</si>
  <si>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</si>
  <si>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</si>
  <si>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</si>
  <si>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</si>
  <si>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</si>
  <si>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</si>
  <si>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</si>
  <si>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</si>
  <si>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</si>
  <si>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</si>
  <si>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</si>
  <si>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</si>
  <si>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</si>
  <si>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</si>
  <si>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</si>
  <si>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</si>
  <si>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</si>
  <si>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</si>
  <si>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</si>
  <si>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</si>
  <si>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</si>
  <si>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</si>
  <si>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</si>
  <si>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</si>
  <si>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</si>
  <si>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</si>
  <si>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</si>
  <si>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</si>
  <si>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</si>
  <si>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</si>
  <si>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</si>
  <si>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</si>
  <si>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</si>
  <si>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</si>
  <si>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</si>
  <si>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</si>
  <si>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</si>
  <si>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</si>
  <si>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</si>
  <si>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</si>
  <si>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</si>
  <si>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</si>
  <si>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</si>
  <si>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</si>
  <si>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</si>
  <si>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</si>
  <si>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</si>
  <si>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</si>
  <si>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</si>
  <si>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</si>
  <si>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</si>
  <si>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</si>
  <si>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</si>
  <si>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</si>
  <si>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</si>
  <si>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</si>
  <si>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</si>
  <si>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</si>
  <si>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</si>
  <si>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</si>
  <si>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</si>
  <si>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</si>
  <si>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</si>
  <si>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</si>
  <si>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</si>
  <si>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</si>
  <si>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</si>
  <si>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</si>
  <si>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</si>
  <si>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</si>
  <si>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</si>
  <si>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</si>
  <si>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</si>
  <si>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</si>
  <si>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</si>
  <si>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</si>
  <si>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</si>
  <si>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</si>
  <si>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</si>
  <si>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</si>
  <si>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</si>
  <si>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</si>
  <si>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</si>
  <si>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</si>
  <si>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</si>
  <si>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</si>
  <si>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</si>
  <si>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</si>
  <si>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</si>
  <si>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</si>
  <si>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</si>
  <si>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</si>
  <si>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</si>
  <si>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</si>
  <si>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</si>
  <si>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</si>
  <si>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</si>
  <si>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</si>
  <si>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</si>
  <si>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</si>
  <si>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</si>
  <si>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</si>
  <si>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</si>
  <si>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</si>
  <si>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</si>
  <si>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</si>
  <si>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</si>
  <si>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</si>
  <si>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</si>
  <si>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</si>
  <si>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</si>
  <si>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</si>
  <si>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</si>
  <si>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</si>
  <si>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</si>
  <si>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</si>
  <si>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</si>
  <si>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</si>
  <si>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</si>
  <si>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</si>
  <si>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</si>
  <si>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</si>
  <si>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</si>
  <si>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</si>
  <si>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</si>
  <si>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</si>
  <si>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</si>
  <si>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</si>
  <si>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</si>
  <si>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</si>
  <si>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</si>
  <si>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</si>
  <si>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</si>
  <si>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</si>
  <si>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</si>
  <si>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</si>
  <si>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</si>
  <si>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</si>
  <si>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</si>
  <si>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</si>
  <si>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</si>
  <si>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</si>
  <si>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</si>
  <si>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</si>
  <si>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</si>
  <si>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</si>
  <si>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</si>
  <si>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</si>
  <si>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</si>
  <si>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</si>
  <si>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</si>
  <si>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</si>
  <si>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</si>
  <si>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</si>
  <si>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</si>
  <si>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</si>
  <si>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</si>
  <si>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</si>
  <si>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</si>
  <si>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</si>
  <si>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</si>
  <si>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</si>
  <si>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</si>
  <si>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</si>
  <si>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</si>
  <si>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</si>
  <si>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</si>
  <si>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</si>
  <si>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</si>
  <si>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</si>
  <si>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</si>
  <si>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</si>
  <si>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</si>
  <si>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</si>
  <si>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</si>
  <si>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</si>
  <si>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</si>
  <si>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</si>
  <si>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</si>
  <si>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</si>
  <si>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</si>
  <si>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</si>
  <si>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</si>
  <si>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3.社会保障和就业支出（类）2021年度决算</t>
  </si>
  <si>
    <t>行政事业单位养老支出（款）2021年度决算</t>
  </si>
  <si>
    <t>4.卫生健康支出（类）2021年度决算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</si>
  <si>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</si>
  <si>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</si>
  <si>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</si>
  <si>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</si>
  <si>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</si>
  <si>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</si>
  <si>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</si>
  <si>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</si>
  <si>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</si>
  <si>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</si>
  <si>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</si>
  <si>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</si>
  <si>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</si>
  <si>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</si>
  <si>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</si>
  <si>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</si>
  <si>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</si>
  <si>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</si>
  <si>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</si>
  <si>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</si>
  <si>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</si>
  <si>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</si>
  <si>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</si>
  <si>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</si>
  <si>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</si>
  <si>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</si>
  <si>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</si>
  <si>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</si>
  <si>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</si>
  <si>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</si>
  <si>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</si>
  <si>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</si>
  <si>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</si>
  <si>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1.机构设置
 学校下设党政办公室、教学处、德育处、总务处、信息办等部门。
2.主要职责
⑴贯彻执行四项基本原则和党的教育方针，落实《中华人民共和国义务教育法》、《中华人民共和国教育法》等法律法规，开展义务教育阶段初级中学教育管理工作和日常管理工作。
⑵坚持以教学为中心，努力提高教学质量，不断研究和改进教学方法，不断提高教学水平。
⑶加强师资队伍建设，不断提高师资队伍素质。
⑷组织编制和实施学校的长期规划、年度计划和学期计划。
⑸组织领导招生、学生的入学和毕业鉴定工作。
⑹组织做好教职工的培养、考核、奖惩、工资福利职称评定，以及退休等工作。
⑺组织做好行政后勤和安全保障工作，坚持为教学服务，不断改善师生员工的工作、学习、生活条件，保证教学工作的顺利进行。
⑻组织做好本校教育经费的统筹管理，以及各类国有资产的科学管理。
⑼贯彻执行勤俭办校的方针，建立健全各项规章制度，加强对学校的管理。
⑽完成上级领导单位布置的其他任务。</t>
  </si>
  <si>
    <t>主要原因是项目减少，人员经费减少。</t>
    <phoneticPr fontId="4" type="noConversion"/>
  </si>
  <si>
    <t>主要原因是按照京财教育指(2020)2305、1876，京财教育指〔2021〕1397、1482、1792号文、西财文指［2021］457、520、578、616、759、744、771、785、820号文上级追加市级转移支付项目以及加发人员工资等。</t>
    <phoneticPr fontId="24" type="noConversion"/>
  </si>
  <si>
    <t>主要原因是受新冠肺炎疫情影响，培训项目大幅减少。</t>
    <phoneticPr fontId="4" type="noConversion"/>
  </si>
  <si>
    <t>主要原因是机关事业单位基本养老保险和职业年金缴费支出减少。</t>
    <phoneticPr fontId="4" type="noConversion"/>
  </si>
  <si>
    <t>主要原因是事业单位医疗支出减少。</t>
    <phoneticPr fontId="4" type="noConversion"/>
  </si>
  <si>
    <t>主要原因是住房公积金7月份调整基数造成年初预算不足。</t>
    <phoneticPr fontId="4" type="noConversion"/>
  </si>
  <si>
    <t>主要原因是受新冠疫情影响，公务用车出车等情况减少。</t>
    <phoneticPr fontId="4" type="noConversion"/>
  </si>
  <si>
    <t>6.住房保障支出（类）2021年度决算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</si>
</sst>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0.00_);[Red]\(0.00\)"/>
  </numFmts>
  <fonts count="25">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
      <sz val="9"/>
      <name val="等线"/>
      <family val="3"/>
      <charset val="134"/>
    </font>
  </fonts>
  <fills count="8">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0">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righ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xf numFmtId="0" fontId="11" fillId="7" borderId="0" xfId="0" applyFont="1" applyFill="1" applyAlignment="1">
      <alignment horizontal="left" vertical="top"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D4" sqref="D4:D5"/>
    </sheetView>
  </sheetViews>
  <sheetFormatPr defaultRowHeight="14"/>
  <cols>
    <col min="1" max="1" width="16.5" customWidth="1"/>
    <col min="2" max="2" width="12.75" bestFit="1" customWidth="1"/>
  </cols>
  <sheetData>
    <row r="1" spans="1:14" ht="37.9" customHeight="1">
      <c r="A1" s="26" t="s">
        <v>0</v>
      </c>
      <c r="B1" s="27">
        <v>255018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5" customHeight="1">
      <c r="A11" s="75" t="str">
        <f>_xlfn.IFNA(VLOOKUP(B1,'2021决算导出'!A:B,2,FALSE),"")</f>
        <v>北京市第一六一中学分校</v>
      </c>
      <c r="B11" s="75"/>
      <c r="C11" s="75"/>
      <c r="D11" s="75"/>
      <c r="E11" s="75"/>
      <c r="F11" s="75"/>
      <c r="G11" s="75"/>
      <c r="H11" s="75"/>
      <c r="I11" s="75"/>
      <c r="J11" s="75"/>
      <c r="K11" s="75"/>
      <c r="L11" s="75"/>
      <c r="M11" s="75"/>
      <c r="N11" s="1"/>
    </row>
    <row r="12" spans="1:14" ht="72" customHeight="1">
      <c r="A12" s="75" t="s">
        <v>397</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58203125" defaultRowHeight="13"/>
  <cols>
    <col min="1" max="1" width="7.33203125" style="42" customWidth="1"/>
    <col min="2" max="2" width="19.08203125" style="43" customWidth="1"/>
    <col min="3" max="3" width="9.08203125" style="43" customWidth="1"/>
    <col min="4" max="4" width="8.83203125" style="43" customWidth="1"/>
    <col min="5" max="5" width="11.5" style="46" customWidth="1"/>
    <col min="6" max="6" width="9.83203125" style="46" customWidth="1"/>
    <col min="7" max="7" width="8.5" style="46" customWidth="1"/>
    <col min="8" max="10" width="8.58203125" style="46"/>
    <col min="11" max="11" width="7.75" style="46" customWidth="1"/>
    <col min="12" max="12" width="8.08203125" style="46" customWidth="1"/>
    <col min="13" max="18" width="8.58203125" style="46"/>
    <col min="19" max="19" width="10.75" style="46" customWidth="1"/>
    <col min="20" max="20" width="10.58203125" style="46" customWidth="1"/>
    <col min="21" max="21" width="8.58203125" style="46"/>
    <col min="22" max="24" width="8.75" style="46" customWidth="1"/>
    <col min="25" max="16384" width="8.58203125" style="46"/>
  </cols>
  <sheetData>
    <row r="1" spans="1:40" s="41" customFormat="1" ht="61.9" customHeight="1">
      <c r="A1" s="41" t="s">
        <v>309</v>
      </c>
      <c r="B1" s="41" t="s">
        <v>346</v>
      </c>
      <c r="C1" s="71" t="s">
        <v>347</v>
      </c>
      <c r="D1" s="71" t="s">
        <v>348</v>
      </c>
      <c r="E1" s="41" t="s">
        <v>349</v>
      </c>
      <c r="F1" s="41" t="s">
        <v>350</v>
      </c>
      <c r="G1" s="41" t="s">
        <v>351</v>
      </c>
      <c r="H1" s="41" t="s">
        <v>352</v>
      </c>
      <c r="I1" s="41" t="s">
        <v>353</v>
      </c>
      <c r="J1" s="41" t="s">
        <v>354</v>
      </c>
      <c r="K1" s="41" t="s">
        <v>355</v>
      </c>
      <c r="L1" s="41" t="s">
        <v>356</v>
      </c>
      <c r="M1" s="41" t="s">
        <v>357</v>
      </c>
      <c r="N1" s="41" t="s">
        <v>358</v>
      </c>
      <c r="O1" s="41" t="s">
        <v>359</v>
      </c>
      <c r="P1" s="41" t="s">
        <v>360</v>
      </c>
      <c r="Q1" s="71" t="s">
        <v>361</v>
      </c>
      <c r="R1" s="71" t="s">
        <v>362</v>
      </c>
      <c r="S1" s="72" t="s">
        <v>442</v>
      </c>
      <c r="T1" s="72" t="s">
        <v>443</v>
      </c>
      <c r="U1" s="41" t="s">
        <v>363</v>
      </c>
      <c r="V1" s="41" t="s">
        <v>364</v>
      </c>
      <c r="W1" s="71" t="s">
        <v>365</v>
      </c>
      <c r="X1" s="71" t="s">
        <v>366</v>
      </c>
      <c r="Y1" s="41" t="s">
        <v>367</v>
      </c>
      <c r="Z1" s="41" t="s">
        <v>368</v>
      </c>
      <c r="AA1" s="41" t="s">
        <v>369</v>
      </c>
      <c r="AB1" s="41" t="s">
        <v>370</v>
      </c>
      <c r="AC1" s="71" t="s">
        <v>371</v>
      </c>
      <c r="AD1" s="71" t="s">
        <v>372</v>
      </c>
      <c r="AE1" s="41" t="s">
        <v>373</v>
      </c>
      <c r="AF1" s="41" t="s">
        <v>374</v>
      </c>
      <c r="AG1" s="71" t="s">
        <v>375</v>
      </c>
      <c r="AH1" s="71" t="s">
        <v>376</v>
      </c>
      <c r="AI1" s="41" t="s">
        <v>377</v>
      </c>
      <c r="AJ1" s="41" t="s">
        <v>378</v>
      </c>
      <c r="AK1" s="71" t="s">
        <v>379</v>
      </c>
      <c r="AL1" s="71" t="s">
        <v>380</v>
      </c>
      <c r="AM1" s="41" t="s">
        <v>381</v>
      </c>
      <c r="AN1" s="41" t="s">
        <v>382</v>
      </c>
    </row>
    <row r="2" spans="1:40">
      <c r="A2" s="42">
        <v>255001</v>
      </c>
      <c r="B2" s="43" t="s">
        <v>289</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290</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433</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434</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383</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384</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3203125" defaultRowHeight="14"/>
  <cols>
    <col min="1" max="1" width="8.83203125" style="35"/>
    <col min="2" max="2" width="23.58203125" style="35" customWidth="1"/>
    <col min="3" max="4" width="7.25" style="39" customWidth="1"/>
    <col min="5" max="5" width="8.5" style="40" customWidth="1"/>
    <col min="6" max="6" width="19.58203125" style="35" customWidth="1"/>
    <col min="7" max="8" width="13.58203125" style="35" customWidth="1"/>
    <col min="9" max="16384" width="8.83203125" style="22"/>
  </cols>
  <sheetData>
    <row r="1" spans="1:8" ht="26">
      <c r="A1" s="20" t="s">
        <v>237</v>
      </c>
      <c r="B1" s="21" t="s">
        <v>238</v>
      </c>
      <c r="C1" s="36" t="s">
        <v>310</v>
      </c>
      <c r="D1" s="36" t="s">
        <v>311</v>
      </c>
      <c r="E1" s="37" t="s">
        <v>312</v>
      </c>
      <c r="F1" s="21" t="s">
        <v>313</v>
      </c>
      <c r="G1" s="21" t="s">
        <v>314</v>
      </c>
      <c r="H1" s="21" t="s">
        <v>315</v>
      </c>
    </row>
    <row r="2" spans="1:8">
      <c r="A2" s="23">
        <v>255001</v>
      </c>
      <c r="B2" s="24" t="s">
        <v>289</v>
      </c>
      <c r="C2" s="38" t="str">
        <f>LEFT(D2,3)</f>
        <v>205</v>
      </c>
      <c r="D2" s="38" t="str">
        <f>LEFT(E2,5)</f>
        <v>20502</v>
      </c>
      <c r="E2" s="38">
        <f>IF(ISNA(VLOOKUP(F2,'2021功能科目'!A:B,2,FALSE)),"",VLOOKUP(F2,'2021功能科目'!A:B,2,FALSE))</f>
        <v>2050201</v>
      </c>
      <c r="F2" s="24" t="s">
        <v>316</v>
      </c>
      <c r="G2" s="25">
        <v>84369469.799999997</v>
      </c>
      <c r="H2" s="25">
        <v>88422700</v>
      </c>
    </row>
    <row r="3" spans="1:8">
      <c r="A3" s="23">
        <v>255001</v>
      </c>
      <c r="B3" s="24" t="s">
        <v>289</v>
      </c>
      <c r="C3" s="38" t="str">
        <f t="shared" ref="C3:C66" si="0">LEFT(D3,3)</f>
        <v>205</v>
      </c>
      <c r="D3" s="38" t="str">
        <f t="shared" ref="D3:D66" si="1">LEFT(E3,5)</f>
        <v>20502</v>
      </c>
      <c r="E3" s="38">
        <f>IF(ISNA(VLOOKUP(F3,'2021功能科目'!A:B,2,FALSE)),"",VLOOKUP(F3,'2021功能科目'!A:B,2,FALSE))</f>
        <v>2050204</v>
      </c>
      <c r="F3" s="24" t="s">
        <v>318</v>
      </c>
      <c r="G3" s="25">
        <v>1817641</v>
      </c>
      <c r="H3" s="25">
        <v>410000</v>
      </c>
    </row>
    <row r="4" spans="1:8">
      <c r="A4" s="23">
        <v>255001</v>
      </c>
      <c r="B4" s="24" t="s">
        <v>289</v>
      </c>
      <c r="C4" s="38" t="str">
        <f t="shared" si="0"/>
        <v>205</v>
      </c>
      <c r="D4" s="38" t="str">
        <f t="shared" si="1"/>
        <v>20502</v>
      </c>
      <c r="E4" s="38">
        <f>IF(ISNA(VLOOKUP(F4,'2021功能科目'!A:B,2,FALSE)),"",VLOOKUP(F4,'2021功能科目'!A:B,2,FALSE))</f>
        <v>2050299</v>
      </c>
      <c r="F4" s="24" t="s">
        <v>319</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332</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318</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319</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320</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322</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323</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324</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325</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327</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328</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329</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330</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331</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332</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318</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319</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320</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322</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323</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324</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325</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327</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328</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329</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330</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331</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332</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318</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319</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320</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322</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323</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324</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325</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327</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328</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329</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330</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331</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332</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318</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319</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320</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322</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323</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324</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325</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327</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328</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329</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330</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331</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332</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318</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319</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320</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322</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323</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324</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325</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326</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327</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328</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329</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330</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331</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332</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318</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319</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320</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322</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323</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324</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325</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327</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328</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329</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330</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331</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332</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318</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319</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320</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322</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323</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324</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325</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327</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328</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329</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330</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331</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318</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319</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320</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322</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323</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324</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325</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327</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328</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329</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330</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331</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332</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318</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319</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320</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321</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322</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323</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324</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325</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327</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328</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329</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330</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331</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318</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319</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320</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322</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323</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324</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325</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327</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328</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329</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330</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331</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332</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318</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319</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320</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321</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322</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323</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324</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325</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327</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328</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329</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330</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331</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332</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318</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319</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320</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323</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324</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325</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327</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328</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329</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330</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331</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332</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318</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319</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320</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322</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323</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324</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325</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327</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328</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329</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330</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331</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332</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319</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320</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323</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324</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325</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327</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328</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329</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330</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331</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318</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320</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323</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324</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325</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327</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329</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330</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331</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332</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318</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319</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320</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322</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323</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324</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325</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327</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328</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329</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330</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331</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332</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318</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319</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320</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322</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323</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324</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325</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327</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328</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329</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330</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331</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332</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318</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319</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320</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322</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323</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324</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325</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327</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328</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329</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330</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331</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318</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319</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320</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322</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323</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324</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325</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327</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328</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329</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330</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331</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332</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319</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320</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322</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323</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324</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325</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327</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328</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329</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330</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331</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332</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318</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319</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320</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322</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323</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324</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325</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327</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328</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329</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330</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331</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332</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319</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320</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323</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324</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325</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327</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328</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329</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330</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331</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332</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319</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320</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322</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323</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324</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325</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327</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328</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329</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330</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331</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333</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320</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323</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324</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325</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326</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327</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328</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329</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330</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331</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318</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319</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333</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320</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335</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323</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324</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325</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327</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328</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329</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330</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331</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316</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317</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332</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318</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319</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320</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321</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322</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323</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324</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325</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327</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328</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329</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330</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331</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317</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319</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320</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323</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324</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325</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327</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328</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329</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330</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331</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317</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319</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320</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321</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323</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324</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325</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327</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329</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330</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331</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317</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319</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320</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322</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323</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324</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325</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327</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329</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330</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331</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317</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319</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320</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321</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322</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323</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324</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325</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327</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329</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330</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331</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317</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319</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320</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321</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322</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323</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324</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325</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327</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329</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330</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331</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317</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319</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320</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321</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323</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324</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325</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327</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329</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330</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331</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317</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319</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320</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322</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323</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324</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325</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327</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329</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330</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331</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317</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319</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320</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321</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322</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323</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324</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325</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327</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329</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330</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331</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317</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319</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320</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321</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322</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323</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324</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325</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327</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328</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329</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330</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331</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317</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319</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320</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322</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323</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324</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325</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327</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329</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330</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331</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317</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319</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320</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321</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322</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323</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324</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325</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327</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328</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329</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330</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331</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317</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319</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320</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321</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323</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324</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325</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327</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329</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330</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331</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317</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319</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320</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322</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323</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324</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325</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327</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328</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329</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330</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331</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317</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319</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320</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321</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322</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323</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324</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325</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327</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328</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329</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330</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331</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317</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319</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320</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321</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322</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323</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324</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325</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327</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329</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330</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331</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317</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319</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320</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322</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323</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324</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325</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327</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328</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329</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330</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331</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317</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319</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320</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321</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322</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323</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324</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325</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327</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329</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330</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331</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317</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319</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320</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321</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322</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323</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324</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325</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327</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329</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330</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331</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317</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319</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320</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322</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323</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324</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325</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327</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329</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330</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331</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317</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319</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320</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321</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322</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323</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324</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325</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327</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328</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329</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330</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331</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317</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319</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320</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322</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323</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324</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325</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327</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329</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330</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331</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317</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319</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320</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321</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322</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323</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324</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325</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326</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327</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328</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329</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330</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331</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317</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319</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320</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321</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323</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324</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325</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327</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329</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330</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331</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317</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319</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320</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321</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322</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336</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323</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324</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325</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327</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329</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330</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331</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317</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319</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320</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321</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322</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323</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324</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325</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327</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328</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329</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330</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331</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317</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319</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320</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321</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322</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323</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324</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325</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327</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328</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329</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330</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331</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317</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319</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320</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322</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323</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324</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325</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327</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328</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329</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330</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331</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317</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319</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320</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322</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323</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324</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325</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327</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328</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329</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330</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331</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317</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319</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320</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322</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323</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324</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325</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327</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328</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329</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330</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331</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317</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319</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320</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322</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323</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324</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325</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327</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328</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329</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330</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331</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317</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319</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320</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323</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324</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325</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327</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329</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330</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331</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317</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319</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320</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321</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322</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323</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324</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325</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327</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328</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329</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330</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331</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317</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319</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320</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323</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324</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325</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327</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328</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329</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330</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331</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316</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320</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336</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323</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324</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325</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327</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328</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329</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330</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331</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316</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320</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336</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323</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324</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325</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327</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328</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329</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330</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331</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316</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320</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336</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323</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324</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325</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327</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328</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329</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330</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331</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316</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320</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336</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323</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324</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325</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327</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329</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330</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331</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316</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320</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336</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323</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324</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325</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327</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329</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330</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331</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316</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320</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336</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323</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324</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325</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327</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328</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329</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330</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331</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316</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320</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336</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323</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324</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325</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327</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329</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330</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331</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316</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320</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336</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323</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324</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325</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327</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329</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330</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331</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323</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330</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316</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318</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319</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337</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320</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336</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323</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324</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325</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327</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329</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330</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331</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316</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332</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318</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319</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337</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320</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322</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323</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324</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325</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327</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329</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330</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331</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319</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339</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320</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323</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324</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325</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327</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329</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330</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331</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319</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320</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323</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324</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325</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327</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328</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329</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330</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331</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319</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320</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336</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340</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323</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324</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325</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327</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328</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329</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330</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331</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319</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320</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336</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323</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324</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325</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327</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329</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330</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331</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319</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320</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336</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323</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324</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325</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327</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329</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330</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331</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319</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320</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336</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323</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324</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325</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327</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329</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330</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331</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319</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320</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323</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324</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325</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327</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329</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330</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331</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319</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320</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323</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324</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325</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327</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329</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330</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331</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341</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320</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336</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323</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324</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325</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327</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328</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329</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330</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331</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319</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320</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323</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324</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325</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327</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329</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330</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331</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319</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320</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336</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323</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324</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325</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327</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329</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330</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331</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341</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320</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323</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324</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325</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327</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329</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330</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331</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319</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320</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323</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324</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325</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327</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329</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330</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331</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319</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320</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323</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324</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325</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327</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329</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330</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331</v>
      </c>
      <c r="G975" s="25">
        <v>279288</v>
      </c>
      <c r="H975" s="25">
        <v>279288</v>
      </c>
    </row>
    <row r="976" spans="1:8">
      <c r="A976" s="23">
        <v>255108</v>
      </c>
      <c r="B976" s="24" t="s">
        <v>296</v>
      </c>
      <c r="C976" s="38" t="str">
        <f t="shared" si="30"/>
        <v>205</v>
      </c>
      <c r="D976" s="38" t="str">
        <f t="shared" si="31"/>
        <v>20502</v>
      </c>
      <c r="E976" s="38">
        <f>IF(ISNA(VLOOKUP(F976,'2021功能科目'!A:B,2,FALSE)),"",VLOOKUP(F976,'2021功能科目'!A:B,2,FALSE))</f>
        <v>2050299</v>
      </c>
      <c r="F976" s="24" t="s">
        <v>319</v>
      </c>
      <c r="G976" s="25">
        <v>2062299.14</v>
      </c>
      <c r="H976" s="25">
        <v>1861343.69</v>
      </c>
    </row>
    <row r="977" spans="1:8">
      <c r="A977" s="23">
        <v>255108</v>
      </c>
      <c r="B977" s="24" t="s">
        <v>296</v>
      </c>
      <c r="C977" s="38" t="str">
        <f t="shared" si="30"/>
        <v>205</v>
      </c>
      <c r="D977" s="38" t="str">
        <f t="shared" si="31"/>
        <v>20508</v>
      </c>
      <c r="E977" s="38">
        <f>IF(ISNA(VLOOKUP(F977,'2021功能科目'!A:B,2,FALSE)),"",VLOOKUP(F977,'2021功能科目'!A:B,2,FALSE))</f>
        <v>2050803</v>
      </c>
      <c r="F977" s="24" t="s">
        <v>320</v>
      </c>
      <c r="G977" s="25">
        <v>0</v>
      </c>
      <c r="H977" s="25">
        <v>6120</v>
      </c>
    </row>
    <row r="978" spans="1:8">
      <c r="A978" s="23">
        <v>255108</v>
      </c>
      <c r="B978" s="24" t="s">
        <v>296</v>
      </c>
      <c r="C978" s="38" t="str">
        <f t="shared" si="30"/>
        <v>208</v>
      </c>
      <c r="D978" s="38" t="str">
        <f t="shared" si="31"/>
        <v>20805</v>
      </c>
      <c r="E978" s="38">
        <f>IF(ISNA(VLOOKUP(F978,'2021功能科目'!A:B,2,FALSE)),"",VLOOKUP(F978,'2021功能科目'!A:B,2,FALSE))</f>
        <v>2080505</v>
      </c>
      <c r="F978" s="24" t="s">
        <v>324</v>
      </c>
      <c r="G978" s="25">
        <v>227009.92000000001</v>
      </c>
      <c r="H978" s="25">
        <v>233242.54</v>
      </c>
    </row>
    <row r="979" spans="1:8">
      <c r="A979" s="23">
        <v>255108</v>
      </c>
      <c r="B979" s="24" t="s">
        <v>296</v>
      </c>
      <c r="C979" s="38" t="str">
        <f t="shared" si="30"/>
        <v>208</v>
      </c>
      <c r="D979" s="38" t="str">
        <f t="shared" si="31"/>
        <v>20805</v>
      </c>
      <c r="E979" s="38">
        <f>IF(ISNA(VLOOKUP(F979,'2021功能科目'!A:B,2,FALSE)),"",VLOOKUP(F979,'2021功能科目'!A:B,2,FALSE))</f>
        <v>2080506</v>
      </c>
      <c r="F979" s="24" t="s">
        <v>325</v>
      </c>
      <c r="G979" s="25">
        <v>113504.96000000001</v>
      </c>
      <c r="H979" s="25">
        <v>116621.27</v>
      </c>
    </row>
    <row r="980" spans="1:8">
      <c r="A980" s="23">
        <v>255108</v>
      </c>
      <c r="B980" s="24" t="s">
        <v>296</v>
      </c>
      <c r="C980" s="38" t="str">
        <f t="shared" si="30"/>
        <v>210</v>
      </c>
      <c r="D980" s="38" t="str">
        <f t="shared" si="31"/>
        <v>21011</v>
      </c>
      <c r="E980" s="38">
        <f>IF(ISNA(VLOOKUP(F980,'2021功能科目'!A:B,2,FALSE)),"",VLOOKUP(F980,'2021功能科目'!A:B,2,FALSE))</f>
        <v>2101102</v>
      </c>
      <c r="F980" s="24" t="s">
        <v>327</v>
      </c>
      <c r="G980" s="25">
        <v>227782.67</v>
      </c>
      <c r="H980" s="25">
        <v>189509.56</v>
      </c>
    </row>
    <row r="981" spans="1:8">
      <c r="A981" s="23">
        <v>255108</v>
      </c>
      <c r="B981" s="24" t="s">
        <v>296</v>
      </c>
      <c r="C981" s="38" t="str">
        <f t="shared" si="30"/>
        <v>221</v>
      </c>
      <c r="D981" s="38" t="str">
        <f t="shared" si="31"/>
        <v>22102</v>
      </c>
      <c r="E981" s="38">
        <f>IF(ISNA(VLOOKUP(F981,'2021功能科目'!A:B,2,FALSE)),"",VLOOKUP(F981,'2021功能科目'!A:B,2,FALSE))</f>
        <v>2210201</v>
      </c>
      <c r="F981" s="24" t="s">
        <v>329</v>
      </c>
      <c r="G981" s="25">
        <v>220664</v>
      </c>
      <c r="H981" s="25">
        <v>194371.91</v>
      </c>
    </row>
    <row r="982" spans="1:8">
      <c r="A982" s="23">
        <v>255108</v>
      </c>
      <c r="B982" s="24" t="s">
        <v>296</v>
      </c>
      <c r="C982" s="38" t="str">
        <f t="shared" si="30"/>
        <v>221</v>
      </c>
      <c r="D982" s="38" t="str">
        <f t="shared" si="31"/>
        <v>22102</v>
      </c>
      <c r="E982" s="38">
        <f>IF(ISNA(VLOOKUP(F982,'2021功能科目'!A:B,2,FALSE)),"",VLOOKUP(F982,'2021功能科目'!A:B,2,FALSE))</f>
        <v>2210203</v>
      </c>
      <c r="F982" s="24" t="s">
        <v>331</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319</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320</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336</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323</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324</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325</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327</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329</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330</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331</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319</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320</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323</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324</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325</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327</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329</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330</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331</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316</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320</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336</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323</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324</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325</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327</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329</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330</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331</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317</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319</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320</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322</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323</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324</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325</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327</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329</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330</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331</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319</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320</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323</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324</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325</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327</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329</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330</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331</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317</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332</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318</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319</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320</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322</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323</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324</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325</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327</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328</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329</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330</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331</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332</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318</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319</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320</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321</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322</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438</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323</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324</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325</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326</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327</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328</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329</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330</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331</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318</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319</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320</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322</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438</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323</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324</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325</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327</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328</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329</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330</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331</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318</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320</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322</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323</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324</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325</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327</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328</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329</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330</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331</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332</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318</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319</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320</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322</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323</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324</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325</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327</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328</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329</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330</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331</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319</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333</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320</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323</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324</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325</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327</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328</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329</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330</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331</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318</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320</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323</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324</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325</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327</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328</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329</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330</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331</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332</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318</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319</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320</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322</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323</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324</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325</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327</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328</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329</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330</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331</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332</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318</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319</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320</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322</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323</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324</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325</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326</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327</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328</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329</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330</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331</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332</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318</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319</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320</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322</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323</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324</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325</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327</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328</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329</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330</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331</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317</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319</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320</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321</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322</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323</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324</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325</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327</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328</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329</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330</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331</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317</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319</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320</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322</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323</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324</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325</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327</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328</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329</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330</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331</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317</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319</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320</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321</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322</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323</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324</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325</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327</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329</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330</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331</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317</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319</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320</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322</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323</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324</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325</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327</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328</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329</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330</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331</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317</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319</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320</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321</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322</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323</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324</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325</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327</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328</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329</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330</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331</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317</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319</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320</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322</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323</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324</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325</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327</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329</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330</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331</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317</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319</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320</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322</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323</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324</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325</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327</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329</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330</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331</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317</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319</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320</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322</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323</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324</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325</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327</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329</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330</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331</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317</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319</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320</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321</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323</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324</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325</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327</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328</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329</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330</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331</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317</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319</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320</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321</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322</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323</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324</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325</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326</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327</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328</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329</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330</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331</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317</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319</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320</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322</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323</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324</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325</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327</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328</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329</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330</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331</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317</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319</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320</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322</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323</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324</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325</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327</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329</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330</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331</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317</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319</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320</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321</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323</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324</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325</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327</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328</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329</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330</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331</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317</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319</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320</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321</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323</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324</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325</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327</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329</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330</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331</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317</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319</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320</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322</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323</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324</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325</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327</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328</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329</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330</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331</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317</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319</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320</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321</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322</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323</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324</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325</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327</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329</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330</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331</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317</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319</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320</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322</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323</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324</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325</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327</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328</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329</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330</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331</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317</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319</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320</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321</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323</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324</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325</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327</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329</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330</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331</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317</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319</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320</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322</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323</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324</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325</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327</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329</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330</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331</v>
      </c>
      <c r="G1384" s="25">
        <v>1027932</v>
      </c>
      <c r="H1384" s="25">
        <v>1027932</v>
      </c>
    </row>
    <row r="1385" spans="1:8">
      <c r="A1385" s="23">
        <v>255154</v>
      </c>
      <c r="B1385" s="24" t="s">
        <v>432</v>
      </c>
      <c r="C1385" s="38" t="str">
        <f t="shared" si="42"/>
        <v>205</v>
      </c>
      <c r="D1385" s="38" t="str">
        <f t="shared" si="43"/>
        <v>20502</v>
      </c>
      <c r="E1385" s="38">
        <f>IF(ISNA(VLOOKUP(F1385,'2021功能科目'!A:B,2,FALSE)),"",VLOOKUP(F1385,'2021功能科目'!A:B,2,FALSE))</f>
        <v>2050202</v>
      </c>
      <c r="F1385" s="24" t="s">
        <v>317</v>
      </c>
      <c r="G1385" s="25">
        <v>20179239.84</v>
      </c>
      <c r="H1385" s="25">
        <v>17536632.91</v>
      </c>
    </row>
    <row r="1386" spans="1:8">
      <c r="A1386" s="23">
        <v>255154</v>
      </c>
      <c r="B1386" s="24" t="s">
        <v>432</v>
      </c>
      <c r="C1386" s="38" t="str">
        <f t="shared" si="42"/>
        <v>205</v>
      </c>
      <c r="D1386" s="38" t="str">
        <f t="shared" si="43"/>
        <v>20502</v>
      </c>
      <c r="E1386" s="38">
        <f>IF(ISNA(VLOOKUP(F1386,'2021功能科目'!A:B,2,FALSE)),"",VLOOKUP(F1386,'2021功能科目'!A:B,2,FALSE))</f>
        <v>2050299</v>
      </c>
      <c r="F1386" s="24" t="s">
        <v>319</v>
      </c>
      <c r="G1386" s="25">
        <v>825091.53</v>
      </c>
      <c r="H1386" s="25">
        <v>797250</v>
      </c>
    </row>
    <row r="1387" spans="1:8">
      <c r="A1387" s="23">
        <v>255154</v>
      </c>
      <c r="B1387" s="24" t="s">
        <v>432</v>
      </c>
      <c r="C1387" s="38" t="str">
        <f t="shared" si="42"/>
        <v>205</v>
      </c>
      <c r="D1387" s="38" t="str">
        <f t="shared" si="43"/>
        <v>20508</v>
      </c>
      <c r="E1387" s="38">
        <f>IF(ISNA(VLOOKUP(F1387,'2021功能科目'!A:B,2,FALSE)),"",VLOOKUP(F1387,'2021功能科目'!A:B,2,FALSE))</f>
        <v>2050803</v>
      </c>
      <c r="F1387" s="24" t="s">
        <v>320</v>
      </c>
      <c r="G1387" s="25">
        <v>42840</v>
      </c>
      <c r="H1387" s="25">
        <v>42840</v>
      </c>
    </row>
    <row r="1388" spans="1:8">
      <c r="A1388" s="23">
        <v>255154</v>
      </c>
      <c r="B1388" s="24" t="s">
        <v>432</v>
      </c>
      <c r="C1388" s="38" t="str">
        <f t="shared" si="42"/>
        <v>205</v>
      </c>
      <c r="D1388" s="38" t="str">
        <f t="shared" si="43"/>
        <v>20509</v>
      </c>
      <c r="E1388" s="38">
        <f>IF(ISNA(VLOOKUP(F1388,'2021功能科目'!A:B,2,FALSE)),"",VLOOKUP(F1388,'2021功能科目'!A:B,2,FALSE))</f>
        <v>2050904</v>
      </c>
      <c r="F1388" s="24" t="s">
        <v>322</v>
      </c>
      <c r="G1388" s="25">
        <v>7282</v>
      </c>
      <c r="H1388" s="25">
        <v>7282</v>
      </c>
    </row>
    <row r="1389" spans="1:8">
      <c r="A1389" s="23">
        <v>255154</v>
      </c>
      <c r="B1389" s="24" t="s">
        <v>432</v>
      </c>
      <c r="C1389" s="38" t="str">
        <f t="shared" si="42"/>
        <v>208</v>
      </c>
      <c r="D1389" s="38" t="str">
        <f t="shared" si="43"/>
        <v>20805</v>
      </c>
      <c r="E1389" s="38">
        <f>IF(ISNA(VLOOKUP(F1389,'2021功能科目'!A:B,2,FALSE)),"",VLOOKUP(F1389,'2021功能科目'!A:B,2,FALSE))</f>
        <v>2080502</v>
      </c>
      <c r="F1389" s="24" t="s">
        <v>323</v>
      </c>
      <c r="G1389" s="25">
        <v>408722.56</v>
      </c>
      <c r="H1389" s="25">
        <v>408726</v>
      </c>
    </row>
    <row r="1390" spans="1:8">
      <c r="A1390" s="23">
        <v>255154</v>
      </c>
      <c r="B1390" s="24" t="s">
        <v>432</v>
      </c>
      <c r="C1390" s="38" t="str">
        <f t="shared" si="42"/>
        <v>208</v>
      </c>
      <c r="D1390" s="38" t="str">
        <f t="shared" si="43"/>
        <v>20805</v>
      </c>
      <c r="E1390" s="38">
        <f>IF(ISNA(VLOOKUP(F1390,'2021功能科目'!A:B,2,FALSE)),"",VLOOKUP(F1390,'2021功能科目'!A:B,2,FALSE))</f>
        <v>2080505</v>
      </c>
      <c r="F1390" s="24" t="s">
        <v>324</v>
      </c>
      <c r="G1390" s="25">
        <v>1909234.88</v>
      </c>
      <c r="H1390" s="25">
        <v>2017116.26</v>
      </c>
    </row>
    <row r="1391" spans="1:8">
      <c r="A1391" s="23">
        <v>255154</v>
      </c>
      <c r="B1391" s="24" t="s">
        <v>432</v>
      </c>
      <c r="C1391" s="38" t="str">
        <f t="shared" si="42"/>
        <v>208</v>
      </c>
      <c r="D1391" s="38" t="str">
        <f t="shared" si="43"/>
        <v>20805</v>
      </c>
      <c r="E1391" s="38">
        <f>IF(ISNA(VLOOKUP(F1391,'2021功能科目'!A:B,2,FALSE)),"",VLOOKUP(F1391,'2021功能科目'!A:B,2,FALSE))</f>
        <v>2080506</v>
      </c>
      <c r="F1391" s="24" t="s">
        <v>325</v>
      </c>
      <c r="G1391" s="25">
        <v>954617.44</v>
      </c>
      <c r="H1391" s="25">
        <v>1008558.13</v>
      </c>
    </row>
    <row r="1392" spans="1:8">
      <c r="A1392" s="23">
        <v>255154</v>
      </c>
      <c r="B1392" s="24" t="s">
        <v>432</v>
      </c>
      <c r="C1392" s="38" t="str">
        <f t="shared" si="42"/>
        <v>210</v>
      </c>
      <c r="D1392" s="38" t="str">
        <f t="shared" si="43"/>
        <v>21011</v>
      </c>
      <c r="E1392" s="38">
        <f>IF(ISNA(VLOOKUP(F1392,'2021功能科目'!A:B,2,FALSE)),"",VLOOKUP(F1392,'2021功能科目'!A:B,2,FALSE))</f>
        <v>2101102</v>
      </c>
      <c r="F1392" s="24" t="s">
        <v>327</v>
      </c>
      <c r="G1392" s="25">
        <v>1645115.15</v>
      </c>
      <c r="H1392" s="25">
        <v>1638906.96</v>
      </c>
    </row>
    <row r="1393" spans="1:8">
      <c r="A1393" s="23">
        <v>255154</v>
      </c>
      <c r="B1393" s="24" t="s">
        <v>432</v>
      </c>
      <c r="C1393" s="38" t="str">
        <f t="shared" si="42"/>
        <v>221</v>
      </c>
      <c r="D1393" s="38" t="str">
        <f t="shared" si="43"/>
        <v>22102</v>
      </c>
      <c r="E1393" s="38">
        <f>IF(ISNA(VLOOKUP(F1393,'2021功能科目'!A:B,2,FALSE)),"",VLOOKUP(F1393,'2021功能科目'!A:B,2,FALSE))</f>
        <v>2210201</v>
      </c>
      <c r="F1393" s="24" t="s">
        <v>329</v>
      </c>
      <c r="G1393" s="25">
        <v>1703381</v>
      </c>
      <c r="H1393" s="25">
        <v>1648917.2</v>
      </c>
    </row>
    <row r="1394" spans="1:8">
      <c r="A1394" s="23">
        <v>255154</v>
      </c>
      <c r="B1394" s="24" t="s">
        <v>432</v>
      </c>
      <c r="C1394" s="38" t="str">
        <f t="shared" si="42"/>
        <v>221</v>
      </c>
      <c r="D1394" s="38" t="str">
        <f t="shared" si="43"/>
        <v>22102</v>
      </c>
      <c r="E1394" s="38">
        <f>IF(ISNA(VLOOKUP(F1394,'2021功能科目'!A:B,2,FALSE)),"",VLOOKUP(F1394,'2021功能科目'!A:B,2,FALSE))</f>
        <v>2210202</v>
      </c>
      <c r="F1394" s="24" t="s">
        <v>330</v>
      </c>
      <c r="G1394" s="25">
        <v>36120</v>
      </c>
      <c r="H1394" s="25">
        <v>36240</v>
      </c>
    </row>
    <row r="1395" spans="1:8">
      <c r="A1395" s="23">
        <v>255154</v>
      </c>
      <c r="B1395" s="24" t="s">
        <v>432</v>
      </c>
      <c r="C1395" s="38" t="str">
        <f t="shared" si="42"/>
        <v>221</v>
      </c>
      <c r="D1395" s="38" t="str">
        <f t="shared" si="43"/>
        <v>22102</v>
      </c>
      <c r="E1395" s="38">
        <f>IF(ISNA(VLOOKUP(F1395,'2021功能科目'!A:B,2,FALSE)),"",VLOOKUP(F1395,'2021功能科目'!A:B,2,FALSE))</f>
        <v>2210203</v>
      </c>
      <c r="F1395" s="24" t="s">
        <v>331</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317</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319</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320</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322</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323</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324</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325</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327</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329</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330</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331</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317</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319</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320</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321</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322</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323</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324</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325</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327</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329</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330</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331</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316</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320</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336</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323</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324</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325</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327</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329</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330</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331</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316</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320</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336</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323</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324</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325</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327</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328</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329</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330</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331</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316</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320</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323</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324</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325</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327</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329</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330</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331</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316</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320</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438</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323</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324</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325</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327</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329</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330</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331</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316</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336</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323</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324</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325</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327</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329</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330</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331</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316</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320</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336</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323</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324</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325</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327</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329</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330</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331</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316</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320</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336</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323</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324</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325</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327</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329</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330</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331</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316</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320</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336</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323</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324</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325</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327</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329</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330</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331</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316</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320</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336</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323</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324</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325</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327</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329</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330</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331</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316</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320</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323</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324</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325</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327</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328</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329</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330</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331</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316</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320</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323</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324</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325</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327</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329</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330</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331</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316</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320</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336</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323</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324</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325</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327</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329</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330</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331</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316</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320</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336</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323</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324</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325</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327</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329</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330</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331</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343</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320</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336</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323</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324</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325</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327</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328</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329</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330</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331</v>
      </c>
      <c r="G1557" s="25">
        <v>1342028</v>
      </c>
      <c r="H1557" s="25">
        <v>1328208</v>
      </c>
    </row>
    <row r="1558" spans="1:8">
      <c r="A1558" s="23">
        <v>255172</v>
      </c>
      <c r="B1558" s="24" t="s">
        <v>297</v>
      </c>
      <c r="C1558" s="38" t="str">
        <f t="shared" si="48"/>
        <v>205</v>
      </c>
      <c r="D1558" s="38" t="str">
        <f t="shared" si="49"/>
        <v>20504</v>
      </c>
      <c r="E1558" s="38">
        <f>IF(ISNA(VLOOKUP(F1558,'2021功能科目'!A:B,2,FALSE)),"",VLOOKUP(F1558,'2021功能科目'!A:B,2,FALSE))</f>
        <v>2050404</v>
      </c>
      <c r="F1558" s="24" t="s">
        <v>344</v>
      </c>
      <c r="G1558" s="25">
        <v>6645811.0700000003</v>
      </c>
      <c r="H1558" s="25">
        <v>6446171.9800000004</v>
      </c>
    </row>
    <row r="1559" spans="1:8">
      <c r="A1559" s="23">
        <v>255172</v>
      </c>
      <c r="B1559" s="24" t="s">
        <v>297</v>
      </c>
      <c r="C1559" s="38" t="str">
        <f t="shared" si="48"/>
        <v>205</v>
      </c>
      <c r="D1559" s="38" t="str">
        <f t="shared" si="49"/>
        <v>20508</v>
      </c>
      <c r="E1559" s="38">
        <f>IF(ISNA(VLOOKUP(F1559,'2021功能科目'!A:B,2,FALSE)),"",VLOOKUP(F1559,'2021功能科目'!A:B,2,FALSE))</f>
        <v>2050803</v>
      </c>
      <c r="F1559" s="24" t="s">
        <v>320</v>
      </c>
      <c r="G1559" s="25">
        <v>5119</v>
      </c>
      <c r="H1559" s="25">
        <v>17000</v>
      </c>
    </row>
    <row r="1560" spans="1:8">
      <c r="A1560" s="23">
        <v>255172</v>
      </c>
      <c r="B1560" s="24" t="s">
        <v>297</v>
      </c>
      <c r="C1560" s="38" t="str">
        <f t="shared" si="48"/>
        <v>208</v>
      </c>
      <c r="D1560" s="38" t="str">
        <f t="shared" si="49"/>
        <v>20805</v>
      </c>
      <c r="E1560" s="38">
        <f>IF(ISNA(VLOOKUP(F1560,'2021功能科目'!A:B,2,FALSE)),"",VLOOKUP(F1560,'2021功能科目'!A:B,2,FALSE))</f>
        <v>2080502</v>
      </c>
      <c r="F1560" s="24" t="s">
        <v>323</v>
      </c>
      <c r="G1560" s="25">
        <v>230917</v>
      </c>
      <c r="H1560" s="25">
        <v>224842</v>
      </c>
    </row>
    <row r="1561" spans="1:8">
      <c r="A1561" s="23">
        <v>255172</v>
      </c>
      <c r="B1561" s="24" t="s">
        <v>297</v>
      </c>
      <c r="C1561" s="38" t="str">
        <f t="shared" si="48"/>
        <v>208</v>
      </c>
      <c r="D1561" s="38" t="str">
        <f t="shared" si="49"/>
        <v>20805</v>
      </c>
      <c r="E1561" s="38">
        <f>IF(ISNA(VLOOKUP(F1561,'2021功能科目'!A:B,2,FALSE)),"",VLOOKUP(F1561,'2021功能科目'!A:B,2,FALSE))</f>
        <v>2080505</v>
      </c>
      <c r="F1561" s="24" t="s">
        <v>324</v>
      </c>
      <c r="G1561" s="25">
        <v>710000</v>
      </c>
      <c r="H1561" s="25">
        <v>728315.2</v>
      </c>
    </row>
    <row r="1562" spans="1:8">
      <c r="A1562" s="23">
        <v>255172</v>
      </c>
      <c r="B1562" s="24" t="s">
        <v>297</v>
      </c>
      <c r="C1562" s="38" t="str">
        <f t="shared" si="48"/>
        <v>208</v>
      </c>
      <c r="D1562" s="38" t="str">
        <f t="shared" si="49"/>
        <v>20805</v>
      </c>
      <c r="E1562" s="38">
        <f>IF(ISNA(VLOOKUP(F1562,'2021功能科目'!A:B,2,FALSE)),"",VLOOKUP(F1562,'2021功能科目'!A:B,2,FALSE))</f>
        <v>2080506</v>
      </c>
      <c r="F1562" s="24" t="s">
        <v>325</v>
      </c>
      <c r="G1562" s="25">
        <v>340000</v>
      </c>
      <c r="H1562" s="25">
        <v>364157.6</v>
      </c>
    </row>
    <row r="1563" spans="1:8">
      <c r="A1563" s="23">
        <v>255172</v>
      </c>
      <c r="B1563" s="24" t="s">
        <v>297</v>
      </c>
      <c r="C1563" s="38" t="str">
        <f t="shared" si="48"/>
        <v>210</v>
      </c>
      <c r="D1563" s="38" t="str">
        <f t="shared" si="49"/>
        <v>21011</v>
      </c>
      <c r="E1563" s="38">
        <f>IF(ISNA(VLOOKUP(F1563,'2021功能科目'!A:B,2,FALSE)),"",VLOOKUP(F1563,'2021功能科目'!A:B,2,FALSE))</f>
        <v>2101102</v>
      </c>
      <c r="F1563" s="24" t="s">
        <v>327</v>
      </c>
      <c r="G1563" s="25">
        <v>550000</v>
      </c>
      <c r="H1563" s="25">
        <v>591756.1</v>
      </c>
    </row>
    <row r="1564" spans="1:8">
      <c r="A1564" s="23">
        <v>255172</v>
      </c>
      <c r="B1564" s="24" t="s">
        <v>297</v>
      </c>
      <c r="C1564" s="38" t="str">
        <f t="shared" si="48"/>
        <v>221</v>
      </c>
      <c r="D1564" s="38" t="str">
        <f t="shared" si="49"/>
        <v>22102</v>
      </c>
      <c r="E1564" s="38">
        <f>IF(ISNA(VLOOKUP(F1564,'2021功能科目'!A:B,2,FALSE)),"",VLOOKUP(F1564,'2021功能科目'!A:B,2,FALSE))</f>
        <v>2210201</v>
      </c>
      <c r="F1564" s="24" t="s">
        <v>329</v>
      </c>
      <c r="G1564" s="25">
        <v>608112.4</v>
      </c>
      <c r="H1564" s="25">
        <v>600236.4</v>
      </c>
    </row>
    <row r="1565" spans="1:8">
      <c r="A1565" s="23">
        <v>255172</v>
      </c>
      <c r="B1565" s="24" t="s">
        <v>297</v>
      </c>
      <c r="C1565" s="38" t="str">
        <f t="shared" si="48"/>
        <v>221</v>
      </c>
      <c r="D1565" s="38" t="str">
        <f t="shared" si="49"/>
        <v>22102</v>
      </c>
      <c r="E1565" s="38">
        <f>IF(ISNA(VLOOKUP(F1565,'2021功能科目'!A:B,2,FALSE)),"",VLOOKUP(F1565,'2021功能科目'!A:B,2,FALSE))</f>
        <v>2210202</v>
      </c>
      <c r="F1565" s="24" t="s">
        <v>330</v>
      </c>
      <c r="G1565" s="25">
        <v>20370</v>
      </c>
      <c r="H1565" s="25">
        <v>19920</v>
      </c>
    </row>
    <row r="1566" spans="1:8">
      <c r="A1566" s="23">
        <v>255172</v>
      </c>
      <c r="B1566" s="24" t="s">
        <v>297</v>
      </c>
      <c r="C1566" s="38" t="str">
        <f t="shared" si="48"/>
        <v>221</v>
      </c>
      <c r="D1566" s="38" t="str">
        <f t="shared" si="49"/>
        <v>22102</v>
      </c>
      <c r="E1566" s="38">
        <f>IF(ISNA(VLOOKUP(F1566,'2021功能科目'!A:B,2,FALSE)),"",VLOOKUP(F1566,'2021功能科目'!A:B,2,FALSE))</f>
        <v>2210203</v>
      </c>
      <c r="F1566" s="24" t="s">
        <v>331</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341</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320</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336</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323</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324</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325</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327</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328</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329</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330</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331</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319</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320</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323</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324</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325</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327</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328</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329</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330</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331</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319</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320</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336</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438</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340</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323</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324</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325</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327</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329</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330</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331</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319</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320</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336</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323</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324</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325</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327</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329</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330</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331</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319</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320</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336</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323</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324</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325</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327</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329</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330</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331</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316</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317</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332</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318</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319</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338</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320</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336</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323</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324</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325</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327</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328</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345</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329</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330</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331</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333</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320</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335</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323</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324</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325</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327</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328</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329</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330</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331</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318</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319</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320</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322</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323</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324</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325</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327</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328</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329</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330</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331</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318</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319</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320</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322</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323</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324</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325</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327</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329</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330</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331</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319</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320</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336</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323</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324</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325</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327</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329</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330</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331</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316</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320</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323</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324</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325</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327</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329</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330</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331</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316</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320</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336</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324</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325</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327</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329</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331</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317</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319</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320</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321</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336</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324</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325</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327</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329</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331</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316</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320</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323</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324</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325</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327</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329</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330</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331</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316</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320</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336</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324</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325</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327</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329</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331</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316</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320</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336</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324</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325</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327</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329</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331</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316</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320</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336</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324</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325</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327</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329</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331</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316</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320</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336</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324</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325</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327</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329</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331</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319</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320</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324</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325</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327</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329</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331</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319</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320</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336</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324</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325</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327</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329</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331</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319</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320</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336</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324</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325</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327</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329</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331</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317</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319</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320</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336</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324</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325</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327</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329</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331</v>
      </c>
      <c r="G1780" s="25">
        <v>106262</v>
      </c>
      <c r="H1780" s="25">
        <v>92328</v>
      </c>
    </row>
    <row r="1781" spans="1:8">
      <c r="A1781" s="23">
        <v>255204</v>
      </c>
      <c r="B1781" s="24" t="s">
        <v>433</v>
      </c>
      <c r="C1781" s="38" t="str">
        <f t="shared" si="54"/>
        <v>205</v>
      </c>
      <c r="D1781" s="38" t="str">
        <f t="shared" si="55"/>
        <v>20502</v>
      </c>
      <c r="E1781" s="38">
        <f>IF(ISNA(VLOOKUP(F1781,'2021功能科目'!A:B,2,FALSE)),"",VLOOKUP(F1781,'2021功能科目'!A:B,2,FALSE))</f>
        <v>2050203</v>
      </c>
      <c r="F1781" s="24" t="s">
        <v>332</v>
      </c>
      <c r="G1781" s="25">
        <v>18918585.870000001</v>
      </c>
      <c r="H1781" s="25">
        <v>0</v>
      </c>
    </row>
    <row r="1782" spans="1:8">
      <c r="A1782" s="23">
        <v>255204</v>
      </c>
      <c r="B1782" s="24" t="s">
        <v>433</v>
      </c>
      <c r="C1782" s="38" t="str">
        <f t="shared" si="54"/>
        <v>205</v>
      </c>
      <c r="D1782" s="38" t="str">
        <f t="shared" si="55"/>
        <v>20508</v>
      </c>
      <c r="E1782" s="38">
        <f>IF(ISNA(VLOOKUP(F1782,'2021功能科目'!A:B,2,FALSE)),"",VLOOKUP(F1782,'2021功能科目'!A:B,2,FALSE))</f>
        <v>2050803</v>
      </c>
      <c r="F1782" s="24" t="s">
        <v>320</v>
      </c>
      <c r="G1782" s="25">
        <v>6667</v>
      </c>
      <c r="H1782" s="25">
        <v>0</v>
      </c>
    </row>
    <row r="1783" spans="1:8">
      <c r="A1783" s="23">
        <v>255204</v>
      </c>
      <c r="B1783" s="24" t="s">
        <v>433</v>
      </c>
      <c r="C1783" s="38" t="str">
        <f t="shared" si="54"/>
        <v>208</v>
      </c>
      <c r="D1783" s="38" t="str">
        <f t="shared" si="55"/>
        <v>20805</v>
      </c>
      <c r="E1783" s="38">
        <f>IF(ISNA(VLOOKUP(F1783,'2021功能科目'!A:B,2,FALSE)),"",VLOOKUP(F1783,'2021功能科目'!A:B,2,FALSE))</f>
        <v>2080505</v>
      </c>
      <c r="F1783" s="24" t="s">
        <v>324</v>
      </c>
      <c r="G1783" s="25">
        <v>206471.84</v>
      </c>
      <c r="H1783" s="25">
        <v>0</v>
      </c>
    </row>
    <row r="1784" spans="1:8">
      <c r="A1784" s="23">
        <v>255204</v>
      </c>
      <c r="B1784" s="24" t="s">
        <v>433</v>
      </c>
      <c r="C1784" s="38" t="str">
        <f t="shared" si="54"/>
        <v>208</v>
      </c>
      <c r="D1784" s="38" t="str">
        <f t="shared" si="55"/>
        <v>20805</v>
      </c>
      <c r="E1784" s="38">
        <f>IF(ISNA(VLOOKUP(F1784,'2021功能科目'!A:B,2,FALSE)),"",VLOOKUP(F1784,'2021功能科目'!A:B,2,FALSE))</f>
        <v>2080506</v>
      </c>
      <c r="F1784" s="24" t="s">
        <v>325</v>
      </c>
      <c r="G1784" s="25">
        <v>103235.92</v>
      </c>
      <c r="H1784" s="25">
        <v>0</v>
      </c>
    </row>
    <row r="1785" spans="1:8">
      <c r="A1785" s="23">
        <v>255204</v>
      </c>
      <c r="B1785" s="24" t="s">
        <v>433</v>
      </c>
      <c r="C1785" s="38" t="str">
        <f t="shared" si="54"/>
        <v>210</v>
      </c>
      <c r="D1785" s="38" t="str">
        <f t="shared" si="55"/>
        <v>21011</v>
      </c>
      <c r="E1785" s="38">
        <f>IF(ISNA(VLOOKUP(F1785,'2021功能科目'!A:B,2,FALSE)),"",VLOOKUP(F1785,'2021功能科目'!A:B,2,FALSE))</f>
        <v>2101102</v>
      </c>
      <c r="F1785" s="24" t="s">
        <v>327</v>
      </c>
      <c r="G1785" s="25">
        <v>180051.17</v>
      </c>
      <c r="H1785" s="25">
        <v>0</v>
      </c>
    </row>
    <row r="1786" spans="1:8">
      <c r="A1786" s="23">
        <v>255204</v>
      </c>
      <c r="B1786" s="24" t="s">
        <v>433</v>
      </c>
      <c r="C1786" s="38" t="str">
        <f t="shared" si="54"/>
        <v>221</v>
      </c>
      <c r="D1786" s="38" t="str">
        <f t="shared" si="55"/>
        <v>22102</v>
      </c>
      <c r="E1786" s="38">
        <f>IF(ISNA(VLOOKUP(F1786,'2021功能科目'!A:B,2,FALSE)),"",VLOOKUP(F1786,'2021功能科目'!A:B,2,FALSE))</f>
        <v>2210201</v>
      </c>
      <c r="F1786" s="24" t="s">
        <v>329</v>
      </c>
      <c r="G1786" s="25">
        <v>210697</v>
      </c>
      <c r="H1786" s="25">
        <v>0</v>
      </c>
    </row>
    <row r="1787" spans="1:8">
      <c r="A1787" s="23">
        <v>255205</v>
      </c>
      <c r="B1787" s="24" t="s">
        <v>434</v>
      </c>
      <c r="C1787" s="38" t="str">
        <f t="shared" si="54"/>
        <v>205</v>
      </c>
      <c r="D1787" s="38" t="str">
        <f t="shared" si="55"/>
        <v>20502</v>
      </c>
      <c r="E1787" s="38">
        <f>IF(ISNA(VLOOKUP(F1787,'2021功能科目'!A:B,2,FALSE)),"",VLOOKUP(F1787,'2021功能科目'!A:B,2,FALSE))</f>
        <v>2050202</v>
      </c>
      <c r="F1787" s="24" t="s">
        <v>317</v>
      </c>
      <c r="G1787" s="25">
        <v>2769500.69</v>
      </c>
      <c r="H1787" s="25">
        <v>0</v>
      </c>
    </row>
    <row r="1788" spans="1:8">
      <c r="A1788" s="23">
        <v>255205</v>
      </c>
      <c r="B1788" s="24" t="s">
        <v>434</v>
      </c>
      <c r="C1788" s="38" t="str">
        <f t="shared" si="54"/>
        <v>205</v>
      </c>
      <c r="D1788" s="38" t="str">
        <f t="shared" si="55"/>
        <v>20508</v>
      </c>
      <c r="E1788" s="38">
        <f>IF(ISNA(VLOOKUP(F1788,'2021功能科目'!A:B,2,FALSE)),"",VLOOKUP(F1788,'2021功能科目'!A:B,2,FALSE))</f>
        <v>2050803</v>
      </c>
      <c r="F1788" s="24" t="s">
        <v>320</v>
      </c>
      <c r="G1788" s="25">
        <v>5300</v>
      </c>
      <c r="H1788" s="25">
        <v>0</v>
      </c>
    </row>
    <row r="1789" spans="1:8">
      <c r="A1789" s="23">
        <v>255205</v>
      </c>
      <c r="B1789" s="24" t="s">
        <v>434</v>
      </c>
      <c r="C1789" s="38" t="str">
        <f t="shared" si="54"/>
        <v>208</v>
      </c>
      <c r="D1789" s="38" t="str">
        <f t="shared" si="55"/>
        <v>20805</v>
      </c>
      <c r="E1789" s="38">
        <f>IF(ISNA(VLOOKUP(F1789,'2021功能科目'!A:B,2,FALSE)),"",VLOOKUP(F1789,'2021功能科目'!A:B,2,FALSE))</f>
        <v>2080505</v>
      </c>
      <c r="F1789" s="24" t="s">
        <v>324</v>
      </c>
      <c r="G1789" s="25">
        <v>258556.79999999999</v>
      </c>
      <c r="H1789" s="25">
        <v>0</v>
      </c>
    </row>
    <row r="1790" spans="1:8">
      <c r="A1790" s="23">
        <v>255205</v>
      </c>
      <c r="B1790" s="24" t="s">
        <v>434</v>
      </c>
      <c r="C1790" s="38" t="str">
        <f t="shared" si="54"/>
        <v>208</v>
      </c>
      <c r="D1790" s="38" t="str">
        <f t="shared" si="55"/>
        <v>20805</v>
      </c>
      <c r="E1790" s="38">
        <f>IF(ISNA(VLOOKUP(F1790,'2021功能科目'!A:B,2,FALSE)),"",VLOOKUP(F1790,'2021功能科目'!A:B,2,FALSE))</f>
        <v>2080506</v>
      </c>
      <c r="F1790" s="24" t="s">
        <v>325</v>
      </c>
      <c r="G1790" s="25">
        <v>103422.72</v>
      </c>
      <c r="H1790" s="25">
        <v>0</v>
      </c>
    </row>
    <row r="1791" spans="1:8">
      <c r="A1791" s="23">
        <v>255205</v>
      </c>
      <c r="B1791" s="24" t="s">
        <v>434</v>
      </c>
      <c r="C1791" s="38" t="str">
        <f t="shared" si="54"/>
        <v>210</v>
      </c>
      <c r="D1791" s="38" t="str">
        <f t="shared" si="55"/>
        <v>21011</v>
      </c>
      <c r="E1791" s="38">
        <f>IF(ISNA(VLOOKUP(F1791,'2021功能科目'!A:B,2,FALSE)),"",VLOOKUP(F1791,'2021功能科目'!A:B,2,FALSE))</f>
        <v>2101102</v>
      </c>
      <c r="F1791" s="24" t="s">
        <v>327</v>
      </c>
      <c r="G1791" s="25">
        <v>168061.92</v>
      </c>
      <c r="H1791" s="25">
        <v>0</v>
      </c>
    </row>
    <row r="1792" spans="1:8">
      <c r="A1792" s="23">
        <v>255205</v>
      </c>
      <c r="B1792" s="24" t="s">
        <v>434</v>
      </c>
      <c r="C1792" s="38" t="str">
        <f t="shared" si="54"/>
        <v>221</v>
      </c>
      <c r="D1792" s="38" t="str">
        <f t="shared" si="55"/>
        <v>22102</v>
      </c>
      <c r="E1792" s="38">
        <f>IF(ISNA(VLOOKUP(F1792,'2021功能科目'!A:B,2,FALSE)),"",VLOOKUP(F1792,'2021功能科目'!A:B,2,FALSE))</f>
        <v>2210201</v>
      </c>
      <c r="F1792" s="24" t="s">
        <v>329</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316</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317</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332</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318</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319</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333</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343</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344</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337</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339</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338</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341</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320</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321</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322</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335</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336</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438</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340</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323</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324</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325</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326</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327</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328</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345</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329</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330</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331</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58203125" defaultRowHeight="15"/>
  <cols>
    <col min="1" max="1" width="28.5" style="52" bestFit="1" customWidth="1"/>
    <col min="2" max="16384" width="8.58203125" style="52"/>
  </cols>
  <sheetData>
    <row r="1" spans="1:6">
      <c r="A1" s="51" t="s">
        <v>385</v>
      </c>
      <c r="B1" s="51" t="s">
        <v>386</v>
      </c>
    </row>
    <row r="2" spans="1:6">
      <c r="A2" s="70" t="s">
        <v>387</v>
      </c>
      <c r="B2" s="70">
        <v>2050101</v>
      </c>
      <c r="C2" s="70"/>
      <c r="D2" s="70"/>
      <c r="E2" s="70"/>
      <c r="F2" s="70">
        <v>205</v>
      </c>
    </row>
    <row r="3" spans="1:6">
      <c r="A3" s="70" t="s">
        <v>388</v>
      </c>
      <c r="B3" s="70">
        <v>2050102</v>
      </c>
      <c r="C3" s="70"/>
      <c r="D3" s="70"/>
      <c r="E3" s="70"/>
      <c r="F3" s="70">
        <v>206</v>
      </c>
    </row>
    <row r="4" spans="1:6">
      <c r="A4" s="70" t="s">
        <v>316</v>
      </c>
      <c r="B4" s="70">
        <v>2050201</v>
      </c>
      <c r="C4" s="70"/>
      <c r="D4" s="70"/>
      <c r="E4" s="70"/>
      <c r="F4" s="70">
        <v>208</v>
      </c>
    </row>
    <row r="5" spans="1:6">
      <c r="A5" s="70" t="s">
        <v>317</v>
      </c>
      <c r="B5" s="70">
        <v>2050202</v>
      </c>
      <c r="C5" s="70"/>
      <c r="D5" s="70"/>
      <c r="E5" s="70"/>
      <c r="F5" s="70">
        <v>210</v>
      </c>
    </row>
    <row r="6" spans="1:6">
      <c r="A6" s="70" t="s">
        <v>332</v>
      </c>
      <c r="B6" s="70">
        <v>2050203</v>
      </c>
      <c r="C6" s="70"/>
      <c r="D6" s="70"/>
      <c r="E6" s="70"/>
      <c r="F6" s="70">
        <v>212</v>
      </c>
    </row>
    <row r="7" spans="1:6">
      <c r="A7" s="70" t="s">
        <v>318</v>
      </c>
      <c r="B7" s="70">
        <v>2050204</v>
      </c>
      <c r="C7" s="70"/>
      <c r="D7" s="70"/>
      <c r="E7" s="70"/>
      <c r="F7" s="70">
        <v>221</v>
      </c>
    </row>
    <row r="8" spans="1:6">
      <c r="A8" s="70" t="s">
        <v>319</v>
      </c>
      <c r="B8" s="70">
        <v>2050299</v>
      </c>
      <c r="C8" s="70"/>
      <c r="D8" s="70"/>
      <c r="E8" s="70"/>
      <c r="F8" s="70">
        <v>229</v>
      </c>
    </row>
    <row r="9" spans="1:6">
      <c r="A9" s="70" t="s">
        <v>333</v>
      </c>
      <c r="B9" s="70">
        <v>2050302</v>
      </c>
      <c r="C9" s="70"/>
      <c r="D9" s="70"/>
      <c r="E9" s="70"/>
      <c r="F9" s="70">
        <v>234</v>
      </c>
    </row>
    <row r="10" spans="1:6">
      <c r="A10" s="70" t="s">
        <v>389</v>
      </c>
      <c r="B10" s="70">
        <v>2050304</v>
      </c>
      <c r="C10" s="70"/>
      <c r="D10" s="70"/>
      <c r="E10" s="70"/>
      <c r="F10" s="70">
        <v>213</v>
      </c>
    </row>
    <row r="11" spans="1:6">
      <c r="A11" s="70" t="s">
        <v>334</v>
      </c>
      <c r="B11" s="70">
        <v>2050399</v>
      </c>
      <c r="C11" s="70"/>
      <c r="D11" s="70"/>
      <c r="E11" s="70"/>
      <c r="F11" s="70"/>
    </row>
    <row r="12" spans="1:6">
      <c r="A12" s="70" t="s">
        <v>343</v>
      </c>
      <c r="B12" s="70">
        <v>2050403</v>
      </c>
      <c r="C12" s="70"/>
      <c r="D12" s="70"/>
      <c r="E12" s="70"/>
      <c r="F12" s="70"/>
    </row>
    <row r="13" spans="1:6">
      <c r="A13" s="70" t="s">
        <v>344</v>
      </c>
      <c r="B13" s="70">
        <v>2050404</v>
      </c>
      <c r="C13" s="70"/>
      <c r="D13" s="70"/>
      <c r="E13" s="70"/>
      <c r="F13" s="70"/>
    </row>
    <row r="14" spans="1:6">
      <c r="A14" s="70" t="s">
        <v>337</v>
      </c>
      <c r="B14" s="70">
        <v>2050701</v>
      </c>
      <c r="C14" s="70"/>
      <c r="D14" s="70"/>
      <c r="E14" s="70"/>
      <c r="F14" s="70"/>
    </row>
    <row r="15" spans="1:6">
      <c r="A15" s="70" t="s">
        <v>339</v>
      </c>
      <c r="B15" s="70">
        <v>2050702</v>
      </c>
      <c r="C15" s="70"/>
      <c r="D15" s="70"/>
      <c r="E15" s="70"/>
      <c r="F15" s="70"/>
    </row>
    <row r="16" spans="1:6">
      <c r="A16" s="70" t="s">
        <v>338</v>
      </c>
      <c r="B16" s="70">
        <v>2050799</v>
      </c>
      <c r="C16" s="70"/>
      <c r="D16" s="70"/>
      <c r="E16" s="70"/>
      <c r="F16" s="70"/>
    </row>
    <row r="17" spans="1:6">
      <c r="A17" s="70" t="s">
        <v>341</v>
      </c>
      <c r="B17" s="70">
        <v>2050801</v>
      </c>
      <c r="C17" s="70"/>
      <c r="D17" s="70"/>
      <c r="E17" s="70"/>
      <c r="F17" s="70"/>
    </row>
    <row r="18" spans="1:6">
      <c r="A18" s="70" t="s">
        <v>320</v>
      </c>
      <c r="B18" s="70">
        <v>2050803</v>
      </c>
      <c r="C18" s="70"/>
      <c r="D18" s="70"/>
      <c r="E18" s="70"/>
      <c r="F18" s="70"/>
    </row>
    <row r="19" spans="1:6">
      <c r="A19" s="70" t="s">
        <v>321</v>
      </c>
      <c r="B19" s="70">
        <v>2050903</v>
      </c>
      <c r="C19" s="70"/>
      <c r="D19" s="70"/>
      <c r="E19" s="70"/>
      <c r="F19" s="70"/>
    </row>
    <row r="20" spans="1:6">
      <c r="A20" s="70" t="s">
        <v>322</v>
      </c>
      <c r="B20" s="70">
        <v>2050904</v>
      </c>
      <c r="C20" s="70"/>
      <c r="D20" s="70"/>
      <c r="E20" s="70"/>
      <c r="F20" s="70"/>
    </row>
    <row r="21" spans="1:6">
      <c r="A21" s="70" t="s">
        <v>335</v>
      </c>
      <c r="B21" s="70">
        <v>2050905</v>
      </c>
      <c r="C21" s="70"/>
      <c r="D21" s="70"/>
      <c r="E21" s="70"/>
      <c r="F21" s="70"/>
    </row>
    <row r="22" spans="1:6">
      <c r="A22" s="70" t="s">
        <v>336</v>
      </c>
      <c r="B22" s="70">
        <v>2050999</v>
      </c>
      <c r="C22" s="70"/>
      <c r="D22" s="70"/>
      <c r="E22" s="70"/>
      <c r="F22" s="70"/>
    </row>
    <row r="23" spans="1:6">
      <c r="A23" s="70" t="s">
        <v>438</v>
      </c>
      <c r="B23" s="70">
        <v>2060499</v>
      </c>
      <c r="C23" s="70" t="s">
        <v>439</v>
      </c>
      <c r="D23" s="70"/>
      <c r="E23" s="70"/>
      <c r="F23" s="70"/>
    </row>
    <row r="24" spans="1:6">
      <c r="A24" s="70" t="s">
        <v>340</v>
      </c>
      <c r="B24" s="70">
        <v>2060702</v>
      </c>
      <c r="C24" s="70"/>
      <c r="D24" s="70"/>
      <c r="E24" s="70"/>
      <c r="F24" s="70"/>
    </row>
    <row r="25" spans="1:6">
      <c r="A25" s="70" t="s">
        <v>390</v>
      </c>
      <c r="B25" s="70">
        <v>2080501</v>
      </c>
      <c r="C25" s="70"/>
      <c r="D25" s="70"/>
      <c r="E25" s="70"/>
      <c r="F25" s="70"/>
    </row>
    <row r="26" spans="1:6">
      <c r="A26" s="70" t="s">
        <v>323</v>
      </c>
      <c r="B26" s="70">
        <v>2080502</v>
      </c>
      <c r="C26" s="70"/>
      <c r="D26" s="70"/>
      <c r="E26" s="70"/>
      <c r="F26" s="70"/>
    </row>
    <row r="27" spans="1:6">
      <c r="A27" s="70" t="s">
        <v>324</v>
      </c>
      <c r="B27" s="70">
        <v>2080505</v>
      </c>
      <c r="C27" s="70"/>
      <c r="D27" s="70"/>
      <c r="E27" s="70"/>
      <c r="F27" s="70"/>
    </row>
    <row r="28" spans="1:6">
      <c r="A28" s="70" t="s">
        <v>325</v>
      </c>
      <c r="B28" s="70">
        <v>2080506</v>
      </c>
      <c r="C28" s="70"/>
      <c r="D28" s="70"/>
      <c r="E28" s="70"/>
      <c r="F28" s="70"/>
    </row>
    <row r="29" spans="1:6">
      <c r="A29" s="70" t="s">
        <v>326</v>
      </c>
      <c r="B29" s="70">
        <v>2080801</v>
      </c>
      <c r="C29" s="70"/>
      <c r="D29" s="70"/>
      <c r="E29" s="70"/>
      <c r="F29" s="70"/>
    </row>
    <row r="30" spans="1:6">
      <c r="A30" s="70" t="s">
        <v>391</v>
      </c>
      <c r="B30" s="70">
        <v>2101101</v>
      </c>
      <c r="C30" s="70"/>
      <c r="D30" s="70"/>
      <c r="E30" s="70"/>
      <c r="F30" s="70"/>
    </row>
    <row r="31" spans="1:6">
      <c r="A31" s="70" t="s">
        <v>327</v>
      </c>
      <c r="B31" s="70">
        <v>2101102</v>
      </c>
      <c r="C31" s="70"/>
      <c r="D31" s="70"/>
      <c r="E31" s="70"/>
      <c r="F31" s="70"/>
    </row>
    <row r="32" spans="1:6">
      <c r="A32" s="70" t="s">
        <v>328</v>
      </c>
      <c r="B32" s="70">
        <v>2101199</v>
      </c>
      <c r="C32" s="70"/>
      <c r="D32" s="70"/>
      <c r="E32" s="70"/>
      <c r="F32" s="70"/>
    </row>
    <row r="33" spans="1:6">
      <c r="A33" s="70" t="s">
        <v>345</v>
      </c>
      <c r="B33" s="70">
        <v>2120399</v>
      </c>
      <c r="C33" s="70"/>
      <c r="D33" s="70"/>
      <c r="E33" s="70"/>
      <c r="F33" s="70"/>
    </row>
    <row r="34" spans="1:6">
      <c r="A34" s="70" t="s">
        <v>440</v>
      </c>
      <c r="B34" s="70">
        <v>2120801</v>
      </c>
      <c r="C34" s="70" t="s">
        <v>439</v>
      </c>
      <c r="D34" s="70" t="s">
        <v>441</v>
      </c>
      <c r="E34" s="70"/>
      <c r="F34" s="70"/>
    </row>
    <row r="35" spans="1:6">
      <c r="A35" s="70" t="s">
        <v>342</v>
      </c>
      <c r="B35" s="70">
        <v>2130506</v>
      </c>
      <c r="C35" s="70">
        <v>2020</v>
      </c>
      <c r="D35" s="70"/>
      <c r="E35" s="70"/>
      <c r="F35" s="70"/>
    </row>
    <row r="36" spans="1:6">
      <c r="A36" s="70" t="s">
        <v>329</v>
      </c>
      <c r="B36" s="70">
        <v>2210201</v>
      </c>
      <c r="C36" s="70"/>
      <c r="D36" s="70"/>
      <c r="E36" s="70"/>
      <c r="F36" s="70"/>
    </row>
    <row r="37" spans="1:6">
      <c r="A37" s="70" t="s">
        <v>330</v>
      </c>
      <c r="B37" s="70">
        <v>2210202</v>
      </c>
      <c r="C37" s="70"/>
      <c r="D37" s="70"/>
      <c r="E37" s="70"/>
      <c r="F37" s="70"/>
    </row>
    <row r="38" spans="1:6">
      <c r="A38" s="70" t="s">
        <v>331</v>
      </c>
      <c r="B38" s="70">
        <v>2210203</v>
      </c>
      <c r="C38" s="70"/>
      <c r="D38" s="70"/>
      <c r="E38" s="70"/>
      <c r="F38" s="70"/>
    </row>
    <row r="39" spans="1:6">
      <c r="A39" s="70" t="s">
        <v>392</v>
      </c>
      <c r="B39" s="70">
        <v>2296003</v>
      </c>
      <c r="C39" s="70"/>
      <c r="D39" s="70"/>
      <c r="E39" s="70"/>
      <c r="F39" s="70"/>
    </row>
    <row r="40" spans="1:6">
      <c r="A40" s="70" t="s">
        <v>393</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5"/>
  <cols>
    <col min="3" max="3" width="8.83203125" style="3"/>
  </cols>
  <sheetData>
    <row r="1" spans="1:14" ht="48.65" customHeight="1">
      <c r="A1" s="76" t="s">
        <v>173</v>
      </c>
      <c r="B1" s="76"/>
      <c r="C1" s="76"/>
      <c r="D1" s="76"/>
      <c r="E1" s="76"/>
      <c r="F1" s="76"/>
      <c r="G1" s="76"/>
      <c r="H1" s="76"/>
      <c r="I1" s="76"/>
      <c r="J1" s="76"/>
      <c r="K1" s="76"/>
      <c r="L1" s="76"/>
      <c r="M1" s="76"/>
      <c r="N1" s="76"/>
    </row>
    <row r="2" spans="1:14" ht="30" customHeight="1">
      <c r="C2" s="4" t="s">
        <v>398</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399</v>
      </c>
    </row>
    <row r="16" spans="1:14" ht="30" customHeight="1">
      <c r="C16" s="4" t="s">
        <v>400</v>
      </c>
    </row>
    <row r="17" spans="3:3" ht="30" customHeight="1">
      <c r="C17" s="4" t="s">
        <v>401</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
  <sheetData>
    <row r="10" spans="1:14" ht="54.65" customHeight="1">
      <c r="A10" s="77" t="s">
        <v>402</v>
      </c>
      <c r="B10" s="77"/>
      <c r="C10" s="77"/>
      <c r="D10" s="77"/>
      <c r="E10" s="77"/>
      <c r="F10" s="77"/>
      <c r="G10" s="77"/>
      <c r="H10" s="77"/>
      <c r="I10" s="77"/>
      <c r="J10" s="77"/>
      <c r="K10" s="77"/>
      <c r="L10" s="77"/>
      <c r="M10" s="77"/>
      <c r="N10" s="77"/>
    </row>
    <row r="11" spans="1:14" ht="78" customHeight="1">
      <c r="A11" s="78" t="s">
        <v>445</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8"/>
  <sheetViews>
    <sheetView topLeftCell="A43" zoomScaleNormal="100" workbookViewId="0">
      <selection activeCell="A4" sqref="A4:M4"/>
    </sheetView>
  </sheetViews>
  <sheetFormatPr defaultRowHeight="14"/>
  <cols>
    <col min="1" max="3" width="9.08203125" customWidth="1"/>
    <col min="4" max="4" width="15.33203125" bestFit="1" customWidth="1"/>
    <col min="6" max="6" width="8.33203125" customWidth="1"/>
    <col min="7" max="7" width="10.25" customWidth="1"/>
    <col min="8" max="8" width="14.08203125" customWidth="1"/>
    <col min="9" max="9" width="10.58203125" customWidth="1"/>
    <col min="11" max="11" width="7.58203125" customWidth="1"/>
    <col min="12" max="12" width="8.25" customWidth="1"/>
  </cols>
  <sheetData>
    <row r="1" spans="1:14" ht="35.5" customHeight="1">
      <c r="A1" s="77" t="s">
        <v>399</v>
      </c>
      <c r="B1" s="77"/>
      <c r="C1" s="77"/>
      <c r="D1" s="77"/>
      <c r="E1" s="77"/>
      <c r="F1" s="77"/>
      <c r="G1" s="77"/>
      <c r="H1" s="77"/>
      <c r="I1" s="77"/>
      <c r="J1" s="77"/>
      <c r="K1" s="77"/>
      <c r="L1" s="77"/>
      <c r="M1" s="77"/>
      <c r="N1" s="55"/>
    </row>
    <row r="2" spans="1:14" ht="18" customHeight="1">
      <c r="A2" s="6" t="s">
        <v>174</v>
      </c>
    </row>
    <row r="3" spans="1:14" ht="18" customHeight="1">
      <c r="A3" s="7" t="s">
        <v>175</v>
      </c>
    </row>
    <row r="4" spans="1:14" ht="280.14999999999998" customHeight="1">
      <c r="A4" s="89" t="s">
        <v>448</v>
      </c>
      <c r="B4" s="89"/>
      <c r="C4" s="89"/>
      <c r="D4" s="89"/>
      <c r="E4" s="89"/>
      <c r="F4" s="89"/>
      <c r="G4" s="89"/>
      <c r="H4" s="89"/>
      <c r="I4" s="89"/>
      <c r="J4" s="89"/>
      <c r="K4" s="89"/>
      <c r="L4" s="89"/>
      <c r="M4" s="89"/>
      <c r="N4" s="18"/>
    </row>
    <row r="5" spans="1:14" ht="18" customHeight="1">
      <c r="A5" s="7" t="s">
        <v>176</v>
      </c>
    </row>
    <row r="6" spans="1:14" ht="18" customHeight="1">
      <c r="A6" s="79" t="s">
        <v>232</v>
      </c>
      <c r="B6" s="79"/>
      <c r="C6" s="10">
        <v>107</v>
      </c>
      <c r="D6" s="10" t="s">
        <v>234</v>
      </c>
      <c r="E6" s="8">
        <f>_xlfn.IFNA(VLOOKUP(封面!B1,'2021决算导出'!A:C,3,FALSE),"")</f>
        <v>104</v>
      </c>
      <c r="F6" s="10" t="s">
        <v>235</v>
      </c>
      <c r="G6" s="10"/>
      <c r="H6" s="10"/>
      <c r="I6" s="10"/>
      <c r="J6" s="10"/>
      <c r="K6" s="10"/>
      <c r="L6" s="10"/>
      <c r="M6" s="10"/>
      <c r="N6" s="10"/>
    </row>
    <row r="7" spans="1:14" ht="18" customHeight="1">
      <c r="A7" s="6" t="s">
        <v>177</v>
      </c>
    </row>
    <row r="8" spans="1:14" ht="18" customHeight="1">
      <c r="A8" s="79" t="s">
        <v>403</v>
      </c>
      <c r="B8" s="79"/>
      <c r="C8" s="79"/>
      <c r="D8" s="13">
        <f>_xlfn.IFNA(VLOOKUP(封面!B1,'2021决算导出'!A:D,4,FALSE),"")</f>
        <v>44518172.469999999</v>
      </c>
      <c r="E8" s="7" t="s">
        <v>179</v>
      </c>
      <c r="F8" s="19" t="s">
        <v>236</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1703914.2300000042</v>
      </c>
      <c r="I8" s="15" t="s">
        <v>179</v>
      </c>
      <c r="J8" s="29" t="str">
        <f>IF(ISNA(VLOOKUP(封面!B1,'2020决算导出'!A:D,4,FALSE)),"",IF(D8-VLOOKUP(封面!B1,'2020决算导出'!A:D,4,FALSE)&gt;0,"增长","下降"))</f>
        <v>下降</v>
      </c>
      <c r="K8" s="30">
        <f>IF(ISNA(VLOOKUP(封面!B1,'2020决算导出'!A:D,4,FALSE)),"",H8/VLOOKUP(封面!B1,'2020决算导出'!A:D,4,FALSE))</f>
        <v>3.6863637097543762E-2</v>
      </c>
      <c r="L8" s="7" t="s">
        <v>300</v>
      </c>
    </row>
    <row r="9" spans="1:14" ht="18" customHeight="1">
      <c r="A9" s="7" t="s">
        <v>180</v>
      </c>
      <c r="G9" s="31"/>
      <c r="H9" s="31"/>
      <c r="I9" s="31"/>
      <c r="J9" s="31"/>
      <c r="K9" s="31"/>
    </row>
    <row r="10" spans="1:14" ht="18" customHeight="1">
      <c r="A10" s="79" t="s">
        <v>404</v>
      </c>
      <c r="B10" s="79"/>
      <c r="C10" s="79"/>
      <c r="D10" s="13">
        <f>_xlfn.IFNA(VLOOKUP(封面!B1,'2021决算导出'!A:E,5,FALSE),"")</f>
        <v>44458167.289999999</v>
      </c>
      <c r="E10" s="7" t="s">
        <v>179</v>
      </c>
      <c r="F10" s="19" t="s">
        <v>236</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1479734.9900000021</v>
      </c>
      <c r="I10" s="15" t="s">
        <v>179</v>
      </c>
      <c r="J10" s="29" t="str">
        <f>IF(ISNA(VLOOKUP(封面!B1,'2020决算导出'!A:E,5,FALSE)),"",IF(D10-VLOOKUP(封面!B1,'2020决算导出'!A:E,5,FALSE)&gt;0,"增长","下降"))</f>
        <v>下降</v>
      </c>
      <c r="K10" s="30">
        <f>IF(ISNA(VLOOKUP(封面!B1,'2020决算导出'!A:E,5,FALSE)),"",H10/VLOOKUP(封面!B1,'2020决算导出'!A:E,5,FALSE))</f>
        <v>3.2211636068637702E-2</v>
      </c>
      <c r="L10" s="7" t="s">
        <v>301</v>
      </c>
    </row>
    <row r="11" spans="1:14" ht="18" customHeight="1">
      <c r="A11" s="79" t="s">
        <v>181</v>
      </c>
      <c r="B11" s="79"/>
      <c r="C11" s="79"/>
      <c r="D11" s="13">
        <f>_xlfn.IFNA(VLOOKUP(封面!B1,'2021决算导出'!A:F,6,FALSE),"")</f>
        <v>44458167.289999999</v>
      </c>
      <c r="E11" s="7" t="s">
        <v>179</v>
      </c>
      <c r="F11" s="79" t="s">
        <v>182</v>
      </c>
      <c r="G11" s="79"/>
      <c r="H11" s="28">
        <f>D11/$D$10</f>
        <v>1</v>
      </c>
      <c r="I11" s="7" t="s">
        <v>302</v>
      </c>
    </row>
    <row r="12" spans="1:14" ht="18" customHeight="1">
      <c r="A12" s="7" t="s">
        <v>183</v>
      </c>
    </row>
    <row r="13" spans="1:14" ht="18" customHeight="1">
      <c r="A13" s="79" t="s">
        <v>405</v>
      </c>
      <c r="B13" s="79"/>
      <c r="C13" s="79"/>
      <c r="D13" s="13">
        <f>_xlfn.IFNA(VLOOKUP(封面!B1,'2021决算导出'!A:K,11,FALSE),"")</f>
        <v>44516494.600000001</v>
      </c>
      <c r="E13" s="7" t="s">
        <v>179</v>
      </c>
      <c r="F13" s="19" t="s">
        <v>236</v>
      </c>
      <c r="G13" s="29" t="str">
        <f>IF(ISNA(VLOOKUP(封面!B1,'2020决算导出'!A:K,11,FALSE)),"",IF(D13-VLOOKUP(封面!B1,'2020决算导出'!A:K,11,FALSE)&gt;0,"增加","减少"))</f>
        <v>减少</v>
      </c>
      <c r="H13" s="32">
        <f>IF(ISNA(VLOOKUP(封面!B1,'2020决算导出'!A:K,11,FALSE)),"",IF(D13-VLOOKUP(封面!B1,'2020决算导出'!A:K,11,FALSE)&gt;0,D13-VLOOKUP(封面!B1,'2020决算导出'!A:K,11,FALSE),VLOOKUP(封面!B1,'2020决算导出'!A:K,11,FALSE)-D13))</f>
        <v>1705592.1000000015</v>
      </c>
      <c r="I13" s="7" t="s">
        <v>179</v>
      </c>
      <c r="J13" s="29" t="str">
        <f>IF(ISNA(VLOOKUP(封面!B1,'2020决算导出'!A:K,11,FALSE)),"",IF(D13-VLOOKUP(封面!B1,'2020决算导出'!A:K,11,FALSE)&gt;0,"增长","下降"))</f>
        <v>下降</v>
      </c>
      <c r="K13" s="30">
        <f>IF(ISNA(VLOOKUP(封面!B1,'2020决算导出'!A:K,11,FALSE)),"",H13/VLOOKUP(封面!B1,'2020决算导出'!A:K,11,FALSE))</f>
        <v>3.6899937276090165E-2</v>
      </c>
      <c r="L13" s="7" t="s">
        <v>304</v>
      </c>
    </row>
    <row r="14" spans="1:14" ht="18" customHeight="1">
      <c r="A14" s="79" t="s">
        <v>184</v>
      </c>
      <c r="B14" s="79"/>
      <c r="C14" s="79"/>
      <c r="D14" s="13">
        <f>_xlfn.IFNA(VLOOKUP(封面!B1,'2021决算导出'!A:L,12,FALSE),"")</f>
        <v>42030599.490000002</v>
      </c>
      <c r="E14" s="7" t="s">
        <v>179</v>
      </c>
      <c r="F14" s="79" t="s">
        <v>185</v>
      </c>
      <c r="G14" s="79"/>
      <c r="H14" s="28">
        <f>D14/$D$13</f>
        <v>0.94415788726545424</v>
      </c>
      <c r="I14" s="7" t="s">
        <v>302</v>
      </c>
    </row>
    <row r="15" spans="1:14" ht="18" customHeight="1">
      <c r="A15" s="79" t="s">
        <v>186</v>
      </c>
      <c r="B15" s="79"/>
      <c r="C15" s="79"/>
      <c r="D15" s="13">
        <f>_xlfn.IFNA(VLOOKUP(封面!B1,'2021决算导出'!A:M,13,FALSE),"")</f>
        <v>2485895.11</v>
      </c>
      <c r="E15" s="7" t="s">
        <v>179</v>
      </c>
      <c r="F15" s="79" t="s">
        <v>185</v>
      </c>
      <c r="G15" s="79"/>
      <c r="H15" s="28">
        <f t="shared" ref="H15" si="0">D15/$D$13</f>
        <v>5.5842112734545812E-2</v>
      </c>
      <c r="I15" s="7" t="s">
        <v>302</v>
      </c>
    </row>
    <row r="16" spans="1:14" ht="18" customHeight="1">
      <c r="A16" s="6" t="s">
        <v>187</v>
      </c>
    </row>
    <row r="17" spans="1:13" ht="18" customHeight="1">
      <c r="A17" s="79" t="s">
        <v>406</v>
      </c>
      <c r="B17" s="79"/>
      <c r="C17" s="79"/>
      <c r="D17" s="79"/>
      <c r="E17" s="81">
        <f>_xlfn.IFNA(VLOOKUP(封面!B1,'2021决算导出'!A:O,15,FALSE),"")</f>
        <v>44458167.289999999</v>
      </c>
      <c r="F17" s="81"/>
      <c r="G17" s="14" t="s">
        <v>236</v>
      </c>
      <c r="H17" s="29" t="str">
        <f>IF(ISNA(VLOOKUP(封面!B1,'2020决算导出'!A:O,15,FALSE)),"",IF(E17-VLOOKUP(封面!B1,'2020决算导出'!A:O,15,FALSE)&gt;0,"增加","减少"))</f>
        <v>减少</v>
      </c>
      <c r="I17" s="32">
        <f>IF(ISNA(VLOOKUP(封面!B1,'2020决算导出'!A:O,15,FALSE)),"",IF(E17-VLOOKUP(封面!B1,'2020决算导出'!A:O,15,FALSE)&gt;0,E17-VLOOKUP(封面!B1,'2020决算导出'!A:O,15,FALSE),VLOOKUP(封面!B1,'2020决算导出'!A:O,15,FALSE)-E17))</f>
        <v>1704234.8100000024</v>
      </c>
      <c r="J17" s="7" t="s">
        <v>179</v>
      </c>
      <c r="K17" s="29" t="str">
        <f>IF(ISNA(VLOOKUP(封面!B1,'2020决算导出'!A:O,15,FALSE)),"",IF(E17-VLOOKUP(封面!B1,'2020决算导出'!A:O,15,FALSE)&gt;0,"增长","下降"))</f>
        <v>下降</v>
      </c>
      <c r="L17" s="30">
        <f>IF(ISNA(VLOOKUP(封面!B1,'2020决算导出'!A:O,15,FALSE)),"",I17/VLOOKUP(封面!B1,'2020决算导出'!A:O,15,FALSE))</f>
        <v>3.691824368905626E-2</v>
      </c>
      <c r="M17" s="7" t="s">
        <v>300</v>
      </c>
    </row>
    <row r="18" spans="1:13" ht="21.75" customHeight="1">
      <c r="B18" s="83" t="s">
        <v>449</v>
      </c>
      <c r="C18" s="83"/>
      <c r="D18" s="83"/>
      <c r="E18" s="83"/>
      <c r="F18" s="83"/>
      <c r="G18" s="83"/>
      <c r="H18" s="83"/>
      <c r="I18" s="83"/>
      <c r="J18" s="83"/>
      <c r="K18" s="83"/>
      <c r="L18" s="83"/>
      <c r="M18" s="83"/>
    </row>
    <row r="19" spans="1:13" ht="18" customHeight="1">
      <c r="A19" s="6" t="s">
        <v>188</v>
      </c>
    </row>
    <row r="20" spans="1:13" ht="18" customHeight="1">
      <c r="A20" s="7" t="s">
        <v>189</v>
      </c>
    </row>
    <row r="21" spans="1:13" ht="18" customHeight="1">
      <c r="A21" s="79" t="s">
        <v>407</v>
      </c>
      <c r="B21" s="79"/>
      <c r="C21" s="79"/>
      <c r="D21" s="79"/>
      <c r="E21" s="79"/>
      <c r="F21" s="81">
        <f>_xlfn.IFNA(VLOOKUP(封面!B1,'2021决算导出'!A:P,16,FALSE),"")</f>
        <v>44456489.420000002</v>
      </c>
      <c r="G21" s="81"/>
      <c r="H21" s="7" t="s">
        <v>179</v>
      </c>
      <c r="I21" s="10" t="s">
        <v>190</v>
      </c>
      <c r="J21" s="10"/>
      <c r="K21" s="10"/>
      <c r="L21" s="10"/>
      <c r="M21" s="10"/>
    </row>
    <row r="22" spans="1:13" ht="18" customHeight="1">
      <c r="A22" s="79" t="s">
        <v>193</v>
      </c>
      <c r="B22" s="79"/>
      <c r="C22" s="79"/>
      <c r="D22" s="81">
        <f>_xlfn.IFNA(VLOOKUP(封面!B1,'2021决算导出'!A:Q,17,FALSE),"")</f>
        <v>29706763.469999999</v>
      </c>
      <c r="E22" s="81"/>
      <c r="F22" s="7" t="s">
        <v>179</v>
      </c>
      <c r="G22" s="82" t="s">
        <v>192</v>
      </c>
      <c r="H22" s="82"/>
      <c r="I22" s="28">
        <f>D22/$F$21</f>
        <v>0.66822108217648823</v>
      </c>
      <c r="J22" s="7" t="s">
        <v>302</v>
      </c>
      <c r="K22" s="9"/>
      <c r="L22" s="9"/>
      <c r="M22" s="9"/>
    </row>
    <row r="23" spans="1:13" ht="18" customHeight="1">
      <c r="A23" s="79" t="s">
        <v>191</v>
      </c>
      <c r="B23" s="79"/>
      <c r="C23" s="79"/>
      <c r="D23" s="81">
        <f>_xlfn.IFNA(VLOOKUP(封面!B1,'2021决算导出'!A:S,19,FALSE),"")</f>
        <v>6422022.04</v>
      </c>
      <c r="E23" s="81"/>
      <c r="F23" s="7" t="s">
        <v>179</v>
      </c>
      <c r="G23" s="82" t="s">
        <v>192</v>
      </c>
      <c r="H23" s="82"/>
      <c r="I23" s="28">
        <f t="shared" ref="I23:I25" si="1">D23/$F$21</f>
        <v>0.14445634650384412</v>
      </c>
      <c r="J23" s="7" t="s">
        <v>302</v>
      </c>
    </row>
    <row r="24" spans="1:13" ht="18" customHeight="1">
      <c r="A24" s="79" t="s">
        <v>194</v>
      </c>
      <c r="B24" s="79"/>
      <c r="C24" s="79"/>
      <c r="D24" s="81">
        <f>_xlfn.IFNA(VLOOKUP(封面!B1,'2021决算导出'!A:T,20,FALSE),"")</f>
        <v>2573533.91</v>
      </c>
      <c r="E24" s="81"/>
      <c r="F24" s="7" t="s">
        <v>179</v>
      </c>
      <c r="G24" s="82" t="s">
        <v>192</v>
      </c>
      <c r="H24" s="82"/>
      <c r="I24" s="28">
        <f t="shared" si="1"/>
        <v>5.788882441181295E-2</v>
      </c>
      <c r="J24" s="7" t="s">
        <v>302</v>
      </c>
    </row>
    <row r="25" spans="1:13" ht="18" customHeight="1">
      <c r="A25" s="79" t="s">
        <v>195</v>
      </c>
      <c r="B25" s="79"/>
      <c r="C25" s="79"/>
      <c r="D25" s="81">
        <f>_xlfn.IFNA(VLOOKUP(封面!B1,'2021决算导出'!A:V,22,FALSE),"")</f>
        <v>5754170</v>
      </c>
      <c r="E25" s="81"/>
      <c r="F25" s="7" t="s">
        <v>179</v>
      </c>
      <c r="G25" s="82" t="s">
        <v>192</v>
      </c>
      <c r="H25" s="82"/>
      <c r="I25" s="28">
        <f t="shared" si="1"/>
        <v>0.1294337469078547</v>
      </c>
      <c r="J25" s="7" t="s">
        <v>302</v>
      </c>
    </row>
    <row r="26" spans="1:13" ht="18" customHeight="1">
      <c r="A26" s="7" t="s">
        <v>196</v>
      </c>
    </row>
    <row r="27" spans="1:13" ht="18" customHeight="1">
      <c r="A27" s="84" t="s">
        <v>408</v>
      </c>
      <c r="B27" s="84"/>
      <c r="C27" s="84"/>
      <c r="D27" s="84"/>
      <c r="E27" s="81">
        <f>_xlfn.IFNA(VLOOKUP(封面!B1,一般公共预算财政拨款支出决算具体情况!A:C,3,FALSE),"")</f>
        <v>29706763.469999999</v>
      </c>
      <c r="F27" s="81"/>
      <c r="G27" s="7" t="s">
        <v>179</v>
      </c>
      <c r="H27" s="82" t="s">
        <v>409</v>
      </c>
      <c r="I27" s="82"/>
      <c r="J27" s="81">
        <f>_xlfn.IFNA(VLOOKUP(封面!B1,一般公共预算财政拨款支出决算具体情况!A:D,4,FALSE),"")</f>
        <v>27454819.109999999</v>
      </c>
      <c r="K27" s="81"/>
      <c r="L27" s="11" t="s">
        <v>178</v>
      </c>
    </row>
    <row r="28" spans="1:13" ht="18" customHeight="1">
      <c r="B28" s="14" t="str">
        <f>IF(E27&gt;J27,"增加","减少")</f>
        <v>增加</v>
      </c>
      <c r="C28" s="81">
        <f>ABS(E27-J27)</f>
        <v>2251944.3599999994</v>
      </c>
      <c r="D28" s="81"/>
      <c r="E28" s="7" t="s">
        <v>179</v>
      </c>
      <c r="F28" s="14" t="str">
        <f>IF(E27&gt;J27,"增长","下降")</f>
        <v>增长</v>
      </c>
      <c r="G28" s="33">
        <f>IF(J27=0,IF(E27&gt;0,1,""),C28/J27)</f>
        <v>8.2023645866228387E-2</v>
      </c>
      <c r="H28" s="7" t="s">
        <v>303</v>
      </c>
      <c r="I28" s="11" t="s">
        <v>197</v>
      </c>
    </row>
    <row r="29" spans="1:13" ht="18" customHeight="1">
      <c r="A29" s="79" t="s">
        <v>410</v>
      </c>
      <c r="B29" s="79"/>
      <c r="C29" s="79"/>
      <c r="D29" s="79"/>
      <c r="E29" s="81">
        <f>_xlfn.IFNA(VLOOKUP(封面!B1,一般公共预算财政拨款支出决算具体情况!A:E,5,FALSE),"")</f>
        <v>29696563.469999999</v>
      </c>
      <c r="F29" s="81"/>
      <c r="G29" s="7" t="s">
        <v>179</v>
      </c>
      <c r="H29" s="82" t="s">
        <v>409</v>
      </c>
      <c r="I29" s="82"/>
      <c r="J29" s="81">
        <f>_xlfn.IFNA(VLOOKUP(封面!B1,一般公共预算财政拨款支出决算具体情况!A:F,6,FALSE),"")</f>
        <v>27384099.109999999</v>
      </c>
      <c r="K29" s="81"/>
      <c r="L29" s="11" t="s">
        <v>178</v>
      </c>
    </row>
    <row r="30" spans="1:13" ht="18" customHeight="1">
      <c r="A30" s="14"/>
      <c r="B30" s="14" t="str">
        <f>IF(E29&gt;J29,"增加","减少")</f>
        <v>增加</v>
      </c>
      <c r="C30" s="81">
        <f>ABS(E29-J29)</f>
        <v>2312464.3599999994</v>
      </c>
      <c r="D30" s="81"/>
      <c r="E30" s="7" t="s">
        <v>179</v>
      </c>
      <c r="F30" s="14" t="str">
        <f>IF(E29&gt;J29,"增长","下降")</f>
        <v>增长</v>
      </c>
      <c r="G30" s="33">
        <f>IF(J29=0,IF(E29&gt;0,1,""),C30/J29)</f>
        <v>8.4445515286480408E-2</v>
      </c>
      <c r="H30" s="7" t="s">
        <v>303</v>
      </c>
    </row>
    <row r="31" spans="1:13" ht="60.75" customHeight="1">
      <c r="B31" s="85" t="s">
        <v>450</v>
      </c>
      <c r="C31" s="85"/>
      <c r="D31" s="85"/>
      <c r="E31" s="85"/>
      <c r="F31" s="85"/>
      <c r="G31" s="85"/>
      <c r="H31" s="85"/>
      <c r="I31" s="85"/>
      <c r="J31" s="85"/>
      <c r="K31" s="85"/>
      <c r="L31" s="85"/>
    </row>
    <row r="32" spans="1:13" ht="18" customHeight="1">
      <c r="A32" s="79" t="s">
        <v>411</v>
      </c>
      <c r="B32" s="79"/>
      <c r="C32" s="79"/>
      <c r="D32" s="79"/>
      <c r="E32" s="81">
        <f>_xlfn.IFNA(VLOOKUP(封面!B1,一般公共预算财政拨款支出决算具体情况!A:M,13,FALSE),"")</f>
        <v>10200</v>
      </c>
      <c r="F32" s="81"/>
      <c r="G32" s="7" t="s">
        <v>179</v>
      </c>
      <c r="H32" s="82" t="s">
        <v>409</v>
      </c>
      <c r="I32" s="82"/>
      <c r="J32" s="81">
        <f>_xlfn.IFNA(VLOOKUP(封面!B1,一般公共预算财政拨款支出决算具体情况!A:N,14,FALSE),"")</f>
        <v>70720</v>
      </c>
      <c r="K32" s="81"/>
      <c r="L32" s="11" t="s">
        <v>178</v>
      </c>
    </row>
    <row r="33" spans="1:12" ht="18" customHeight="1">
      <c r="A33" s="14"/>
      <c r="B33" s="14" t="str">
        <f>IF(E32&gt;J32,"增加","减少")</f>
        <v>减少</v>
      </c>
      <c r="C33" s="81">
        <f>ABS(E32-J32)</f>
        <v>60520</v>
      </c>
      <c r="D33" s="81"/>
      <c r="E33" s="7" t="s">
        <v>179</v>
      </c>
      <c r="F33" s="14" t="str">
        <f>IF(E32&gt;J32,"增长","下降")</f>
        <v>下降</v>
      </c>
      <c r="G33" s="33">
        <f>IF(J32=0,IF(E32&gt;0,1,""),C33/J32)</f>
        <v>0.85576923076923073</v>
      </c>
      <c r="H33" s="7" t="s">
        <v>303</v>
      </c>
    </row>
    <row r="34" spans="1:12" ht="36" customHeight="1">
      <c r="B34" s="85" t="s">
        <v>451</v>
      </c>
      <c r="C34" s="85"/>
      <c r="D34" s="85"/>
      <c r="E34" s="85"/>
      <c r="F34" s="85"/>
      <c r="G34" s="85"/>
      <c r="H34" s="85"/>
      <c r="I34" s="85"/>
      <c r="J34" s="85"/>
      <c r="K34" s="85"/>
      <c r="L34" s="85"/>
    </row>
    <row r="35" spans="1:12" ht="18" customHeight="1">
      <c r="A35" s="80" t="s">
        <v>412</v>
      </c>
      <c r="B35" s="80"/>
      <c r="C35" s="80"/>
      <c r="D35" s="80"/>
      <c r="E35" s="81">
        <f>_xlfn.IFNA(VLOOKUP(封面!B1,一般公共预算财政拨款支出决算具体情况!A:W,23,FALSE),"")</f>
        <v>6422022.04</v>
      </c>
      <c r="F35" s="81"/>
      <c r="G35" s="7" t="s">
        <v>179</v>
      </c>
      <c r="H35" s="82" t="s">
        <v>409</v>
      </c>
      <c r="I35" s="82"/>
      <c r="J35" s="81">
        <f>_xlfn.IFNA(VLOOKUP(封面!B1,一般公共预算财政拨款支出决算具体情况!A:X,24,FALSE),"")</f>
        <v>6627959.1100000003</v>
      </c>
      <c r="K35" s="81"/>
      <c r="L35" s="11" t="s">
        <v>178</v>
      </c>
    </row>
    <row r="36" spans="1:12" ht="18" customHeight="1">
      <c r="B36" s="14" t="str">
        <f>IF(E35&gt;J35,"增加","减少")</f>
        <v>减少</v>
      </c>
      <c r="C36" s="81">
        <f>ABS(E35-J35)</f>
        <v>205937.0700000003</v>
      </c>
      <c r="D36" s="81"/>
      <c r="E36" s="7" t="s">
        <v>179</v>
      </c>
      <c r="F36" s="14" t="str">
        <f>IF(E35&gt;J35,"增长","下降")</f>
        <v>下降</v>
      </c>
      <c r="G36" s="33">
        <f>IF(J35=0,IF(E35&gt;0,1,""),C36/J35)</f>
        <v>3.1070962657161035E-2</v>
      </c>
      <c r="H36" s="7" t="s">
        <v>303</v>
      </c>
      <c r="I36" s="11" t="s">
        <v>197</v>
      </c>
    </row>
    <row r="37" spans="1:12" ht="18" customHeight="1">
      <c r="A37" s="86" t="s">
        <v>413</v>
      </c>
      <c r="B37" s="86"/>
      <c r="C37" s="86"/>
      <c r="D37" s="86"/>
      <c r="E37" s="81">
        <f>_xlfn.IFNA(VLOOKUP(封面!B1,一般公共预算财政拨款支出决算具体情况!A:Y,25,FALSE),"")</f>
        <v>6422022.04</v>
      </c>
      <c r="F37" s="81"/>
      <c r="G37" s="7" t="s">
        <v>179</v>
      </c>
      <c r="H37" s="82" t="s">
        <v>409</v>
      </c>
      <c r="I37" s="82"/>
      <c r="J37" s="81">
        <f>_xlfn.IFNA(VLOOKUP(封面!B1,一般公共预算财政拨款支出决算具体情况!A:Z,26,FALSE),"")</f>
        <v>6627959.1100000003</v>
      </c>
      <c r="K37" s="81"/>
      <c r="L37" s="11" t="s">
        <v>178</v>
      </c>
    </row>
    <row r="38" spans="1:12" ht="18" customHeight="1">
      <c r="A38" s="14"/>
      <c r="B38" s="14" t="str">
        <f>IF(E37&gt;J37,"增加","减少")</f>
        <v>减少</v>
      </c>
      <c r="C38" s="81">
        <f>ABS(E37-J37)</f>
        <v>205937.0700000003</v>
      </c>
      <c r="D38" s="81"/>
      <c r="E38" s="7" t="s">
        <v>179</v>
      </c>
      <c r="F38" s="14" t="str">
        <f>IF(E37&gt;J37,"增长","下降")</f>
        <v>下降</v>
      </c>
      <c r="G38" s="33">
        <f>IF(J37=0,IF(E37&gt;0,1,""),C38/J37)</f>
        <v>3.1070962657161035E-2</v>
      </c>
      <c r="H38" s="7" t="s">
        <v>303</v>
      </c>
    </row>
    <row r="39" spans="1:12" ht="36" customHeight="1">
      <c r="B39" s="85" t="s">
        <v>452</v>
      </c>
      <c r="C39" s="85"/>
      <c r="D39" s="85"/>
      <c r="E39" s="85"/>
      <c r="F39" s="85"/>
      <c r="G39" s="85"/>
      <c r="H39" s="85"/>
      <c r="I39" s="85"/>
      <c r="J39" s="85"/>
      <c r="K39" s="85"/>
      <c r="L39" s="85"/>
    </row>
    <row r="40" spans="1:12" ht="18" customHeight="1">
      <c r="A40" s="80" t="s">
        <v>414</v>
      </c>
      <c r="B40" s="80"/>
      <c r="C40" s="80"/>
      <c r="D40" s="80"/>
      <c r="E40" s="81">
        <f>_xlfn.IFNA(VLOOKUP(封面!B1,一般公共预算财政拨款支出决算具体情况!A:AC,29,FALSE),"")</f>
        <v>2573533.91</v>
      </c>
      <c r="F40" s="81"/>
      <c r="G40" s="7" t="s">
        <v>179</v>
      </c>
      <c r="H40" s="82" t="s">
        <v>409</v>
      </c>
      <c r="I40" s="82"/>
      <c r="J40" s="81">
        <f>_xlfn.IFNA(VLOOKUP(封面!B1,一般公共预算财政拨款支出决算具体情况!A:AD,30,FALSE),"")</f>
        <v>2818423.05</v>
      </c>
      <c r="K40" s="81"/>
      <c r="L40" s="11" t="s">
        <v>178</v>
      </c>
    </row>
    <row r="41" spans="1:12" ht="18" customHeight="1">
      <c r="B41" s="14" t="str">
        <f>IF(E40&gt;J40,"增加","减少")</f>
        <v>减少</v>
      </c>
      <c r="C41" s="81">
        <f>ABS(E40-J40)</f>
        <v>244889.13999999966</v>
      </c>
      <c r="D41" s="81"/>
      <c r="E41" s="7" t="s">
        <v>179</v>
      </c>
      <c r="F41" s="14" t="str">
        <f>IF(E40&gt;J40,"增长","下降")</f>
        <v>下降</v>
      </c>
      <c r="G41" s="33">
        <f>IF(J40=0,IF(E40&gt;0,1,""),C41/J40)</f>
        <v>8.6888708918272467E-2</v>
      </c>
      <c r="H41" s="7" t="s">
        <v>303</v>
      </c>
      <c r="I41" s="11" t="s">
        <v>197</v>
      </c>
    </row>
    <row r="42" spans="1:12" ht="18" customHeight="1">
      <c r="A42" s="86" t="s">
        <v>415</v>
      </c>
      <c r="B42" s="86"/>
      <c r="C42" s="86"/>
      <c r="D42" s="86"/>
      <c r="E42" s="81">
        <f>_xlfn.IFNA(VLOOKUP(封面!B1,一般公共预算财政拨款支出决算具体情况!A:AE,31,FALSE),"")</f>
        <v>2573533.91</v>
      </c>
      <c r="F42" s="81"/>
      <c r="G42" s="7" t="s">
        <v>179</v>
      </c>
      <c r="H42" s="82" t="s">
        <v>409</v>
      </c>
      <c r="I42" s="82"/>
      <c r="J42" s="81">
        <f>_xlfn.IFNA(VLOOKUP(封面!B1,一般公共预算财政拨款支出决算具体情况!A:AF,32,FALSE),"")</f>
        <v>2818423.05</v>
      </c>
      <c r="K42" s="81"/>
      <c r="L42" s="11" t="s">
        <v>178</v>
      </c>
    </row>
    <row r="43" spans="1:12" ht="18" customHeight="1">
      <c r="A43" s="14"/>
      <c r="B43" s="14" t="str">
        <f>IF(E42&gt;J42,"增加","减少")</f>
        <v>减少</v>
      </c>
      <c r="C43" s="81">
        <f>ABS(E42-J42)</f>
        <v>244889.13999999966</v>
      </c>
      <c r="D43" s="81"/>
      <c r="E43" s="7" t="s">
        <v>179</v>
      </c>
      <c r="F43" s="14" t="str">
        <f>IF(E42&gt;J42,"增长","下降")</f>
        <v>下降</v>
      </c>
      <c r="G43" s="33">
        <f>IF(J42=0,IF(E42&gt;0,1,""),C43/J42)</f>
        <v>8.6888708918272467E-2</v>
      </c>
      <c r="H43" s="7" t="s">
        <v>303</v>
      </c>
    </row>
    <row r="44" spans="1:12" ht="36" customHeight="1">
      <c r="B44" s="85" t="s">
        <v>453</v>
      </c>
      <c r="C44" s="85"/>
      <c r="D44" s="85"/>
      <c r="E44" s="85"/>
      <c r="F44" s="85"/>
      <c r="G44" s="85"/>
      <c r="H44" s="85"/>
      <c r="I44" s="85"/>
      <c r="J44" s="85"/>
      <c r="K44" s="85"/>
      <c r="L44" s="85"/>
    </row>
    <row r="45" spans="1:12" ht="18" customHeight="1">
      <c r="A45" s="80" t="s">
        <v>456</v>
      </c>
      <c r="B45" s="80"/>
      <c r="C45" s="80"/>
      <c r="D45" s="80"/>
      <c r="E45" s="81">
        <f>_xlfn.IFNA(VLOOKUP(封面!B1,一般公共预算财政拨款支出决算具体情况!A:AK,37,FALSE),"")</f>
        <v>5754170</v>
      </c>
      <c r="F45" s="81"/>
      <c r="G45" s="7" t="s">
        <v>179</v>
      </c>
      <c r="H45" s="82" t="s">
        <v>409</v>
      </c>
      <c r="I45" s="82"/>
      <c r="J45" s="81">
        <f>_xlfn.IFNA(VLOOKUP(封面!B1,一般公共预算财政拨款支出决算具体情况!A:AL,38,FALSE),"")</f>
        <v>5350628.3499999996</v>
      </c>
      <c r="K45" s="81"/>
      <c r="L45" s="11" t="s">
        <v>178</v>
      </c>
    </row>
    <row r="46" spans="1:12" ht="18" customHeight="1">
      <c r="B46" s="14" t="str">
        <f>IF(E45&gt;J45,"增加","减少")</f>
        <v>增加</v>
      </c>
      <c r="C46" s="81">
        <f>ABS(E45-J45)</f>
        <v>403541.65000000037</v>
      </c>
      <c r="D46" s="81"/>
      <c r="E46" s="7" t="s">
        <v>179</v>
      </c>
      <c r="F46" s="14" t="str">
        <f>IF(E45&gt;J45,"增长","下降")</f>
        <v>增长</v>
      </c>
      <c r="G46" s="33">
        <f>IF(J45=0,IF(E45&gt;0,1,""),C46/J45)</f>
        <v>7.5419487881269204E-2</v>
      </c>
      <c r="H46" s="7" t="s">
        <v>303</v>
      </c>
      <c r="I46" s="11" t="s">
        <v>197</v>
      </c>
    </row>
    <row r="47" spans="1:12" ht="18" customHeight="1">
      <c r="A47" s="86" t="s">
        <v>416</v>
      </c>
      <c r="B47" s="86"/>
      <c r="C47" s="86"/>
      <c r="D47" s="86"/>
      <c r="E47" s="81">
        <f>_xlfn.IFNA(VLOOKUP(封面!B1,一般公共预算财政拨款支出决算具体情况!A:AM,39,FALSE),"")</f>
        <v>5754170</v>
      </c>
      <c r="F47" s="81"/>
      <c r="G47" s="7" t="s">
        <v>179</v>
      </c>
      <c r="H47" s="82" t="s">
        <v>409</v>
      </c>
      <c r="I47" s="82"/>
      <c r="J47" s="81">
        <f>_xlfn.IFNA(VLOOKUP(封面!B1,一般公共预算财政拨款支出决算具体情况!A:AN,40,FALSE),"")</f>
        <v>5350628.3499999996</v>
      </c>
      <c r="K47" s="81"/>
      <c r="L47" s="11" t="s">
        <v>178</v>
      </c>
    </row>
    <row r="48" spans="1:12" ht="18" customHeight="1">
      <c r="A48" s="14"/>
      <c r="B48" s="14" t="str">
        <f>IF(E47&gt;J47,"增加","减少")</f>
        <v>增加</v>
      </c>
      <c r="C48" s="81">
        <f>ABS(E47-J47)</f>
        <v>403541.65000000037</v>
      </c>
      <c r="D48" s="81"/>
      <c r="E48" s="7" t="s">
        <v>179</v>
      </c>
      <c r="F48" s="14" t="str">
        <f>IF(E47&gt;J47,"增长","下降")</f>
        <v>增长</v>
      </c>
      <c r="G48" s="33">
        <f>IF(J47=0,IF(E47&gt;0,1,""),C48/J47)</f>
        <v>7.5419487881269204E-2</v>
      </c>
      <c r="H48" s="7" t="s">
        <v>303</v>
      </c>
    </row>
    <row r="49" spans="1:13" ht="36" customHeight="1">
      <c r="B49" s="85" t="s">
        <v>454</v>
      </c>
      <c r="C49" s="85"/>
      <c r="D49" s="85"/>
      <c r="E49" s="85"/>
      <c r="F49" s="85"/>
      <c r="G49" s="85"/>
      <c r="H49" s="85"/>
      <c r="I49" s="85"/>
      <c r="J49" s="85"/>
      <c r="K49" s="85"/>
      <c r="L49" s="85"/>
    </row>
    <row r="50" spans="1:13" ht="18" customHeight="1">
      <c r="A50" s="6" t="s">
        <v>198</v>
      </c>
    </row>
    <row r="51" spans="1:13" ht="18" customHeight="1">
      <c r="A51" s="7" t="str">
        <f>IF(_xlfn.IFNA(VLOOKUP(封面!B1,'2021决算导出'!A:W,23,FALSE),"")=0,"本年度无此项支出。","")</f>
        <v>本年度无此项支出。</v>
      </c>
    </row>
    <row r="52" spans="1:13" ht="18" customHeight="1">
      <c r="A52" s="6" t="s">
        <v>199</v>
      </c>
    </row>
    <row r="53" spans="1:13" ht="18" customHeight="1">
      <c r="A53" s="7" t="s">
        <v>200</v>
      </c>
    </row>
    <row r="54" spans="1:13" ht="18" customHeight="1">
      <c r="A54" s="6" t="s">
        <v>201</v>
      </c>
    </row>
    <row r="55" spans="1:13" ht="18" customHeight="1">
      <c r="A55" s="7" t="s">
        <v>417</v>
      </c>
      <c r="G55" s="81">
        <f>_xlfn.IFNA(VLOOKUP(封面!B1,'2021决算导出'!A:AA,27,FALSE),"")</f>
        <v>42030599.490000002</v>
      </c>
      <c r="H55" s="81"/>
      <c r="I55" s="11" t="s">
        <v>179</v>
      </c>
    </row>
    <row r="56" spans="1:13" ht="130.15" customHeight="1">
      <c r="A56" s="85" t="s">
        <v>202</v>
      </c>
      <c r="B56" s="85"/>
      <c r="C56" s="85"/>
      <c r="D56" s="85"/>
      <c r="E56" s="85"/>
      <c r="F56" s="85"/>
      <c r="G56" s="85"/>
      <c r="H56" s="85"/>
      <c r="I56" s="85"/>
      <c r="J56" s="85"/>
      <c r="K56" s="85"/>
      <c r="L56" s="85"/>
      <c r="M56" s="85"/>
    </row>
    <row r="57" spans="1:13" ht="18" customHeight="1"/>
    <row r="58" spans="1:13" ht="18" customHeight="1"/>
    <row r="59" spans="1:13" ht="18" customHeight="1"/>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sheetData>
  <mergeCells count="81">
    <mergeCell ref="G55:H55"/>
    <mergeCell ref="A56:M56"/>
    <mergeCell ref="A4:M4"/>
    <mergeCell ref="B49:L49"/>
    <mergeCell ref="C46:D46"/>
    <mergeCell ref="A47:D47"/>
    <mergeCell ref="E47:F47"/>
    <mergeCell ref="H47:I47"/>
    <mergeCell ref="J47:K47"/>
    <mergeCell ref="C48:D48"/>
    <mergeCell ref="A45:D45"/>
    <mergeCell ref="E45:F45"/>
    <mergeCell ref="H45:I45"/>
    <mergeCell ref="J45:K45"/>
    <mergeCell ref="E37:F37"/>
    <mergeCell ref="H37:I37"/>
    <mergeCell ref="J37:K37"/>
    <mergeCell ref="C38:D38"/>
    <mergeCell ref="A40:D40"/>
    <mergeCell ref="E40:F40"/>
    <mergeCell ref="H40:I40"/>
    <mergeCell ref="J40:K40"/>
    <mergeCell ref="C43:D43"/>
    <mergeCell ref="B44:L44"/>
    <mergeCell ref="C33:D33"/>
    <mergeCell ref="B34:L34"/>
    <mergeCell ref="A32:D32"/>
    <mergeCell ref="E32:F32"/>
    <mergeCell ref="H32:I32"/>
    <mergeCell ref="J32:K32"/>
    <mergeCell ref="C36:D36"/>
    <mergeCell ref="A37:D37"/>
    <mergeCell ref="C41:D41"/>
    <mergeCell ref="B39:L39"/>
    <mergeCell ref="A42:D42"/>
    <mergeCell ref="E42:F42"/>
    <mergeCell ref="H42:I42"/>
    <mergeCell ref="J42:K42"/>
    <mergeCell ref="B31:L31"/>
    <mergeCell ref="C28:D28"/>
    <mergeCell ref="C30:D30"/>
    <mergeCell ref="A29:D29"/>
    <mergeCell ref="E29:F29"/>
    <mergeCell ref="H29:I29"/>
    <mergeCell ref="J29:K29"/>
    <mergeCell ref="A27:D27"/>
    <mergeCell ref="E27:F27"/>
    <mergeCell ref="H27:I27"/>
    <mergeCell ref="J27:K27"/>
    <mergeCell ref="D25:E25"/>
    <mergeCell ref="G25:H25"/>
    <mergeCell ref="A25:C25"/>
    <mergeCell ref="G23:H23"/>
    <mergeCell ref="D22:E22"/>
    <mergeCell ref="G22:H22"/>
    <mergeCell ref="A23:C23"/>
    <mergeCell ref="A22:C22"/>
    <mergeCell ref="D23:E23"/>
    <mergeCell ref="B18:M18"/>
    <mergeCell ref="A21:E21"/>
    <mergeCell ref="F21:G21"/>
    <mergeCell ref="A15:C15"/>
    <mergeCell ref="F15:G15"/>
    <mergeCell ref="A17:D17"/>
    <mergeCell ref="E17:F17"/>
    <mergeCell ref="A13:C13"/>
    <mergeCell ref="A1:M1"/>
    <mergeCell ref="A35:D35"/>
    <mergeCell ref="E35:F35"/>
    <mergeCell ref="H35:I35"/>
    <mergeCell ref="J35:K35"/>
    <mergeCell ref="A10:C10"/>
    <mergeCell ref="A11:C11"/>
    <mergeCell ref="F11:G11"/>
    <mergeCell ref="A8:C8"/>
    <mergeCell ref="A6:B6"/>
    <mergeCell ref="A24:C24"/>
    <mergeCell ref="D24:E24"/>
    <mergeCell ref="G24:H24"/>
    <mergeCell ref="A14:C14"/>
    <mergeCell ref="F14:G14"/>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14" sqref="A14:N14"/>
    </sheetView>
  </sheetViews>
  <sheetFormatPr defaultColWidth="8.83203125" defaultRowHeight="18" customHeight="1"/>
  <cols>
    <col min="1" max="1" width="13.83203125" style="7" bestFit="1" customWidth="1"/>
    <col min="2" max="2" width="8.83203125" style="7"/>
    <col min="3" max="3" width="8.83203125" style="7" customWidth="1"/>
    <col min="4" max="10" width="8.83203125" style="7"/>
    <col min="11" max="11" width="9" style="7" customWidth="1"/>
    <col min="12" max="12" width="8.83203125" style="7"/>
    <col min="13" max="13" width="10.83203125" style="7" customWidth="1"/>
    <col min="14" max="16384" width="8.83203125" style="7"/>
  </cols>
  <sheetData>
    <row r="1" spans="1:14" ht="35.5" customHeight="1">
      <c r="A1" s="77" t="s">
        <v>400</v>
      </c>
      <c r="B1" s="77"/>
      <c r="C1" s="77"/>
      <c r="D1" s="77"/>
      <c r="E1" s="77"/>
      <c r="F1" s="77"/>
      <c r="G1" s="77"/>
      <c r="H1" s="77"/>
      <c r="I1" s="77"/>
      <c r="J1" s="77"/>
      <c r="K1" s="77"/>
      <c r="L1" s="77"/>
      <c r="M1" s="77"/>
      <c r="N1" s="77"/>
    </row>
    <row r="2" spans="1:14" ht="18" customHeight="1">
      <c r="A2" s="6" t="s">
        <v>203</v>
      </c>
    </row>
    <row r="3" spans="1:14" ht="18" customHeight="1">
      <c r="A3" s="15" t="str">
        <f>IF(_xlfn.IFNA(VLOOKUP(封面!B1,'2021决算导出'!A:AB,28,FALSE),"")=0,"本年度无此项支出。","")</f>
        <v/>
      </c>
    </row>
    <row r="4" spans="1:14" ht="18" customHeight="1">
      <c r="A4" s="7" t="s">
        <v>418</v>
      </c>
      <c r="F4" s="81">
        <f>_xlfn.IFNA(VLOOKUP(封面!B1,'2021决算导出'!A:AB,28,FALSE),"")</f>
        <v>6463</v>
      </c>
      <c r="G4" s="81"/>
      <c r="H4" s="7" t="s">
        <v>179</v>
      </c>
      <c r="I4" s="7" t="s">
        <v>419</v>
      </c>
    </row>
    <row r="5" spans="1:14" ht="18" customHeight="1">
      <c r="A5" s="88">
        <f>_xlfn.IFNA(VLOOKUP(封面!B1,'2021决算导出'!A:AC,29,FALSE),"")</f>
        <v>27000</v>
      </c>
      <c r="B5" s="88"/>
      <c r="C5" s="7" t="s">
        <v>178</v>
      </c>
      <c r="D5" s="29" t="str">
        <f>IF(F4&gt;A5,"增加","减少")</f>
        <v>减少</v>
      </c>
      <c r="E5" s="88">
        <f>ABS(F4-A5)</f>
        <v>20537</v>
      </c>
      <c r="F5" s="88"/>
      <c r="G5" s="7" t="s">
        <v>205</v>
      </c>
    </row>
    <row r="6" spans="1:14" ht="18" customHeight="1">
      <c r="A6" s="7" t="s">
        <v>206</v>
      </c>
    </row>
    <row r="7" spans="1:14" ht="18" customHeight="1">
      <c r="A7" s="54" t="s">
        <v>420</v>
      </c>
      <c r="B7" s="18"/>
      <c r="C7" s="18"/>
      <c r="D7" s="18"/>
      <c r="E7" s="18"/>
      <c r="F7" s="18"/>
      <c r="G7" s="18"/>
      <c r="H7" s="18"/>
      <c r="I7" s="18"/>
      <c r="J7" s="18"/>
      <c r="K7" s="18"/>
      <c r="L7" s="18"/>
      <c r="M7" s="18"/>
      <c r="N7" s="18"/>
    </row>
    <row r="8" spans="1:14" ht="18" customHeight="1">
      <c r="A8" s="7" t="s">
        <v>207</v>
      </c>
    </row>
    <row r="9" spans="1:14" ht="39" customHeight="1">
      <c r="A9" s="87" t="s">
        <v>421</v>
      </c>
      <c r="B9" s="87"/>
      <c r="C9" s="87"/>
      <c r="D9" s="87"/>
      <c r="E9" s="87"/>
      <c r="F9" s="87"/>
      <c r="G9" s="87"/>
      <c r="H9" s="87"/>
      <c r="I9" s="87"/>
      <c r="J9" s="87"/>
      <c r="K9" s="87"/>
      <c r="L9" s="87"/>
      <c r="M9" s="87"/>
      <c r="N9" s="87"/>
    </row>
    <row r="10" spans="1:14" ht="18" customHeight="1">
      <c r="A10" s="7" t="s">
        <v>208</v>
      </c>
    </row>
    <row r="11" spans="1:14" ht="18" customHeight="1">
      <c r="A11" s="79" t="s">
        <v>422</v>
      </c>
      <c r="B11" s="79"/>
      <c r="C11" s="34">
        <f>_xlfn.IFNA(VLOOKUP(封面!B1,'2021决算导出'!A:AI,35,FALSE),"")</f>
        <v>6463</v>
      </c>
      <c r="D11" s="7" t="s">
        <v>179</v>
      </c>
      <c r="E11" s="79" t="s">
        <v>423</v>
      </c>
      <c r="F11" s="79"/>
      <c r="G11" s="79"/>
      <c r="H11" s="88">
        <f>_xlfn.IFNA(VLOOKUP(封面!B1,'2021决算导出'!A:AJ,36,FALSE),"")</f>
        <v>27000</v>
      </c>
      <c r="I11" s="88"/>
      <c r="J11" s="15" t="s">
        <v>178</v>
      </c>
      <c r="K11" s="29" t="str">
        <f>IF(C11&gt;H11,"增加","减少")</f>
        <v>减少</v>
      </c>
      <c r="L11" s="88">
        <f>ABS(C11-H11)</f>
        <v>20537</v>
      </c>
      <c r="M11" s="88"/>
      <c r="N11" s="7" t="s">
        <v>204</v>
      </c>
    </row>
    <row r="12" spans="1:14" ht="18" customHeight="1">
      <c r="A12" s="79" t="s">
        <v>424</v>
      </c>
      <c r="B12" s="79"/>
      <c r="C12" s="79"/>
      <c r="D12" s="79"/>
      <c r="E12" s="79"/>
      <c r="F12" s="88">
        <f>_xlfn.IFNA(VLOOKUP(封面!B1,'2021决算导出'!A:AK,37,FALSE),"")</f>
        <v>0</v>
      </c>
      <c r="G12" s="88"/>
      <c r="H12" s="16" t="s">
        <v>179</v>
      </c>
      <c r="I12" s="79" t="s">
        <v>423</v>
      </c>
      <c r="J12" s="79"/>
      <c r="K12" s="79"/>
      <c r="L12" s="88">
        <f>_xlfn.IFNA(VLOOKUP(封面!B1,'2021决算导出'!A:AL,38,FALSE),"")</f>
        <v>0</v>
      </c>
      <c r="M12" s="88"/>
      <c r="N12" s="7" t="s">
        <v>178</v>
      </c>
    </row>
    <row r="13" spans="1:14" ht="18" customHeight="1">
      <c r="A13" s="14" t="str">
        <f>IF(F12&gt;L12,"增加","减少")</f>
        <v>减少</v>
      </c>
      <c r="B13" s="88">
        <f>ABS(F12-L12)</f>
        <v>0</v>
      </c>
      <c r="C13" s="88"/>
      <c r="D13" s="7" t="s">
        <v>204</v>
      </c>
      <c r="H13" s="88"/>
      <c r="I13" s="88"/>
      <c r="J13" s="15"/>
    </row>
    <row r="14" spans="1:14" ht="36" customHeight="1">
      <c r="A14" s="85" t="s">
        <v>455</v>
      </c>
      <c r="B14" s="85"/>
      <c r="C14" s="85"/>
      <c r="D14" s="85"/>
      <c r="E14" s="85"/>
      <c r="F14" s="85"/>
      <c r="G14" s="85"/>
      <c r="H14" s="85"/>
      <c r="I14" s="85"/>
      <c r="J14" s="85"/>
      <c r="K14" s="85"/>
      <c r="L14" s="85"/>
      <c r="M14" s="85"/>
      <c r="N14" s="85"/>
    </row>
    <row r="15" spans="1:14" ht="18" customHeight="1">
      <c r="A15" s="82" t="s">
        <v>425</v>
      </c>
      <c r="B15" s="82"/>
      <c r="C15" s="82"/>
      <c r="D15" s="82"/>
      <c r="E15" s="82"/>
      <c r="F15" s="88">
        <f>_xlfn.IFNA(VLOOKUP(封面!B1,'2021决算导出'!A:AO,41,FALSE),"")</f>
        <v>6463</v>
      </c>
      <c r="G15" s="88" t="s">
        <v>179</v>
      </c>
      <c r="H15" s="7" t="s">
        <v>179</v>
      </c>
      <c r="I15" s="7" t="s">
        <v>423</v>
      </c>
      <c r="L15" s="88">
        <f>_xlfn.IFNA(VLOOKUP(封面!B1,'2021决算导出'!A:AP,42,FALSE),"")</f>
        <v>27000</v>
      </c>
      <c r="M15" s="88" t="s">
        <v>179</v>
      </c>
      <c r="N15" s="7" t="s">
        <v>179</v>
      </c>
    </row>
    <row r="16" spans="1:14" ht="18" customHeight="1">
      <c r="A16" s="14" t="str">
        <f>IF(F15&gt;L15,"增加","减少")</f>
        <v>减少</v>
      </c>
      <c r="B16" s="88">
        <f>ABS(F15-L15)</f>
        <v>20537</v>
      </c>
      <c r="C16" s="88"/>
      <c r="D16" s="7" t="s">
        <v>204</v>
      </c>
    </row>
    <row r="17" spans="1:14" ht="36" customHeight="1">
      <c r="A17" s="85" t="s">
        <v>209</v>
      </c>
      <c r="B17" s="85"/>
      <c r="C17" s="85"/>
      <c r="D17" s="85"/>
      <c r="E17" s="85"/>
      <c r="F17" s="85"/>
      <c r="G17" s="85"/>
      <c r="H17" s="85"/>
      <c r="I17" s="85"/>
      <c r="J17" s="85"/>
      <c r="K17" s="85"/>
      <c r="L17" s="85"/>
      <c r="M17" s="85"/>
      <c r="N17" s="85"/>
    </row>
    <row r="18" spans="1:14" ht="18" customHeight="1">
      <c r="A18" s="79" t="s">
        <v>426</v>
      </c>
      <c r="B18" s="79"/>
      <c r="C18" s="79"/>
      <c r="D18" s="79"/>
      <c r="E18" s="79"/>
      <c r="F18" s="79"/>
      <c r="G18" s="88">
        <f>_xlfn.IFNA(VLOOKUP(封面!B1,'2021决算导出'!A:AQ,43,FALSE),"")</f>
        <v>0</v>
      </c>
      <c r="H18" s="88" t="s">
        <v>179</v>
      </c>
      <c r="I18" s="7" t="s">
        <v>179</v>
      </c>
      <c r="J18" s="7" t="s">
        <v>210</v>
      </c>
      <c r="L18" s="88">
        <f>_xlfn.IFNA(VLOOKUP(封面!B1,'2021决算导出'!A:AR,44,FALSE),"")</f>
        <v>2307.08</v>
      </c>
      <c r="M18" s="88" t="s">
        <v>179</v>
      </c>
      <c r="N18" s="7" t="s">
        <v>179</v>
      </c>
    </row>
    <row r="19" spans="1:14" ht="18" customHeight="1">
      <c r="A19" s="79" t="s">
        <v>211</v>
      </c>
      <c r="B19" s="79"/>
      <c r="C19" s="88">
        <f>_xlfn.IFNA(VLOOKUP(封面!B1,'2021决算导出'!A:AS,45,FALSE),"")</f>
        <v>2704.93</v>
      </c>
      <c r="D19" s="88" t="s">
        <v>179</v>
      </c>
      <c r="E19" s="7" t="s">
        <v>179</v>
      </c>
      <c r="F19" s="79" t="s">
        <v>212</v>
      </c>
      <c r="G19" s="79"/>
      <c r="H19" s="79"/>
      <c r="I19" s="88">
        <f>_xlfn.IFNA(VLOOKUP(封面!B1,'2021决算导出'!A:AT,46,FALSE),"")</f>
        <v>1450.99</v>
      </c>
      <c r="J19" s="88" t="s">
        <v>179</v>
      </c>
      <c r="K19" s="7" t="s">
        <v>204</v>
      </c>
    </row>
    <row r="20" spans="1:14" ht="18" customHeight="1">
      <c r="A20" s="79" t="s">
        <v>427</v>
      </c>
      <c r="B20" s="79"/>
      <c r="C20" s="79"/>
      <c r="D20" s="8">
        <f>_xlfn.IFNA(VLOOKUP(封面!B1,'2021决算导出'!A:AU,47,FALSE),"")</f>
        <v>1</v>
      </c>
      <c r="E20" s="84" t="s">
        <v>394</v>
      </c>
      <c r="F20" s="84"/>
      <c r="G20" s="84"/>
      <c r="H20" s="84"/>
      <c r="I20" s="84"/>
      <c r="J20" s="84"/>
      <c r="K20" s="84"/>
      <c r="L20" s="84"/>
      <c r="M20" s="53">
        <f>F15/D20</f>
        <v>6463</v>
      </c>
      <c r="N20" s="7" t="s">
        <v>204</v>
      </c>
    </row>
    <row r="21" spans="1:14" ht="18" customHeight="1">
      <c r="A21" s="6" t="s">
        <v>213</v>
      </c>
    </row>
    <row r="22" spans="1:14" ht="18" customHeight="1">
      <c r="A22" s="7" t="s">
        <v>214</v>
      </c>
    </row>
    <row r="23" spans="1:14" ht="18" customHeight="1">
      <c r="A23" s="6" t="s">
        <v>215</v>
      </c>
    </row>
    <row r="24" spans="1:14" ht="18" customHeight="1">
      <c r="A24" s="79" t="s">
        <v>428</v>
      </c>
      <c r="B24" s="79"/>
      <c r="C24" s="79"/>
      <c r="D24" s="79"/>
      <c r="E24" s="81">
        <f>_xlfn.IFNA(VLOOKUP(封面!B1,'2021决算导出'!A:AW,49,FALSE),"")</f>
        <v>554460</v>
      </c>
      <c r="F24" s="81"/>
      <c r="G24" s="7" t="s">
        <v>179</v>
      </c>
      <c r="H24" s="79" t="s">
        <v>216</v>
      </c>
      <c r="I24" s="79"/>
      <c r="J24" s="79"/>
      <c r="K24" s="79"/>
      <c r="L24" s="81">
        <f>_xlfn.IFNA(VLOOKUP(封面!B1,'2021决算导出'!A:AX,50,FALSE),"")</f>
        <v>0</v>
      </c>
      <c r="M24" s="81" t="s">
        <v>179</v>
      </c>
      <c r="N24" s="7" t="s">
        <v>179</v>
      </c>
    </row>
    <row r="25" spans="1:14" ht="18" customHeight="1">
      <c r="A25" s="79" t="s">
        <v>217</v>
      </c>
      <c r="B25" s="79"/>
      <c r="C25" s="79"/>
      <c r="D25" s="81">
        <f>_xlfn.IFNA(VLOOKUP(封面!B1,'2021决算导出'!A:AY,51,FALSE),"")</f>
        <v>0</v>
      </c>
      <c r="E25" s="81" t="s">
        <v>179</v>
      </c>
      <c r="F25" s="7" t="s">
        <v>179</v>
      </c>
      <c r="G25" s="79" t="s">
        <v>218</v>
      </c>
      <c r="H25" s="79"/>
      <c r="I25" s="79"/>
      <c r="J25" s="81">
        <f>_xlfn.IFNA(VLOOKUP(封面!B1,'2021决算导出'!A:AZ,52,FALSE),"")</f>
        <v>554460</v>
      </c>
      <c r="K25" s="81" t="s">
        <v>179</v>
      </c>
      <c r="L25" s="7" t="s">
        <v>204</v>
      </c>
    </row>
    <row r="26" spans="1:14" ht="18" customHeight="1">
      <c r="A26" s="79" t="s">
        <v>219</v>
      </c>
      <c r="B26" s="79"/>
      <c r="C26" s="79"/>
      <c r="D26" s="79"/>
      <c r="E26" s="81">
        <f>_xlfn.IFNA(VLOOKUP(封面!B1,'2021决算导出'!A:BA,53,FALSE),"")</f>
        <v>554460</v>
      </c>
      <c r="F26" s="81" t="s">
        <v>179</v>
      </c>
      <c r="G26" s="7" t="s">
        <v>179</v>
      </c>
      <c r="H26" s="82" t="s">
        <v>220</v>
      </c>
      <c r="I26" s="82"/>
      <c r="J26" s="82"/>
      <c r="K26" s="28">
        <f>E26/$E$24</f>
        <v>1</v>
      </c>
      <c r="L26" s="17" t="s">
        <v>301</v>
      </c>
      <c r="M26" s="7" t="s">
        <v>395</v>
      </c>
    </row>
    <row r="27" spans="1:14" ht="18" customHeight="1">
      <c r="A27" s="79" t="s">
        <v>221</v>
      </c>
      <c r="B27" s="79"/>
      <c r="C27" s="79"/>
      <c r="D27" s="79"/>
      <c r="E27" s="81">
        <f>_xlfn.IFNA(VLOOKUP(封面!B1,'2021决算导出'!A:BB,54,FALSE),"")</f>
        <v>554460</v>
      </c>
      <c r="F27" s="81" t="s">
        <v>179</v>
      </c>
      <c r="G27" s="7" t="s">
        <v>179</v>
      </c>
      <c r="H27" s="82" t="s">
        <v>220</v>
      </c>
      <c r="I27" s="82"/>
      <c r="J27" s="82"/>
      <c r="K27" s="28">
        <f>E27/$E$24</f>
        <v>1</v>
      </c>
      <c r="L27" s="17" t="s">
        <v>303</v>
      </c>
    </row>
    <row r="28" spans="1:14" ht="18" customHeight="1">
      <c r="A28" s="6" t="s">
        <v>222</v>
      </c>
    </row>
    <row r="29" spans="1:14" ht="18" customHeight="1">
      <c r="A29" s="79" t="s">
        <v>429</v>
      </c>
      <c r="B29" s="79"/>
      <c r="C29" s="8">
        <f>_xlfn.IFNA(VLOOKUP(封面!B1,'2021决算导出'!A:BC,55,FALSE),"")</f>
        <v>1</v>
      </c>
      <c r="D29" s="7" t="s">
        <v>223</v>
      </c>
      <c r="M29" s="88">
        <f>_xlfn.IFNA(VLOOKUP(封面!B1,'2021决算导出'!A:BD,56,FALSE),"")</f>
        <v>195190</v>
      </c>
      <c r="N29" s="88" t="s">
        <v>179</v>
      </c>
    </row>
    <row r="30" spans="1:14" ht="18" customHeight="1">
      <c r="A30" s="12" t="s">
        <v>224</v>
      </c>
      <c r="B30" s="79" t="s">
        <v>225</v>
      </c>
      <c r="C30" s="79"/>
      <c r="D30" s="79"/>
      <c r="E30" s="79"/>
      <c r="F30" s="79"/>
      <c r="G30" s="8">
        <f>_xlfn.IFNA(VLOOKUP(封面!B1,'2021决算导出'!A:BE,57,FALSE),"")</f>
        <v>1</v>
      </c>
      <c r="H30" s="7" t="s">
        <v>226</v>
      </c>
      <c r="J30" s="7" t="s">
        <v>227</v>
      </c>
    </row>
    <row r="31" spans="1:14" ht="18" customHeight="1">
      <c r="A31" s="12">
        <f>_xlfn.IFNA(VLOOKUP(封面!B1,'2021决算导出'!A:BF,58,FALSE),"")</f>
        <v>0</v>
      </c>
      <c r="B31" s="7" t="s">
        <v>228</v>
      </c>
    </row>
    <row r="32" spans="1:14" ht="18" customHeight="1">
      <c r="A32" s="6" t="s">
        <v>229</v>
      </c>
    </row>
    <row r="33" spans="1:14" ht="18" customHeight="1">
      <c r="A33" s="7" t="s">
        <v>230</v>
      </c>
    </row>
    <row r="34" spans="1:14" ht="18" customHeight="1">
      <c r="A34" s="6" t="s">
        <v>231</v>
      </c>
    </row>
    <row r="35" spans="1:14" ht="375.65" customHeight="1">
      <c r="A35" s="85" t="s">
        <v>444</v>
      </c>
      <c r="B35" s="85"/>
      <c r="C35" s="85"/>
      <c r="D35" s="85"/>
      <c r="E35" s="85"/>
      <c r="F35" s="85"/>
      <c r="G35" s="85"/>
      <c r="H35" s="85"/>
      <c r="I35" s="85"/>
      <c r="J35" s="85"/>
      <c r="K35" s="85"/>
      <c r="L35" s="85"/>
      <c r="M35" s="85"/>
      <c r="N35" s="85"/>
    </row>
  </sheetData>
  <mergeCells count="48">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A14:N14"/>
    <mergeCell ref="F15:G15"/>
    <mergeCell ref="L15:M15"/>
    <mergeCell ref="B16:C16"/>
    <mergeCell ref="A12:E12"/>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
  <sheetData>
    <row r="10" spans="1:14" ht="54.65" customHeight="1">
      <c r="A10" s="77" t="s">
        <v>446</v>
      </c>
      <c r="B10" s="77"/>
      <c r="C10" s="77"/>
      <c r="D10" s="77"/>
      <c r="E10" s="77"/>
      <c r="F10" s="77"/>
      <c r="G10" s="77"/>
      <c r="H10" s="77"/>
      <c r="I10" s="77"/>
      <c r="J10" s="77"/>
      <c r="K10" s="77"/>
      <c r="L10" s="77"/>
      <c r="M10" s="77"/>
      <c r="N10" s="77"/>
    </row>
    <row r="11" spans="1:14" ht="78" customHeight="1">
      <c r="A11" s="78" t="s">
        <v>447</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3203125" defaultRowHeight="14"/>
  <cols>
    <col min="1" max="1" width="7.33203125" style="65" customWidth="1"/>
    <col min="2" max="2" width="15.5" style="57" customWidth="1"/>
    <col min="3" max="3" width="5.83203125" style="57" customWidth="1"/>
    <col min="4" max="6" width="13.33203125" style="57" customWidth="1"/>
    <col min="7" max="8" width="12.5" style="57" customWidth="1"/>
    <col min="9" max="9" width="9" style="57" customWidth="1"/>
    <col min="10" max="10" width="12.25" style="57" customWidth="1"/>
    <col min="11" max="13" width="13.33203125" style="57" customWidth="1"/>
    <col min="14" max="14" width="12.58203125" style="57" customWidth="1"/>
    <col min="15" max="20" width="13.33203125" style="57" customWidth="1"/>
    <col min="21" max="21" width="11.5" style="57" customWidth="1"/>
    <col min="22" max="22" width="13.33203125" style="57" customWidth="1"/>
    <col min="23" max="23" width="11" style="57" customWidth="1"/>
    <col min="24" max="24" width="11.58203125" style="66" customWidth="1"/>
    <col min="25" max="25" width="10.5" style="57" customWidth="1"/>
    <col min="26" max="26" width="10.33203125" style="57" customWidth="1"/>
    <col min="27" max="27" width="13.33203125" style="57" customWidth="1"/>
    <col min="28" max="28" width="11" style="57" customWidth="1"/>
    <col min="29" max="29" width="10.83203125" style="57" customWidth="1"/>
    <col min="30" max="34" width="7.5" style="57" customWidth="1"/>
    <col min="35" max="35" width="13.33203125" style="57" customWidth="1"/>
    <col min="36" max="36" width="11.25" style="57" customWidth="1"/>
    <col min="37" max="40" width="6.83203125" style="57" customWidth="1"/>
    <col min="41" max="41" width="12.5" style="57" customWidth="1"/>
    <col min="42" max="42" width="11.75" style="57" customWidth="1"/>
    <col min="43" max="46" width="11.08203125" style="57" customWidth="1"/>
    <col min="47" max="47" width="8.5" style="57" customWidth="1"/>
    <col min="48" max="51" width="13.33203125" style="57" customWidth="1"/>
    <col min="52" max="52" width="12.33203125" style="57" customWidth="1"/>
    <col min="53" max="53" width="12" style="57" customWidth="1"/>
    <col min="54" max="54" width="13.33203125" style="57" customWidth="1"/>
    <col min="55" max="55" width="10" style="57" customWidth="1"/>
    <col min="56" max="56" width="13.33203125" style="57" customWidth="1"/>
    <col min="57" max="57" width="9" style="57" customWidth="1"/>
    <col min="58" max="58" width="9.5" style="57" customWidth="1"/>
    <col min="59" max="16384" width="8.83203125" style="57"/>
  </cols>
  <sheetData>
    <row r="1" spans="1:58" ht="60" customHeight="1">
      <c r="A1" s="20" t="s">
        <v>430</v>
      </c>
      <c r="B1" s="21" t="s">
        <v>238</v>
      </c>
      <c r="C1" s="21" t="s">
        <v>233</v>
      </c>
      <c r="D1" s="21" t="s">
        <v>239</v>
      </c>
      <c r="E1" s="21" t="s">
        <v>240</v>
      </c>
      <c r="F1" s="21" t="s">
        <v>241</v>
      </c>
      <c r="G1" s="21" t="s">
        <v>242</v>
      </c>
      <c r="H1" s="21" t="s">
        <v>243</v>
      </c>
      <c r="I1" s="21" t="s">
        <v>244</v>
      </c>
      <c r="J1" s="21" t="s">
        <v>245</v>
      </c>
      <c r="K1" s="21" t="s">
        <v>246</v>
      </c>
      <c r="L1" s="21" t="s">
        <v>247</v>
      </c>
      <c r="M1" s="21" t="s">
        <v>248</v>
      </c>
      <c r="N1" s="21" t="s">
        <v>249</v>
      </c>
      <c r="O1" s="21" t="s">
        <v>250</v>
      </c>
      <c r="P1" s="21" t="s">
        <v>251</v>
      </c>
      <c r="Q1" s="21" t="s">
        <v>252</v>
      </c>
      <c r="R1" s="21" t="s">
        <v>253</v>
      </c>
      <c r="S1" s="21" t="s">
        <v>254</v>
      </c>
      <c r="T1" s="21" t="s">
        <v>255</v>
      </c>
      <c r="U1" s="21" t="s">
        <v>256</v>
      </c>
      <c r="V1" s="21" t="s">
        <v>258</v>
      </c>
      <c r="W1" s="21" t="s">
        <v>435</v>
      </c>
      <c r="X1" s="56" t="s">
        <v>436</v>
      </c>
      <c r="Y1" s="21" t="s">
        <v>437</v>
      </c>
      <c r="Z1" s="21" t="s">
        <v>431</v>
      </c>
      <c r="AA1" s="21" t="s">
        <v>261</v>
      </c>
      <c r="AB1" s="21" t="s">
        <v>262</v>
      </c>
      <c r="AC1" s="21" t="s">
        <v>263</v>
      </c>
      <c r="AD1" s="21" t="s">
        <v>264</v>
      </c>
      <c r="AE1" s="21" t="s">
        <v>265</v>
      </c>
      <c r="AF1" s="21" t="s">
        <v>266</v>
      </c>
      <c r="AG1" s="21" t="s">
        <v>267</v>
      </c>
      <c r="AH1" s="21" t="s">
        <v>268</v>
      </c>
      <c r="AI1" s="21" t="s">
        <v>269</v>
      </c>
      <c r="AJ1" s="21" t="s">
        <v>270</v>
      </c>
      <c r="AK1" s="21" t="s">
        <v>271</v>
      </c>
      <c r="AL1" s="21" t="s">
        <v>272</v>
      </c>
      <c r="AM1" s="21" t="s">
        <v>306</v>
      </c>
      <c r="AN1" s="21" t="s">
        <v>307</v>
      </c>
      <c r="AO1" s="21" t="s">
        <v>273</v>
      </c>
      <c r="AP1" s="21" t="s">
        <v>274</v>
      </c>
      <c r="AQ1" s="21" t="s">
        <v>275</v>
      </c>
      <c r="AR1" s="21" t="s">
        <v>276</v>
      </c>
      <c r="AS1" s="21" t="s">
        <v>277</v>
      </c>
      <c r="AT1" s="21" t="s">
        <v>278</v>
      </c>
      <c r="AU1" s="21" t="s">
        <v>279</v>
      </c>
      <c r="AV1" s="21" t="s">
        <v>308</v>
      </c>
      <c r="AW1" s="21" t="s">
        <v>280</v>
      </c>
      <c r="AX1" s="21" t="s">
        <v>281</v>
      </c>
      <c r="AY1" s="21" t="s">
        <v>282</v>
      </c>
      <c r="AZ1" s="21" t="s">
        <v>283</v>
      </c>
      <c r="BA1" s="21" t="s">
        <v>284</v>
      </c>
      <c r="BB1" s="21" t="s">
        <v>285</v>
      </c>
      <c r="BC1" s="21" t="s">
        <v>286</v>
      </c>
      <c r="BD1" s="21" t="s">
        <v>396</v>
      </c>
      <c r="BE1" s="21" t="s">
        <v>287</v>
      </c>
      <c r="BF1" s="21" t="s">
        <v>288</v>
      </c>
    </row>
    <row r="2" spans="1:58" ht="11.65" customHeight="1">
      <c r="A2" s="58">
        <v>255001</v>
      </c>
      <c r="B2" s="24" t="s">
        <v>289</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296</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432</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297</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433</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434</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3">
      <c r="A165" s="61">
        <v>255</v>
      </c>
      <c r="B165" s="62" t="s">
        <v>384</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3203125" defaultRowHeight="14"/>
  <cols>
    <col min="1" max="1" width="8.83203125" style="35"/>
    <col min="2" max="2" width="18.83203125" style="35" customWidth="1"/>
    <col min="3" max="3" width="8.83203125" style="35"/>
    <col min="4" max="4" width="11.08203125" style="69" customWidth="1"/>
    <col min="5" max="5" width="8.83203125" style="69"/>
    <col min="6" max="10" width="8.83203125" style="35"/>
    <col min="11" max="11" width="8.83203125" style="69"/>
    <col min="12" max="14" width="8.83203125" style="35"/>
    <col min="15" max="15" width="8.83203125" style="69"/>
    <col min="16" max="16384" width="8.83203125" style="35"/>
  </cols>
  <sheetData>
    <row r="1" spans="1:58" ht="65">
      <c r="A1" s="20" t="s">
        <v>237</v>
      </c>
      <c r="B1" s="21" t="s">
        <v>238</v>
      </c>
      <c r="C1" s="21" t="s">
        <v>233</v>
      </c>
      <c r="D1" s="67" t="s">
        <v>239</v>
      </c>
      <c r="E1" s="67" t="s">
        <v>240</v>
      </c>
      <c r="F1" s="21" t="s">
        <v>241</v>
      </c>
      <c r="G1" s="21" t="s">
        <v>242</v>
      </c>
      <c r="H1" s="21" t="s">
        <v>243</v>
      </c>
      <c r="I1" s="21" t="s">
        <v>244</v>
      </c>
      <c r="J1" s="21" t="s">
        <v>245</v>
      </c>
      <c r="K1" s="67" t="s">
        <v>246</v>
      </c>
      <c r="L1" s="21" t="s">
        <v>247</v>
      </c>
      <c r="M1" s="21" t="s">
        <v>248</v>
      </c>
      <c r="N1" s="21" t="s">
        <v>249</v>
      </c>
      <c r="O1" s="67" t="s">
        <v>250</v>
      </c>
      <c r="P1" s="21" t="s">
        <v>251</v>
      </c>
      <c r="Q1" s="21" t="s">
        <v>252</v>
      </c>
      <c r="R1" s="21" t="s">
        <v>253</v>
      </c>
      <c r="S1" s="21" t="s">
        <v>254</v>
      </c>
      <c r="T1" s="21" t="s">
        <v>255</v>
      </c>
      <c r="U1" s="21" t="s">
        <v>256</v>
      </c>
      <c r="V1" s="21" t="s">
        <v>257</v>
      </c>
      <c r="W1" s="21" t="s">
        <v>258</v>
      </c>
      <c r="X1" s="21" t="s">
        <v>259</v>
      </c>
      <c r="Y1" s="21" t="s">
        <v>260</v>
      </c>
      <c r="Z1" s="21" t="s">
        <v>305</v>
      </c>
      <c r="AA1" s="21" t="s">
        <v>261</v>
      </c>
      <c r="AB1" s="21" t="s">
        <v>262</v>
      </c>
      <c r="AC1" s="21" t="s">
        <v>263</v>
      </c>
      <c r="AD1" s="21" t="s">
        <v>264</v>
      </c>
      <c r="AE1" s="21" t="s">
        <v>265</v>
      </c>
      <c r="AF1" s="21" t="s">
        <v>266</v>
      </c>
      <c r="AG1" s="21" t="s">
        <v>267</v>
      </c>
      <c r="AH1" s="21" t="s">
        <v>268</v>
      </c>
      <c r="AI1" s="21" t="s">
        <v>269</v>
      </c>
      <c r="AJ1" s="21" t="s">
        <v>270</v>
      </c>
      <c r="AK1" s="21" t="s">
        <v>271</v>
      </c>
      <c r="AL1" s="21" t="s">
        <v>272</v>
      </c>
      <c r="AM1" s="21" t="s">
        <v>306</v>
      </c>
      <c r="AN1" s="21" t="s">
        <v>307</v>
      </c>
      <c r="AO1" s="21" t="s">
        <v>273</v>
      </c>
      <c r="AP1" s="21" t="s">
        <v>274</v>
      </c>
      <c r="AQ1" s="21" t="s">
        <v>275</v>
      </c>
      <c r="AR1" s="21" t="s">
        <v>276</v>
      </c>
      <c r="AS1" s="21" t="s">
        <v>277</v>
      </c>
      <c r="AT1" s="21" t="s">
        <v>278</v>
      </c>
      <c r="AU1" s="21" t="s">
        <v>279</v>
      </c>
      <c r="AV1" s="21" t="s">
        <v>308</v>
      </c>
      <c r="AW1" s="21" t="s">
        <v>280</v>
      </c>
      <c r="AX1" s="21" t="s">
        <v>281</v>
      </c>
      <c r="AY1" s="21" t="s">
        <v>282</v>
      </c>
      <c r="AZ1" s="21" t="s">
        <v>283</v>
      </c>
      <c r="BA1" s="21" t="s">
        <v>284</v>
      </c>
      <c r="BB1" s="21" t="s">
        <v>285</v>
      </c>
      <c r="BC1" s="21" t="s">
        <v>286</v>
      </c>
      <c r="BD1" s="21" t="s">
        <v>396</v>
      </c>
      <c r="BE1" s="21" t="s">
        <v>287</v>
      </c>
      <c r="BF1" s="21" t="s">
        <v>288</v>
      </c>
    </row>
    <row r="2" spans="1:58">
      <c r="A2" s="23">
        <v>255001</v>
      </c>
      <c r="B2" s="24" t="s">
        <v>289</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290</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291</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3203125" defaultRowHeight="14"/>
  <cols>
    <col min="1" max="1" width="8.83203125" style="35"/>
    <col min="2" max="2" width="24.25" style="35" customWidth="1"/>
    <col min="3" max="3" width="16.5" style="35" customWidth="1"/>
    <col min="4" max="4" width="13.08203125" style="35" customWidth="1"/>
    <col min="5" max="5" width="14.5" style="35" customWidth="1"/>
    <col min="6" max="6" width="15.25" style="35" customWidth="1"/>
    <col min="7" max="16384" width="8.83203125" style="35"/>
  </cols>
  <sheetData>
    <row r="1" spans="1:6" ht="26">
      <c r="A1" s="20" t="s">
        <v>237</v>
      </c>
      <c r="B1" s="21" t="s">
        <v>238</v>
      </c>
      <c r="C1" s="21" t="s">
        <v>292</v>
      </c>
      <c r="D1" s="21" t="s">
        <v>293</v>
      </c>
      <c r="E1" s="21" t="s">
        <v>294</v>
      </c>
      <c r="F1" s="21" t="s">
        <v>295</v>
      </c>
    </row>
    <row r="2" spans="1:6">
      <c r="A2" s="23">
        <v>255001</v>
      </c>
      <c r="B2" s="24" t="s">
        <v>289</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296</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297</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298</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299</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user6</cp:lastModifiedBy>
  <cp:lastPrinted>2022-08-25T04:56:47Z</cp:lastPrinted>
  <dcterms:created xsi:type="dcterms:W3CDTF">2021-08-26T09:47:38Z</dcterms:created>
  <dcterms:modified xsi:type="dcterms:W3CDTF">2022-09-01T09:01:31Z</dcterms:modified>
</cp:coreProperties>
</file>