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部门决算信息公开\255021教院附中 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<sst xmlns="http://schemas.openxmlformats.org/spreadsheetml/2006/main" count="4788" uniqueCount="467">
  <si>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</si>
  <si>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</si>
  <si>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</si>
  <si>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</si>
  <si>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</si>
  <si>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</si>
  <si>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</si>
  <si>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</si>
  <si>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</si>
  <si>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</si>
  <si>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</si>
  <si>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</si>
  <si>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</si>
  <si>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</si>
  <si>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</si>
  <si>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</si>
  <si>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</si>
  <si>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</si>
  <si>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</si>
  <si>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</si>
  <si>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</si>
  <si>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</si>
  <si>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</si>
  <si>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</si>
  <si>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</si>
  <si>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</si>
  <si>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</si>
  <si>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</si>
  <si>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</si>
  <si>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</si>
  <si>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</si>
  <si>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</si>
  <si>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</si>
  <si>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</si>
  <si>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</si>
  <si>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</si>
  <si>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</si>
  <si>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</si>
  <si>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</si>
  <si>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</si>
  <si>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</si>
  <si>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</si>
  <si>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</si>
  <si>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</si>
  <si>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</si>
  <si>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</si>
  <si>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</si>
  <si>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</si>
  <si>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</si>
  <si>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</si>
  <si>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</si>
  <si>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</si>
  <si>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</si>
  <si>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</si>
  <si>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</si>
  <si>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</si>
  <si>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</si>
  <si>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</si>
  <si>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</si>
  <si>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</si>
  <si>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</si>
  <si>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</si>
  <si>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</si>
  <si>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</si>
  <si>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</si>
  <si>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</si>
  <si>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</si>
  <si>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</si>
  <si>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</si>
  <si>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</si>
  <si>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</si>
  <si>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</si>
  <si>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</si>
  <si>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</si>
  <si>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</si>
  <si>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</si>
  <si>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</si>
  <si>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</si>
  <si>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</si>
  <si>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</si>
  <si>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</si>
  <si>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</si>
  <si>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</si>
  <si>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</si>
  <si>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</si>
  <si>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</si>
  <si>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</si>
  <si>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</si>
  <si>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</si>
  <si>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</si>
  <si>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</si>
  <si>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</si>
  <si>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</si>
  <si>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</si>
  <si>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</si>
  <si>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</si>
  <si>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</si>
  <si>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</si>
  <si>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</si>
  <si>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</si>
  <si>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</si>
  <si>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</si>
  <si>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</si>
  <si>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</si>
  <si>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</si>
  <si>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</si>
  <si>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</si>
  <si>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</si>
  <si>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</si>
  <si>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</si>
  <si>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</si>
  <si>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</si>
  <si>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</si>
  <si>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</si>
  <si>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</si>
  <si>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</si>
  <si>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</si>
  <si>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</si>
  <si>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</si>
  <si>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</si>
  <si>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</si>
  <si>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</si>
  <si>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</si>
  <si>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</si>
  <si>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</si>
  <si>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</si>
  <si>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</si>
  <si>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</si>
  <si>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</si>
  <si>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</si>
  <si>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</si>
  <si>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</si>
  <si>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</si>
  <si>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</si>
  <si>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</si>
  <si>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</si>
  <si>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</si>
  <si>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</si>
  <si>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</si>
  <si>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</si>
  <si>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</si>
  <si>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</si>
  <si>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</si>
  <si>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</si>
  <si>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</si>
  <si>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</si>
  <si>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</si>
  <si>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</si>
  <si>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</si>
  <si>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</si>
  <si>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</si>
  <si>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</si>
  <si>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</si>
  <si>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</si>
  <si>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</si>
  <si>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</si>
  <si>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</si>
  <si>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</si>
  <si>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</si>
  <si>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</si>
  <si>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</si>
  <si>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</si>
  <si>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</si>
  <si>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</si>
  <si>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</si>
  <si>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</si>
  <si>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</si>
  <si>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</si>
  <si>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</si>
  <si>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</si>
  <si>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</si>
  <si>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</si>
  <si>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</si>
  <si>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</si>
  <si>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</si>
  <si>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</si>
  <si>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</si>
  <si>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</si>
  <si>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</si>
  <si>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</si>
  <si>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</si>
  <si>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</si>
  <si>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</si>
  <si>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</si>
  <si>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</si>
  <si>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</si>
  <si>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</si>
  <si>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</si>
  <si>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</si>
  <si>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</si>
  <si>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</si>
  <si>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</si>
  <si>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</si>
  <si>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</si>
  <si>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</si>
  <si>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</si>
  <si>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</si>
  <si>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</si>
  <si>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</si>
  <si>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</si>
  <si>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</si>
  <si>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</si>
  <si>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</si>
  <si>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</si>
  <si>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</si>
  <si>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</si>
  <si>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</si>
  <si>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</si>
  <si>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</si>
  <si>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</si>
  <si>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</si>
  <si>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</si>
  <si>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</si>
  <si>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</si>
  <si>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</si>
  <si>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</si>
  <si>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</si>
  <si>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</si>
  <si>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</si>
  <si>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</si>
  <si>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</si>
  <si>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</si>
  <si>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</si>
  <si>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</si>
  <si>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</si>
  <si>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</si>
  <si>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</si>
  <si>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</si>
  <si>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</si>
  <si>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</si>
  <si>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</si>
  <si>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</si>
  <si>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</si>
  <si>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</si>
  <si>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</si>
  <si>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</si>
  <si>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</si>
  <si>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</si>
  <si>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</si>
  <si>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</si>
  <si>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</si>
  <si>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</si>
  <si>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</si>
  <si>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</si>
  <si>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</si>
  <si>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</si>
  <si>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</si>
  <si>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</si>
  <si>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</si>
  <si>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</si>
  <si>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</si>
  <si>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</si>
  <si>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</si>
  <si>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</si>
  <si>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</si>
  <si>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</si>
  <si>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</si>
  <si>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</si>
  <si>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</si>
  <si>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</si>
  <si>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</si>
  <si>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</si>
  <si>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</si>
  <si>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</si>
  <si>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</si>
  <si>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</si>
  <si>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</si>
  <si>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</si>
  <si>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</si>
  <si>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</si>
  <si>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</si>
  <si>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</si>
  <si>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</si>
  <si>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</si>
  <si>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</si>
  <si>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</si>
  <si>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</si>
  <si>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</si>
  <si>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</si>
  <si>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</si>
  <si>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</si>
  <si>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</si>
  <si>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</si>
  <si>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</si>
  <si>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</si>
  <si>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</si>
  <si>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</si>
  <si>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</si>
  <si>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</si>
  <si>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</si>
  <si>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</si>
  <si>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</si>
  <si>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</si>
  <si>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</si>
  <si>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</si>
  <si>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</si>
  <si>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</si>
  <si>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</si>
  <si>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</si>
  <si>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</si>
  <si>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</si>
  <si>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</si>
  <si>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</si>
  <si>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</si>
  <si>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</si>
  <si>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</si>
  <si>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</si>
  <si>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</si>
  <si>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</si>
  <si>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</si>
  <si>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</si>
  <si>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</si>
  <si>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</si>
  <si>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</si>
  <si>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</si>
  <si>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</si>
  <si>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</si>
  <si>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</si>
  <si>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</si>
  <si>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</si>
  <si>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</si>
  <si>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</si>
  <si>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</si>
  <si>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</si>
  <si>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</si>
  <si>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</si>
  <si>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</si>
  <si>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</si>
  <si>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</si>
  <si>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</si>
  <si>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</si>
  <si>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</si>
  <si>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</si>
  <si>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</si>
  <si>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</si>
  <si>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</si>
  <si>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</si>
  <si>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</si>
  <si>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</si>
  <si>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</si>
  <si>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</si>
  <si>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</si>
  <si>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</si>
  <si>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</si>
  <si>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</si>
  <si>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</si>
  <si>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</si>
  <si>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</si>
  <si>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</si>
  <si>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</si>
  <si>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</si>
  <si>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</si>
  <si>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</si>
  <si>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</si>
  <si>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</si>
  <si>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</si>
  <si>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</si>
  <si>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</si>
  <si>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</si>
  <si>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</si>
  <si>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</si>
  <si>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</si>
  <si>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</si>
  <si>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</si>
  <si>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</si>
  <si>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</si>
  <si>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</si>
  <si>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</si>
  <si>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</si>
  <si>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</si>
  <si>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</si>
  <si>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</si>
  <si>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</si>
  <si>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</si>
  <si>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</si>
  <si>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</si>
  <si>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</si>
  <si>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</si>
  <si>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</si>
  <si>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</si>
  <si>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</si>
  <si>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</si>
  <si>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</si>
  <si>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</si>
  <si>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</si>
  <si>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</si>
  <si>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</si>
  <si>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</si>
  <si>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</si>
  <si>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</si>
  <si>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</si>
  <si>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</si>
  <si>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</si>
  <si>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</si>
  <si>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</si>
  <si>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</si>
  <si>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</si>
  <si>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</si>
  <si>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</si>
  <si>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</si>
  <si>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</si>
  <si>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</si>
  <si>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</si>
  <si>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</si>
  <si>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</si>
  <si>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</si>
  <si>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</si>
  <si>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</si>
  <si>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</si>
  <si>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</si>
  <si>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</si>
  <si>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</si>
  <si>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</si>
  <si>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</si>
  <si>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</si>
  <si>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</si>
  <si>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</si>
  <si>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</si>
  <si>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</si>
  <si>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</si>
  <si>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</si>
  <si>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</si>
  <si>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</si>
  <si>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</si>
  <si>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</si>
  <si>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</si>
  <si>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</si>
  <si>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</si>
  <si>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</si>
  <si>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</si>
  <si>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</si>
  <si>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</si>
  <si>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</si>
  <si>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</si>
  <si>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</si>
  <si>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</si>
  <si>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</si>
  <si>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</si>
  <si>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</si>
  <si>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</si>
  <si>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</si>
  <si>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</si>
  <si>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</si>
  <si>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</si>
  <si>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</si>
  <si>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</si>
  <si>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</si>
  <si>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</si>
  <si>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</si>
  <si>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</si>
  <si>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</si>
  <si>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</si>
  <si>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</si>
  <si>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</si>
  <si>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</si>
  <si>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</si>
  <si>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</si>
  <si>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教育学院附属中学是经西城区人民政府批准，由西城区教育委员会和北京教育学院共同签署合作协议，创办的一所全日制完全中学。学校是由原西城区两所完全中学（北京市丰盛中学、北京教育学院西城分院附属中学）于2008年合并组建而成。下设党政办公室、教学处、德育处、教科研室、总务处等五个部门。</t>
    <phoneticPr fontId="4" type="noConversion"/>
  </si>
  <si>
    <t>主要原因是主要原因是受疫情影响，项目数量减少，从而导致财政拨款收支减少。</t>
    <phoneticPr fontId="4" type="noConversion"/>
  </si>
  <si>
    <t>主要原因是人员支出增加导致。</t>
    <phoneticPr fontId="4" type="noConversion"/>
  </si>
  <si>
    <t>主要原因是因疫情影响，按财政要求进行调减。</t>
    <phoneticPr fontId="4" type="noConversion"/>
  </si>
  <si>
    <t>主要原因是严格按照预算执行支出安排。</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</si>
  <si>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</si>
  <si>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</si>
  <si>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</si>
  <si>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</si>
  <si>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主要原因是社保基数及人员调整导致。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</si>
</sst>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255021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北京教育学院附属中学</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H22" sqref="H22"/>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454</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zoomScaleNormal="100" workbookViewId="0">
      <selection activeCell="A4" sqref="A4:M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68.25" customHeight="1">
      <c r="A4" s="85" t="s">
        <v>457</v>
      </c>
      <c r="B4" s="85"/>
      <c r="C4" s="85"/>
      <c r="D4" s="85"/>
      <c r="E4" s="85"/>
      <c r="F4" s="85"/>
      <c r="G4" s="85"/>
      <c r="H4" s="85"/>
      <c r="I4" s="85"/>
      <c r="J4" s="85"/>
      <c r="K4" s="85"/>
      <c r="L4" s="85"/>
      <c r="M4" s="85"/>
      <c r="N4" s="18"/>
    </row>
    <row r="5" spans="1:14" ht="18" customHeight="1">
      <c r="A5" s="7" t="s">
        <v>176</v>
      </c>
    </row>
    <row r="6" spans="1:14" ht="18" customHeight="1">
      <c r="A6" s="81" t="s">
        <v>241</v>
      </c>
      <c r="B6" s="81"/>
      <c r="C6" s="10">
        <v>160</v>
      </c>
      <c r="D6" s="10" t="s">
        <v>243</v>
      </c>
      <c r="E6" s="8">
        <f>_xlfn.IFNA(VLOOKUP(封面!B1,'2021决算导出'!A:C,3,FALSE),"")</f>
        <v>148</v>
      </c>
      <c r="F6" s="10" t="s">
        <v>244</v>
      </c>
      <c r="G6" s="10"/>
      <c r="H6" s="10"/>
      <c r="I6" s="10"/>
      <c r="J6" s="10"/>
      <c r="K6" s="10"/>
      <c r="L6" s="10"/>
      <c r="M6" s="10"/>
      <c r="N6" s="10"/>
    </row>
    <row r="7" spans="1:14" ht="18" customHeight="1">
      <c r="A7" s="6" t="s">
        <v>177</v>
      </c>
    </row>
    <row r="8" spans="1:14" ht="18" customHeight="1">
      <c r="A8" s="81" t="s">
        <v>412</v>
      </c>
      <c r="B8" s="81"/>
      <c r="C8" s="81"/>
      <c r="D8" s="13">
        <f>_xlfn.IFNA(VLOOKUP(封面!B1,'2021决算导出'!A:D,4,FALSE),"")</f>
        <v>66536882.490000002</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6632334.3999999985</v>
      </c>
      <c r="I8" s="15" t="s">
        <v>179</v>
      </c>
      <c r="J8" s="29" t="str">
        <f>IF(ISNA(VLOOKUP(封面!B1,'2020决算导出'!A:D,4,FALSE)),"",IF(D8-VLOOKUP(封面!B1,'2020决算导出'!A:D,4,FALSE)&gt;0,"增长","下降"))</f>
        <v>下降</v>
      </c>
      <c r="K8" s="30">
        <f>IF(ISNA(VLOOKUP(封面!B1,'2020决算导出'!A:D,4,FALSE)),"",H8/VLOOKUP(封面!B1,'2020决算导出'!A:D,4,FALSE))</f>
        <v>9.0643780019824649E-2</v>
      </c>
      <c r="L8" s="7" t="s">
        <v>309</v>
      </c>
    </row>
    <row r="9" spans="1:14" ht="18" customHeight="1">
      <c r="A9" s="7" t="s">
        <v>180</v>
      </c>
      <c r="G9" s="31"/>
      <c r="H9" s="31"/>
      <c r="I9" s="31"/>
      <c r="J9" s="31"/>
      <c r="K9" s="31"/>
    </row>
    <row r="10" spans="1:14" ht="18" customHeight="1">
      <c r="A10" s="81" t="s">
        <v>413</v>
      </c>
      <c r="B10" s="81"/>
      <c r="C10" s="81"/>
      <c r="D10" s="13">
        <f>_xlfn.IFNA(VLOOKUP(封面!B1,'2021决算导出'!A:E,5,FALSE),"")</f>
        <v>66536882.490000002</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6145506.7799999937</v>
      </c>
      <c r="I10" s="15" t="s">
        <v>179</v>
      </c>
      <c r="J10" s="29" t="str">
        <f>IF(ISNA(VLOOKUP(封面!B1,'2020决算导出'!A:E,5,FALSE)),"",IF(D10-VLOOKUP(封面!B1,'2020决算导出'!A:E,5,FALSE)&gt;0,"增长","下降"))</f>
        <v>下降</v>
      </c>
      <c r="K10" s="30">
        <f>IF(ISNA(VLOOKUP(封面!B1,'2020决算导出'!A:E,5,FALSE)),"",H10/VLOOKUP(封面!B1,'2020决算导出'!A:E,5,FALSE))</f>
        <v>8.4552899838924001E-2</v>
      </c>
      <c r="L10" s="7" t="s">
        <v>310</v>
      </c>
    </row>
    <row r="11" spans="1:14" ht="18" customHeight="1">
      <c r="A11" s="81" t="s">
        <v>181</v>
      </c>
      <c r="B11" s="81"/>
      <c r="C11" s="81"/>
      <c r="D11" s="13">
        <f>_xlfn.IFNA(VLOOKUP(封面!B1,'2021决算导出'!A:F,6,FALSE),"")</f>
        <v>66367132.490000002</v>
      </c>
      <c r="E11" s="7" t="s">
        <v>179</v>
      </c>
      <c r="F11" s="81" t="s">
        <v>182</v>
      </c>
      <c r="G11" s="81"/>
      <c r="H11" s="28">
        <f>D11/$D$10</f>
        <v>0.99744878338678533</v>
      </c>
      <c r="I11" s="7" t="s">
        <v>311</v>
      </c>
    </row>
    <row r="12" spans="1:14" ht="18" customHeight="1">
      <c r="A12" s="81" t="s">
        <v>183</v>
      </c>
      <c r="B12" s="81"/>
      <c r="C12" s="81"/>
      <c r="D12" s="13">
        <f>_xlfn.IFNA(VLOOKUP(封面!B1,'2021决算导出'!A:G,7,FALSE),"")</f>
        <v>169750</v>
      </c>
      <c r="E12" s="7" t="s">
        <v>179</v>
      </c>
      <c r="F12" s="81" t="s">
        <v>182</v>
      </c>
      <c r="G12" s="81"/>
      <c r="H12" s="28">
        <f t="shared" ref="H12:H15" si="0">D12/$D$10</f>
        <v>2.5512166132146659E-3</v>
      </c>
      <c r="I12" s="7" t="s">
        <v>311</v>
      </c>
    </row>
    <row r="13" spans="1:14" ht="18" customHeight="1">
      <c r="A13" s="81" t="s">
        <v>184</v>
      </c>
      <c r="B13" s="81"/>
      <c r="C13" s="81"/>
      <c r="D13" s="13">
        <f>_xlfn.IFNA(VLOOKUP(封面!B1,'2021决算导出'!A:H,8,FALSE),"")</f>
        <v>0</v>
      </c>
      <c r="E13" s="7" t="s">
        <v>179</v>
      </c>
      <c r="F13" s="81" t="s">
        <v>182</v>
      </c>
      <c r="G13" s="81"/>
      <c r="H13" s="28">
        <f t="shared" si="0"/>
        <v>0</v>
      </c>
      <c r="I13" s="7" t="s">
        <v>311</v>
      </c>
    </row>
    <row r="14" spans="1:14" ht="18" customHeight="1">
      <c r="A14" s="81" t="s">
        <v>185</v>
      </c>
      <c r="B14" s="81"/>
      <c r="C14" s="81"/>
      <c r="D14" s="13">
        <f>_xlfn.IFNA(VLOOKUP(封面!B1,'2021决算导出'!A:I,9,FALSE),"")</f>
        <v>0</v>
      </c>
      <c r="E14" s="7" t="s">
        <v>179</v>
      </c>
      <c r="F14" s="81" t="s">
        <v>182</v>
      </c>
      <c r="G14" s="81"/>
      <c r="H14" s="28">
        <f t="shared" si="0"/>
        <v>0</v>
      </c>
      <c r="I14" s="7" t="s">
        <v>311</v>
      </c>
    </row>
    <row r="15" spans="1:14" ht="18" customHeight="1">
      <c r="A15" s="81" t="s">
        <v>186</v>
      </c>
      <c r="B15" s="81"/>
      <c r="C15" s="81"/>
      <c r="D15" s="13">
        <f>_xlfn.IFNA(VLOOKUP(封面!B1,'2021决算导出'!A:J,10,FALSE),"")</f>
        <v>0</v>
      </c>
      <c r="E15" s="7" t="s">
        <v>179</v>
      </c>
      <c r="F15" s="81" t="s">
        <v>182</v>
      </c>
      <c r="G15" s="81"/>
      <c r="H15" s="28">
        <f t="shared" si="0"/>
        <v>0</v>
      </c>
      <c r="I15" s="7" t="s">
        <v>312</v>
      </c>
    </row>
    <row r="16" spans="1:14" ht="18" customHeight="1">
      <c r="A16" s="7" t="s">
        <v>187</v>
      </c>
    </row>
    <row r="17" spans="1:13" ht="18" customHeight="1">
      <c r="A17" s="81" t="s">
        <v>414</v>
      </c>
      <c r="B17" s="81"/>
      <c r="C17" s="81"/>
      <c r="D17" s="13">
        <f>_xlfn.IFNA(VLOOKUP(封面!B1,'2021决算导出'!A:K,11,FALSE),"")</f>
        <v>66474810.579999998</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6694406.3100000024</v>
      </c>
      <c r="I17" s="7" t="s">
        <v>179</v>
      </c>
      <c r="J17" s="29" t="str">
        <f>IF(ISNA(VLOOKUP(封面!B1,'2020决算导出'!A:K,11,FALSE)),"",IF(D17-VLOOKUP(封面!B1,'2020决算导出'!A:K,11,FALSE)&gt;0,"增长","下降"))</f>
        <v>下降</v>
      </c>
      <c r="K17" s="30">
        <f>IF(ISNA(VLOOKUP(封面!B1,'2020决算导出'!A:K,11,FALSE)),"",H17/VLOOKUP(封面!B1,'2020决算导出'!A:K,11,FALSE))</f>
        <v>9.1492113685788592E-2</v>
      </c>
      <c r="L17" s="7" t="s">
        <v>313</v>
      </c>
    </row>
    <row r="18" spans="1:13" ht="18" customHeight="1">
      <c r="A18" s="81" t="s">
        <v>188</v>
      </c>
      <c r="B18" s="81"/>
      <c r="C18" s="81"/>
      <c r="D18" s="13">
        <f>_xlfn.IFNA(VLOOKUP(封面!B1,'2021决算导出'!A:L,12,FALSE),"")</f>
        <v>63447341.039999999</v>
      </c>
      <c r="E18" s="7" t="s">
        <v>179</v>
      </c>
      <c r="F18" s="81" t="s">
        <v>189</v>
      </c>
      <c r="G18" s="81"/>
      <c r="H18" s="28">
        <f>D18/$D$17</f>
        <v>0.95445689106016252</v>
      </c>
      <c r="I18" s="7" t="s">
        <v>311</v>
      </c>
    </row>
    <row r="19" spans="1:13" ht="18" customHeight="1">
      <c r="A19" s="81" t="s">
        <v>190</v>
      </c>
      <c r="B19" s="81"/>
      <c r="C19" s="81"/>
      <c r="D19" s="13">
        <f>_xlfn.IFNA(VLOOKUP(封面!B1,'2021决算导出'!A:M,13,FALSE),"")</f>
        <v>3027469.54</v>
      </c>
      <c r="E19" s="7" t="s">
        <v>179</v>
      </c>
      <c r="F19" s="81" t="s">
        <v>189</v>
      </c>
      <c r="G19" s="81"/>
      <c r="H19" s="28">
        <f t="shared" ref="H19:H20" si="1">D19/$D$17</f>
        <v>4.5543108939837464E-2</v>
      </c>
      <c r="I19" s="7" t="s">
        <v>311</v>
      </c>
    </row>
    <row r="20" spans="1:13" ht="18" customHeight="1">
      <c r="A20" s="81" t="s">
        <v>191</v>
      </c>
      <c r="B20" s="81"/>
      <c r="C20" s="81"/>
      <c r="D20" s="13">
        <f>_xlfn.IFNA(VLOOKUP(封面!B1,'2021决算导出'!A:N,14,FALSE),"")</f>
        <v>0</v>
      </c>
      <c r="E20" s="7" t="s">
        <v>179</v>
      </c>
      <c r="F20" s="81" t="s">
        <v>189</v>
      </c>
      <c r="G20" s="81"/>
      <c r="H20" s="28">
        <f t="shared" si="1"/>
        <v>0</v>
      </c>
      <c r="I20" s="7" t="s">
        <v>312</v>
      </c>
    </row>
    <row r="21" spans="1:13" ht="18" customHeight="1">
      <c r="A21" s="6" t="s">
        <v>192</v>
      </c>
    </row>
    <row r="22" spans="1:13" ht="18" customHeight="1">
      <c r="A22" s="81" t="s">
        <v>415</v>
      </c>
      <c r="B22" s="81"/>
      <c r="C22" s="81"/>
      <c r="D22" s="81"/>
      <c r="E22" s="79">
        <f>_xlfn.IFNA(VLOOKUP(封面!B1,'2021决算导出'!A:O,15,FALSE),"")</f>
        <v>66367132.490000002</v>
      </c>
      <c r="F22" s="79"/>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6641784.3999999985</v>
      </c>
      <c r="J22" s="7" t="s">
        <v>179</v>
      </c>
      <c r="K22" s="29" t="str">
        <f>IF(ISNA(VLOOKUP(封面!B1,'2020决算导出'!A:O,15,FALSE)),"",IF(E22-VLOOKUP(封面!B1,'2020决算导出'!A:O,15,FALSE)&gt;0,"增长","下降"))</f>
        <v>下降</v>
      </c>
      <c r="L22" s="30">
        <f>IF(ISNA(VLOOKUP(封面!B1,'2020决算导出'!A:O,15,FALSE)),"",I22/VLOOKUP(封面!B1,'2020决算导出'!A:O,15,FALSE))</f>
        <v>9.0972235761378903E-2</v>
      </c>
      <c r="M22" s="7" t="s">
        <v>309</v>
      </c>
    </row>
    <row r="23" spans="1:13" ht="18.75">
      <c r="B23" s="82" t="s">
        <v>458</v>
      </c>
      <c r="C23" s="82"/>
      <c r="D23" s="82"/>
      <c r="E23" s="82"/>
      <c r="F23" s="82"/>
      <c r="G23" s="82"/>
      <c r="H23" s="82"/>
      <c r="I23" s="82"/>
      <c r="J23" s="82"/>
      <c r="K23" s="82"/>
      <c r="L23" s="82"/>
      <c r="M23" s="82"/>
    </row>
    <row r="24" spans="1:13" ht="18" customHeight="1">
      <c r="A24" s="6" t="s">
        <v>193</v>
      </c>
    </row>
    <row r="25" spans="1:13" ht="18" customHeight="1">
      <c r="A25" s="7" t="s">
        <v>194</v>
      </c>
    </row>
    <row r="26" spans="1:13" ht="18" customHeight="1">
      <c r="A26" s="81" t="s">
        <v>416</v>
      </c>
      <c r="B26" s="81"/>
      <c r="C26" s="81"/>
      <c r="D26" s="81"/>
      <c r="E26" s="81"/>
      <c r="F26" s="79">
        <f>_xlfn.IFNA(VLOOKUP(封面!B1,'2021决算导出'!A:P,16,FALSE),"")</f>
        <v>66305060.579999998</v>
      </c>
      <c r="G26" s="79"/>
      <c r="H26" s="7" t="s">
        <v>179</v>
      </c>
      <c r="I26" s="10" t="s">
        <v>195</v>
      </c>
      <c r="J26" s="10"/>
      <c r="K26" s="10"/>
      <c r="L26" s="10"/>
      <c r="M26" s="10"/>
    </row>
    <row r="27" spans="1:13" ht="18" customHeight="1">
      <c r="A27" s="81" t="s">
        <v>198</v>
      </c>
      <c r="B27" s="81"/>
      <c r="C27" s="81"/>
      <c r="D27" s="79">
        <f>_xlfn.IFNA(VLOOKUP(封面!B1,'2021决算导出'!A:Q,17,FALSE),"")</f>
        <v>42059032.009999998</v>
      </c>
      <c r="E27" s="79"/>
      <c r="F27" s="7" t="s">
        <v>179</v>
      </c>
      <c r="G27" s="83" t="s">
        <v>197</v>
      </c>
      <c r="H27" s="83"/>
      <c r="I27" s="28">
        <f>D27/$F$26</f>
        <v>0.63432612295488233</v>
      </c>
      <c r="J27" s="7" t="s">
        <v>311</v>
      </c>
      <c r="K27" s="9"/>
      <c r="L27" s="9"/>
      <c r="M27" s="9"/>
    </row>
    <row r="28" spans="1:13" ht="18" customHeight="1">
      <c r="A28" s="81" t="s">
        <v>199</v>
      </c>
      <c r="B28" s="81"/>
      <c r="C28" s="81"/>
      <c r="D28" s="79">
        <f>_xlfn.IFNA(VLOOKUP(封面!B1,'2021决算导出'!A:R,18,FALSE),"")</f>
        <v>0</v>
      </c>
      <c r="E28" s="79"/>
      <c r="F28" s="7" t="s">
        <v>179</v>
      </c>
      <c r="G28" s="83" t="s">
        <v>197</v>
      </c>
      <c r="H28" s="83"/>
      <c r="I28" s="28">
        <f t="shared" ref="I28:I32" si="2">D28/$F$26</f>
        <v>0</v>
      </c>
      <c r="J28" s="7" t="s">
        <v>311</v>
      </c>
      <c r="K28" s="9"/>
      <c r="L28" s="9"/>
      <c r="M28" s="9"/>
    </row>
    <row r="29" spans="1:13" ht="18" customHeight="1">
      <c r="A29" s="81" t="s">
        <v>196</v>
      </c>
      <c r="B29" s="81"/>
      <c r="C29" s="81"/>
      <c r="D29" s="79">
        <f>_xlfn.IFNA(VLOOKUP(封面!B1,'2021决算导出'!A:S,19,FALSE),"")</f>
        <v>11217969.1</v>
      </c>
      <c r="E29" s="79"/>
      <c r="F29" s="7" t="s">
        <v>179</v>
      </c>
      <c r="G29" s="83" t="s">
        <v>197</v>
      </c>
      <c r="H29" s="83"/>
      <c r="I29" s="28">
        <f t="shared" si="2"/>
        <v>0.16918722344676879</v>
      </c>
      <c r="J29" s="7" t="s">
        <v>311</v>
      </c>
    </row>
    <row r="30" spans="1:13" ht="18" customHeight="1">
      <c r="A30" s="81" t="s">
        <v>200</v>
      </c>
      <c r="B30" s="81"/>
      <c r="C30" s="81"/>
      <c r="D30" s="79">
        <f>_xlfn.IFNA(VLOOKUP(封面!B1,'2021决算导出'!A:T,20,FALSE),"")</f>
        <v>4588122.47</v>
      </c>
      <c r="E30" s="79"/>
      <c r="F30" s="7" t="s">
        <v>179</v>
      </c>
      <c r="G30" s="83" t="s">
        <v>197</v>
      </c>
      <c r="H30" s="83"/>
      <c r="I30" s="28">
        <f t="shared" si="2"/>
        <v>6.9197168811334184E-2</v>
      </c>
      <c r="J30" s="7" t="s">
        <v>311</v>
      </c>
    </row>
    <row r="31" spans="1:13" ht="18" customHeight="1">
      <c r="A31" s="81" t="s">
        <v>201</v>
      </c>
      <c r="B31" s="81"/>
      <c r="C31" s="81"/>
      <c r="D31" s="79">
        <f>_xlfn.IFNA(VLOOKUP(封面!B1,'2021决算导出'!A:U,21,FALSE),"")</f>
        <v>0</v>
      </c>
      <c r="E31" s="79"/>
      <c r="F31" s="7" t="s">
        <v>179</v>
      </c>
      <c r="G31" s="83" t="s">
        <v>197</v>
      </c>
      <c r="H31" s="83"/>
      <c r="I31" s="28">
        <f t="shared" si="2"/>
        <v>0</v>
      </c>
      <c r="J31" s="7" t="s">
        <v>311</v>
      </c>
    </row>
    <row r="32" spans="1:13" ht="18" customHeight="1">
      <c r="A32" s="81" t="s">
        <v>202</v>
      </c>
      <c r="B32" s="81"/>
      <c r="C32" s="81"/>
      <c r="D32" s="79">
        <f>_xlfn.IFNA(VLOOKUP(封面!B1,'2021决算导出'!A:V,22,FALSE),"")</f>
        <v>8439937</v>
      </c>
      <c r="E32" s="79"/>
      <c r="F32" s="7" t="s">
        <v>179</v>
      </c>
      <c r="G32" s="83" t="s">
        <v>197</v>
      </c>
      <c r="H32" s="83"/>
      <c r="I32" s="28">
        <f t="shared" si="2"/>
        <v>0.12728948478701474</v>
      </c>
      <c r="J32" s="7" t="s">
        <v>311</v>
      </c>
    </row>
    <row r="33" spans="1:12" ht="18" customHeight="1">
      <c r="A33" s="7" t="s">
        <v>203</v>
      </c>
    </row>
    <row r="34" spans="1:12" ht="18" customHeight="1">
      <c r="A34" s="84" t="s">
        <v>417</v>
      </c>
      <c r="B34" s="84"/>
      <c r="C34" s="84"/>
      <c r="D34" s="84"/>
      <c r="E34" s="79">
        <f>_xlfn.IFNA(VLOOKUP(封面!B1,一般公共预算财政拨款支出决算具体情况!A:C,3,FALSE),"")</f>
        <v>42059032.009999998</v>
      </c>
      <c r="F34" s="79"/>
      <c r="G34" s="7" t="s">
        <v>179</v>
      </c>
      <c r="H34" s="83" t="s">
        <v>418</v>
      </c>
      <c r="I34" s="83"/>
      <c r="J34" s="79">
        <f>_xlfn.IFNA(VLOOKUP(封面!B1,一般公共预算财政拨款支出决算具体情况!A:D,4,FALSE),"")</f>
        <v>40066029.340000004</v>
      </c>
      <c r="K34" s="79"/>
      <c r="L34" s="11" t="s">
        <v>178</v>
      </c>
    </row>
    <row r="35" spans="1:12" ht="18" customHeight="1">
      <c r="B35" s="14" t="str">
        <f>IF(E34&gt;J34,"增加","减少")</f>
        <v>增加</v>
      </c>
      <c r="C35" s="79">
        <f>ABS(E34-J34)</f>
        <v>1993002.6699999943</v>
      </c>
      <c r="D35" s="79"/>
      <c r="E35" s="7" t="s">
        <v>179</v>
      </c>
      <c r="F35" s="14" t="str">
        <f>IF(E34&gt;J34,"增长","下降")</f>
        <v>增长</v>
      </c>
      <c r="G35" s="33">
        <f>IF(J34=0,IF(E34&gt;0,1,""),C35/J34)</f>
        <v>4.9742954388801289E-2</v>
      </c>
      <c r="H35" s="7" t="s">
        <v>312</v>
      </c>
      <c r="I35" s="11" t="s">
        <v>204</v>
      </c>
    </row>
    <row r="36" spans="1:12" ht="18" customHeight="1">
      <c r="A36" s="81" t="s">
        <v>419</v>
      </c>
      <c r="B36" s="81"/>
      <c r="C36" s="81"/>
      <c r="D36" s="81"/>
      <c r="E36" s="79">
        <f>_xlfn.IFNA(VLOOKUP(封面!B1,一般公共预算财政拨款支出决算具体情况!A:E,5,FALSE),"")</f>
        <v>41579698.009999998</v>
      </c>
      <c r="F36" s="79"/>
      <c r="G36" s="7" t="s">
        <v>179</v>
      </c>
      <c r="H36" s="83" t="s">
        <v>418</v>
      </c>
      <c r="I36" s="83"/>
      <c r="J36" s="79">
        <f>_xlfn.IFNA(VLOOKUP(封面!B1,一般公共预算财政拨款支出决算具体情况!A:F,6,FALSE),"")</f>
        <v>39513950.340000004</v>
      </c>
      <c r="K36" s="79"/>
      <c r="L36" s="11" t="s">
        <v>178</v>
      </c>
    </row>
    <row r="37" spans="1:12" ht="18" customHeight="1">
      <c r="A37" s="14"/>
      <c r="B37" s="14" t="str">
        <f>IF(E36&gt;J36,"增加","减少")</f>
        <v>增加</v>
      </c>
      <c r="C37" s="79">
        <f>ABS(E36-J36)</f>
        <v>2065747.6699999943</v>
      </c>
      <c r="D37" s="79"/>
      <c r="E37" s="7" t="s">
        <v>179</v>
      </c>
      <c r="F37" s="14" t="str">
        <f>IF(E36&gt;J36,"增长","下降")</f>
        <v>增长</v>
      </c>
      <c r="G37" s="33">
        <f>IF(J36=0,IF(E36&gt;0,1,""),C37/J36)</f>
        <v>5.2278945846344203E-2</v>
      </c>
      <c r="H37" s="7" t="s">
        <v>312</v>
      </c>
    </row>
    <row r="38" spans="1:12" ht="18.75">
      <c r="B38" s="85" t="s">
        <v>459</v>
      </c>
      <c r="C38" s="85"/>
      <c r="D38" s="85"/>
      <c r="E38" s="85"/>
      <c r="F38" s="85"/>
      <c r="G38" s="85"/>
      <c r="H38" s="85"/>
      <c r="I38" s="85"/>
      <c r="J38" s="85"/>
      <c r="K38" s="85"/>
      <c r="L38" s="85"/>
    </row>
    <row r="39" spans="1:12" ht="18" customHeight="1">
      <c r="A39" s="81" t="s">
        <v>420</v>
      </c>
      <c r="B39" s="81"/>
      <c r="C39" s="81"/>
      <c r="D39" s="81"/>
      <c r="E39" s="79">
        <f>_xlfn.IFNA(VLOOKUP(封面!B1,一般公共预算财政拨款支出决算具体情况!A:M,13,FALSE),"")</f>
        <v>34695</v>
      </c>
      <c r="F39" s="79"/>
      <c r="G39" s="7" t="s">
        <v>179</v>
      </c>
      <c r="H39" s="83" t="s">
        <v>418</v>
      </c>
      <c r="I39" s="83"/>
      <c r="J39" s="79">
        <f>_xlfn.IFNA(VLOOKUP(封面!B1,一般公共预算财政拨款支出决算具体情况!A:N,14,FALSE),"")</f>
        <v>107440</v>
      </c>
      <c r="K39" s="79"/>
      <c r="L39" s="11" t="s">
        <v>178</v>
      </c>
    </row>
    <row r="40" spans="1:12" ht="18" customHeight="1">
      <c r="A40" s="14"/>
      <c r="B40" s="14" t="str">
        <f>IF(E39&gt;J39,"增加","减少")</f>
        <v>减少</v>
      </c>
      <c r="C40" s="79">
        <f>ABS(E39-J39)</f>
        <v>72745</v>
      </c>
      <c r="D40" s="79"/>
      <c r="E40" s="7" t="s">
        <v>179</v>
      </c>
      <c r="F40" s="14" t="str">
        <f>IF(E39&gt;J39,"增长","下降")</f>
        <v>下降</v>
      </c>
      <c r="G40" s="33">
        <f>IF(J39=0,IF(E39&gt;0,1,""),C40/J39)</f>
        <v>0.67707557706626953</v>
      </c>
      <c r="H40" s="7" t="s">
        <v>312</v>
      </c>
    </row>
    <row r="41" spans="1:12" ht="18.75">
      <c r="B41" s="85" t="s">
        <v>460</v>
      </c>
      <c r="C41" s="85"/>
      <c r="D41" s="85"/>
      <c r="E41" s="85"/>
      <c r="F41" s="85"/>
      <c r="G41" s="85"/>
      <c r="H41" s="85"/>
      <c r="I41" s="85"/>
      <c r="J41" s="85"/>
      <c r="K41" s="85"/>
      <c r="L41" s="85"/>
    </row>
    <row r="42" spans="1:12" ht="18" customHeight="1">
      <c r="A42" s="80" t="s">
        <v>421</v>
      </c>
      <c r="B42" s="80"/>
      <c r="C42" s="80"/>
      <c r="D42" s="80"/>
      <c r="E42" s="79">
        <f>_xlfn.IFNA(VLOOKUP(封面!B1,一般公共预算财政拨款支出决算具体情况!A:O,15,FALSE),"")</f>
        <v>444639</v>
      </c>
      <c r="F42" s="79"/>
      <c r="G42" s="7" t="s">
        <v>179</v>
      </c>
      <c r="H42" s="83" t="s">
        <v>418</v>
      </c>
      <c r="I42" s="83"/>
      <c r="J42" s="79">
        <f>_xlfn.IFNA(VLOOKUP(封面!B1,一般公共预算财政拨款支出决算具体情况!A:P,16,FALSE),"")</f>
        <v>444639</v>
      </c>
      <c r="K42" s="79"/>
      <c r="L42" s="11" t="s">
        <v>178</v>
      </c>
    </row>
    <row r="43" spans="1:12" ht="18" customHeight="1">
      <c r="A43" s="14"/>
      <c r="B43" s="14" t="str">
        <f>IF(E42&gt;J42,"增加","减少")</f>
        <v>减少</v>
      </c>
      <c r="C43" s="79">
        <f>ABS(E42-J42)</f>
        <v>0</v>
      </c>
      <c r="D43" s="79"/>
      <c r="E43" s="7" t="s">
        <v>179</v>
      </c>
      <c r="F43" s="14" t="str">
        <f>IF(E42&gt;J42,"增长","下降")</f>
        <v>下降</v>
      </c>
      <c r="G43" s="33">
        <f>IF(J42=0,IF(E42&gt;0,1,""),C43/J42)</f>
        <v>0</v>
      </c>
      <c r="H43" s="7" t="s">
        <v>312</v>
      </c>
    </row>
    <row r="44" spans="1:12" ht="18.75">
      <c r="B44" s="85" t="s">
        <v>461</v>
      </c>
      <c r="C44" s="85"/>
      <c r="D44" s="85"/>
      <c r="E44" s="85"/>
      <c r="F44" s="85"/>
      <c r="G44" s="85"/>
      <c r="H44" s="85"/>
      <c r="I44" s="85"/>
      <c r="J44" s="85"/>
      <c r="K44" s="85"/>
      <c r="L44" s="85"/>
    </row>
    <row r="45" spans="1:12" ht="18" customHeight="1">
      <c r="A45" s="86" t="s">
        <v>462</v>
      </c>
      <c r="B45" s="86"/>
      <c r="C45" s="86"/>
      <c r="D45" s="86"/>
      <c r="E45" s="79">
        <f>_xlfn.IFNA(VLOOKUP(封面!B1,一般公共预算财政拨款支出决算具体情况!A:W,23,FALSE),"")</f>
        <v>11217969.1</v>
      </c>
      <c r="F45" s="79"/>
      <c r="G45" s="7" t="s">
        <v>179</v>
      </c>
      <c r="H45" s="83" t="s">
        <v>418</v>
      </c>
      <c r="I45" s="83"/>
      <c r="J45" s="79">
        <f>_xlfn.IFNA(VLOOKUP(封面!B1,一般公共预算财政拨款支出决算具体情况!A:X,24,FALSE),"")</f>
        <v>12549522.16</v>
      </c>
      <c r="K45" s="79"/>
      <c r="L45" s="11" t="s">
        <v>178</v>
      </c>
    </row>
    <row r="46" spans="1:12" ht="18" customHeight="1">
      <c r="B46" s="14" t="str">
        <f>IF(E45&gt;J45,"增加","减少")</f>
        <v>减少</v>
      </c>
      <c r="C46" s="79">
        <f>ABS(E45-J45)</f>
        <v>1331553.0600000005</v>
      </c>
      <c r="D46" s="79"/>
      <c r="E46" s="7" t="s">
        <v>179</v>
      </c>
      <c r="F46" s="14" t="str">
        <f>IF(E45&gt;J45,"增长","下降")</f>
        <v>下降</v>
      </c>
      <c r="G46" s="33">
        <f>IF(J45=0,IF(E45&gt;0,1,""),C46/J45)</f>
        <v>0.10610388531319191</v>
      </c>
      <c r="H46" s="7" t="s">
        <v>312</v>
      </c>
      <c r="I46" s="11" t="s">
        <v>204</v>
      </c>
    </row>
    <row r="47" spans="1:12" ht="18" customHeight="1">
      <c r="A47" s="80" t="s">
        <v>422</v>
      </c>
      <c r="B47" s="80"/>
      <c r="C47" s="80"/>
      <c r="D47" s="80"/>
      <c r="E47" s="79">
        <f>_xlfn.IFNA(VLOOKUP(封面!B1,一般公共预算财政拨款支出决算具体情况!A:Y,25,FALSE),"")</f>
        <v>11217969.1</v>
      </c>
      <c r="F47" s="79"/>
      <c r="G47" s="7" t="s">
        <v>179</v>
      </c>
      <c r="H47" s="83" t="s">
        <v>418</v>
      </c>
      <c r="I47" s="83"/>
      <c r="J47" s="79">
        <f>_xlfn.IFNA(VLOOKUP(封面!B1,一般公共预算财政拨款支出决算具体情况!A:Z,26,FALSE),"")</f>
        <v>12549522.16</v>
      </c>
      <c r="K47" s="79"/>
      <c r="L47" s="11" t="s">
        <v>178</v>
      </c>
    </row>
    <row r="48" spans="1:12" ht="18" customHeight="1">
      <c r="A48" s="14"/>
      <c r="B48" s="14" t="str">
        <f>IF(E47&gt;J47,"增加","减少")</f>
        <v>减少</v>
      </c>
      <c r="C48" s="79">
        <f>ABS(E47-J47)</f>
        <v>1331553.0600000005</v>
      </c>
      <c r="D48" s="79"/>
      <c r="E48" s="7" t="s">
        <v>179</v>
      </c>
      <c r="F48" s="14" t="str">
        <f>IF(E47&gt;J47,"增长","下降")</f>
        <v>下降</v>
      </c>
      <c r="G48" s="33">
        <f>IF(J47=0,IF(E47&gt;0,1,""),C48/J47)</f>
        <v>0.10610388531319191</v>
      </c>
      <c r="H48" s="7" t="s">
        <v>312</v>
      </c>
    </row>
    <row r="49" spans="1:12" ht="18.75">
      <c r="B49" s="85" t="s">
        <v>466</v>
      </c>
      <c r="C49" s="85"/>
      <c r="D49" s="85"/>
      <c r="E49" s="85"/>
      <c r="F49" s="85"/>
      <c r="G49" s="85"/>
      <c r="H49" s="85"/>
      <c r="I49" s="85"/>
      <c r="J49" s="85"/>
      <c r="K49" s="85"/>
      <c r="L49" s="85"/>
    </row>
    <row r="50" spans="1:12" ht="18" customHeight="1">
      <c r="A50" s="86" t="s">
        <v>463</v>
      </c>
      <c r="B50" s="86"/>
      <c r="C50" s="86"/>
      <c r="D50" s="86"/>
      <c r="E50" s="79">
        <f>_xlfn.IFNA(VLOOKUP(封面!B1,一般公共预算财政拨款支出决算具体情况!A:AC,29,FALSE),"")</f>
        <v>4588122.47</v>
      </c>
      <c r="F50" s="79"/>
      <c r="G50" s="7" t="s">
        <v>179</v>
      </c>
      <c r="H50" s="83" t="s">
        <v>418</v>
      </c>
      <c r="I50" s="83"/>
      <c r="J50" s="79">
        <f>_xlfn.IFNA(VLOOKUP(封面!B1,一般公共预算财政拨款支出决算具体情况!A:AD,30,FALSE),"")</f>
        <v>4373849.32</v>
      </c>
      <c r="K50" s="79"/>
      <c r="L50" s="11" t="s">
        <v>178</v>
      </c>
    </row>
    <row r="51" spans="1:12" ht="18" customHeight="1">
      <c r="B51" s="14" t="str">
        <f>IF(E50&gt;J50,"增加","减少")</f>
        <v>增加</v>
      </c>
      <c r="C51" s="79">
        <f>ABS(E50-J50)</f>
        <v>214273.14999999944</v>
      </c>
      <c r="D51" s="79"/>
      <c r="E51" s="7" t="s">
        <v>179</v>
      </c>
      <c r="F51" s="14" t="str">
        <f>IF(E50&gt;J50,"增长","下降")</f>
        <v>增长</v>
      </c>
      <c r="G51" s="33">
        <f>IF(J50=0,IF(E50&gt;0,1,""),C51/J50)</f>
        <v>4.8989604881953142E-2</v>
      </c>
      <c r="H51" s="7" t="s">
        <v>312</v>
      </c>
      <c r="I51" s="11" t="s">
        <v>204</v>
      </c>
    </row>
    <row r="52" spans="1:12" ht="18" customHeight="1">
      <c r="A52" s="80" t="s">
        <v>423</v>
      </c>
      <c r="B52" s="80"/>
      <c r="C52" s="80"/>
      <c r="D52" s="80"/>
      <c r="E52" s="79">
        <f>_xlfn.IFNA(VLOOKUP(封面!B1,一般公共预算财政拨款支出决算具体情况!A:AE,31,FALSE),"")</f>
        <v>4588122.47</v>
      </c>
      <c r="F52" s="79"/>
      <c r="G52" s="7" t="s">
        <v>179</v>
      </c>
      <c r="H52" s="83" t="s">
        <v>418</v>
      </c>
      <c r="I52" s="83"/>
      <c r="J52" s="79">
        <f>_xlfn.IFNA(VLOOKUP(封面!B1,一般公共预算财政拨款支出决算具体情况!A:AF,32,FALSE),"")</f>
        <v>4373849.32</v>
      </c>
      <c r="K52" s="79"/>
      <c r="L52" s="11" t="s">
        <v>178</v>
      </c>
    </row>
    <row r="53" spans="1:12" ht="18" customHeight="1">
      <c r="A53" s="14"/>
      <c r="B53" s="14" t="str">
        <f>IF(E52&gt;J52,"增加","减少")</f>
        <v>增加</v>
      </c>
      <c r="C53" s="79">
        <f>ABS(E52-J52)</f>
        <v>214273.14999999944</v>
      </c>
      <c r="D53" s="79"/>
      <c r="E53" s="7" t="s">
        <v>179</v>
      </c>
      <c r="F53" s="14" t="str">
        <f>IF(E52&gt;J52,"增长","下降")</f>
        <v>增长</v>
      </c>
      <c r="G53" s="33">
        <f>IF(J52=0,IF(E52&gt;0,1,""),C53/J52)</f>
        <v>4.8989604881953142E-2</v>
      </c>
      <c r="H53" s="7" t="s">
        <v>312</v>
      </c>
    </row>
    <row r="54" spans="1:12" ht="18.75">
      <c r="B54" s="85" t="s">
        <v>459</v>
      </c>
      <c r="C54" s="85"/>
      <c r="D54" s="85"/>
      <c r="E54" s="85"/>
      <c r="F54" s="85"/>
      <c r="G54" s="85"/>
      <c r="H54" s="85"/>
      <c r="I54" s="85"/>
      <c r="J54" s="85"/>
      <c r="K54" s="85"/>
      <c r="L54" s="85"/>
    </row>
    <row r="55" spans="1:12" ht="18.75">
      <c r="A55" s="86" t="s">
        <v>464</v>
      </c>
      <c r="B55" s="86"/>
      <c r="C55" s="86"/>
      <c r="D55" s="86"/>
      <c r="E55" s="79">
        <f>_xlfn.IFNA(VLOOKUP(封面!B1,一般公共预算财政拨款支出决算具体情况!A:AK,37,FALSE),"")</f>
        <v>8439937</v>
      </c>
      <c r="F55" s="79"/>
      <c r="G55" s="7" t="s">
        <v>179</v>
      </c>
      <c r="H55" s="83" t="s">
        <v>418</v>
      </c>
      <c r="I55" s="83"/>
      <c r="J55" s="79">
        <f>_xlfn.IFNA(VLOOKUP(封面!B1,一般公共预算财政拨款支出决算具体情况!A:AL,38,FALSE),"")</f>
        <v>8237371.6799999997</v>
      </c>
      <c r="K55" s="79"/>
      <c r="L55" s="11" t="s">
        <v>178</v>
      </c>
    </row>
    <row r="56" spans="1:12" ht="18.75">
      <c r="B56" s="14" t="str">
        <f>IF(E55&gt;J55,"增加","减少")</f>
        <v>增加</v>
      </c>
      <c r="C56" s="79">
        <f>ABS(E55-J55)</f>
        <v>202565.3200000003</v>
      </c>
      <c r="D56" s="79"/>
      <c r="E56" s="7" t="s">
        <v>179</v>
      </c>
      <c r="F56" s="14" t="str">
        <f>IF(E55&gt;J55,"增长","下降")</f>
        <v>增长</v>
      </c>
      <c r="G56" s="33">
        <f>IF(J55=0,IF(E55&gt;0,1,""),C56/J55)</f>
        <v>2.4591013720046236E-2</v>
      </c>
      <c r="H56" s="7" t="s">
        <v>312</v>
      </c>
      <c r="I56" s="11" t="s">
        <v>204</v>
      </c>
    </row>
    <row r="57" spans="1:12" ht="18.75">
      <c r="A57" s="80" t="s">
        <v>424</v>
      </c>
      <c r="B57" s="80"/>
      <c r="C57" s="80"/>
      <c r="D57" s="80"/>
      <c r="E57" s="79">
        <f>_xlfn.IFNA(VLOOKUP(封面!B1,一般公共预算财政拨款支出决算具体情况!A:AM,39,FALSE),"")</f>
        <v>8439937</v>
      </c>
      <c r="F57" s="79"/>
      <c r="G57" s="7" t="s">
        <v>179</v>
      </c>
      <c r="H57" s="83" t="s">
        <v>418</v>
      </c>
      <c r="I57" s="83"/>
      <c r="J57" s="79">
        <f>_xlfn.IFNA(VLOOKUP(封面!B1,一般公共预算财政拨款支出决算具体情况!A:AN,40,FALSE),"")</f>
        <v>8237371.6799999997</v>
      </c>
      <c r="K57" s="79"/>
      <c r="L57" s="11" t="s">
        <v>178</v>
      </c>
    </row>
    <row r="58" spans="1:12" ht="18.75">
      <c r="A58" s="14"/>
      <c r="B58" s="14" t="str">
        <f>IF(E57&gt;J57,"增加","减少")</f>
        <v>增加</v>
      </c>
      <c r="C58" s="79">
        <f>ABS(E57-J57)</f>
        <v>202565.3200000003</v>
      </c>
      <c r="D58" s="79"/>
      <c r="E58" s="7" t="s">
        <v>179</v>
      </c>
      <c r="F58" s="14" t="str">
        <f>IF(E57&gt;J57,"增长","下降")</f>
        <v>增长</v>
      </c>
      <c r="G58" s="33">
        <f>IF(J57=0,IF(E57&gt;0,1,""),C58/J57)</f>
        <v>2.4591013720046236E-2</v>
      </c>
      <c r="H58" s="7" t="s">
        <v>312</v>
      </c>
    </row>
    <row r="59" spans="1:12" ht="18.75">
      <c r="B59" s="85" t="s">
        <v>459</v>
      </c>
      <c r="C59" s="85"/>
      <c r="D59" s="85"/>
      <c r="E59" s="85"/>
      <c r="F59" s="85"/>
      <c r="G59" s="85"/>
      <c r="H59" s="85"/>
      <c r="I59" s="85"/>
      <c r="J59" s="85"/>
      <c r="K59" s="85"/>
      <c r="L59" s="85"/>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425</v>
      </c>
      <c r="G65" s="79">
        <f>_xlfn.IFNA(VLOOKUP(封面!B1,'2021决算导出'!A:AA,27,FALSE),"")</f>
        <v>63447341.039999999</v>
      </c>
      <c r="H65" s="79"/>
      <c r="I65" s="11" t="s">
        <v>179</v>
      </c>
    </row>
    <row r="66" spans="1:13" ht="130.15" customHeight="1">
      <c r="A66" s="85" t="s">
        <v>209</v>
      </c>
      <c r="B66" s="85"/>
      <c r="C66" s="85"/>
      <c r="D66" s="85"/>
      <c r="E66" s="85"/>
      <c r="F66" s="85"/>
      <c r="G66" s="85"/>
      <c r="H66" s="85"/>
      <c r="I66" s="85"/>
      <c r="J66" s="85"/>
      <c r="K66" s="85"/>
      <c r="L66" s="85"/>
      <c r="M66" s="85"/>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A45:D45"/>
    <mergeCell ref="E45:F45"/>
    <mergeCell ref="H45:I45"/>
    <mergeCell ref="J45:K45"/>
    <mergeCell ref="A39:D39"/>
    <mergeCell ref="E39:F39"/>
    <mergeCell ref="H39:I39"/>
    <mergeCell ref="J39:K39"/>
    <mergeCell ref="C43:D43"/>
    <mergeCell ref="B44:L44"/>
    <mergeCell ref="C40:D40"/>
    <mergeCell ref="B41:L41"/>
    <mergeCell ref="A42:D42"/>
    <mergeCell ref="E42:F42"/>
    <mergeCell ref="H42:I42"/>
    <mergeCell ref="J42:K42"/>
    <mergeCell ref="A34:D34"/>
    <mergeCell ref="E34:F34"/>
    <mergeCell ref="H34:I34"/>
    <mergeCell ref="J34:K34"/>
    <mergeCell ref="D32:E32"/>
    <mergeCell ref="G32:H32"/>
    <mergeCell ref="A32:C32"/>
    <mergeCell ref="B38:L38"/>
    <mergeCell ref="C35:D35"/>
    <mergeCell ref="C37:D37"/>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1:M1"/>
    <mergeCell ref="A18:C18"/>
    <mergeCell ref="F18:G18"/>
    <mergeCell ref="A13:C13"/>
    <mergeCell ref="F13:G13"/>
    <mergeCell ref="A14:C14"/>
    <mergeCell ref="F14:G14"/>
    <mergeCell ref="A15:C15"/>
    <mergeCell ref="F15:G15"/>
    <mergeCell ref="C46:D46"/>
    <mergeCell ref="A47:D47"/>
    <mergeCell ref="A10:C10"/>
    <mergeCell ref="A11:C11"/>
    <mergeCell ref="F11:G11"/>
    <mergeCell ref="A12:C12"/>
    <mergeCell ref="F12:G12"/>
    <mergeCell ref="A8:C8"/>
    <mergeCell ref="A6:B6"/>
    <mergeCell ref="A17:C17"/>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426</v>
      </c>
      <c r="F4" s="79">
        <f>_xlfn.IFNA(VLOOKUP(封面!B1,'2021决算导出'!A:AB,28,FALSE),"")</f>
        <v>15434.64</v>
      </c>
      <c r="G4" s="79"/>
      <c r="H4" s="7" t="s">
        <v>179</v>
      </c>
      <c r="I4" s="7" t="s">
        <v>427</v>
      </c>
    </row>
    <row r="5" spans="1:14" ht="18" customHeight="1">
      <c r="A5" s="88">
        <f>_xlfn.IFNA(VLOOKUP(封面!B1,'2021决算导出'!A:AC,29,FALSE),"")</f>
        <v>27000</v>
      </c>
      <c r="B5" s="88"/>
      <c r="C5" s="7" t="s">
        <v>178</v>
      </c>
      <c r="D5" s="29" t="str">
        <f>IF(F4&gt;A5,"增加","减少")</f>
        <v>减少</v>
      </c>
      <c r="E5" s="88">
        <f>ABS(F4-A5)</f>
        <v>11565.36</v>
      </c>
      <c r="F5" s="88"/>
      <c r="G5" s="7" t="s">
        <v>212</v>
      </c>
    </row>
    <row r="6" spans="1:14" ht="18" customHeight="1">
      <c r="A6" s="7" t="s">
        <v>213</v>
      </c>
    </row>
    <row r="7" spans="1:14" ht="18" customHeight="1">
      <c r="A7" s="54" t="s">
        <v>428</v>
      </c>
      <c r="B7" s="18"/>
      <c r="C7" s="18"/>
      <c r="D7" s="18"/>
      <c r="E7" s="18"/>
      <c r="F7" s="18"/>
      <c r="G7" s="18"/>
      <c r="H7" s="18"/>
      <c r="I7" s="18"/>
      <c r="J7" s="18"/>
      <c r="K7" s="18"/>
      <c r="L7" s="18"/>
      <c r="M7" s="18"/>
      <c r="N7" s="18"/>
    </row>
    <row r="8" spans="1:14" ht="18" customHeight="1">
      <c r="A8" s="7" t="s">
        <v>214</v>
      </c>
    </row>
    <row r="9" spans="1:14" ht="39" customHeight="1">
      <c r="A9" s="87" t="s">
        <v>429</v>
      </c>
      <c r="B9" s="87"/>
      <c r="C9" s="87"/>
      <c r="D9" s="87"/>
      <c r="E9" s="87"/>
      <c r="F9" s="87"/>
      <c r="G9" s="87"/>
      <c r="H9" s="87"/>
      <c r="I9" s="87"/>
      <c r="J9" s="87"/>
      <c r="K9" s="87"/>
      <c r="L9" s="87"/>
      <c r="M9" s="87"/>
      <c r="N9" s="87"/>
    </row>
    <row r="10" spans="1:14" ht="18" customHeight="1">
      <c r="A10" s="7" t="s">
        <v>215</v>
      </c>
    </row>
    <row r="11" spans="1:14" ht="18" customHeight="1">
      <c r="A11" s="81" t="s">
        <v>430</v>
      </c>
      <c r="B11" s="81"/>
      <c r="C11" s="34">
        <f>_xlfn.IFNA(VLOOKUP(封面!B1,'2021决算导出'!A:AI,35,FALSE),"")</f>
        <v>15434.64</v>
      </c>
      <c r="D11" s="7" t="s">
        <v>179</v>
      </c>
      <c r="E11" s="81" t="s">
        <v>431</v>
      </c>
      <c r="F11" s="81"/>
      <c r="G11" s="81"/>
      <c r="H11" s="88">
        <f>_xlfn.IFNA(VLOOKUP(封面!B1,'2021决算导出'!A:AJ,36,FALSE),"")</f>
        <v>27000</v>
      </c>
      <c r="I11" s="88"/>
      <c r="J11" s="15" t="s">
        <v>178</v>
      </c>
      <c r="K11" s="29" t="str">
        <f>IF(C11&gt;H11,"增加","减少")</f>
        <v>减少</v>
      </c>
      <c r="L11" s="88">
        <f>ABS(C11-H11)</f>
        <v>11565.36</v>
      </c>
      <c r="M11" s="88"/>
      <c r="N11" s="7" t="s">
        <v>211</v>
      </c>
    </row>
    <row r="12" spans="1:14" ht="18" customHeight="1">
      <c r="A12" s="81" t="s">
        <v>432</v>
      </c>
      <c r="B12" s="81"/>
      <c r="C12" s="81"/>
      <c r="D12" s="81"/>
      <c r="E12" s="81"/>
      <c r="F12" s="88">
        <f>_xlfn.IFNA(VLOOKUP(封面!B1,'2021决算导出'!A:AK,37,FALSE),"")</f>
        <v>0</v>
      </c>
      <c r="G12" s="88"/>
      <c r="H12" s="16" t="s">
        <v>179</v>
      </c>
      <c r="I12" s="81" t="s">
        <v>431</v>
      </c>
      <c r="J12" s="81"/>
      <c r="K12" s="81"/>
      <c r="L12" s="88">
        <f>_xlfn.IFNA(VLOOKUP(封面!B1,'2021决算导出'!A:AL,38,FALSE),"")</f>
        <v>0</v>
      </c>
      <c r="M12" s="88"/>
      <c r="N12" s="7" t="s">
        <v>178</v>
      </c>
    </row>
    <row r="13" spans="1:14" ht="18" customHeight="1">
      <c r="A13" s="14" t="str">
        <f>IF(F12&gt;L12,"增加","减少")</f>
        <v>减少</v>
      </c>
      <c r="B13" s="88">
        <f>ABS(F12-L12)</f>
        <v>0</v>
      </c>
      <c r="C13" s="88"/>
      <c r="D13" s="7" t="s">
        <v>211</v>
      </c>
      <c r="H13" s="88"/>
      <c r="I13" s="88"/>
      <c r="J13" s="15"/>
    </row>
    <row r="14" spans="1:14" ht="42" customHeight="1">
      <c r="A14" s="85" t="s">
        <v>465</v>
      </c>
      <c r="B14" s="85"/>
      <c r="C14" s="85"/>
      <c r="D14" s="85"/>
      <c r="E14" s="85"/>
      <c r="F14" s="85"/>
      <c r="G14" s="85"/>
      <c r="H14" s="85"/>
      <c r="I14" s="85"/>
      <c r="J14" s="85"/>
      <c r="K14" s="85"/>
      <c r="L14" s="85"/>
      <c r="M14" s="85"/>
      <c r="N14" s="85"/>
    </row>
    <row r="15" spans="1:14" ht="18" customHeight="1">
      <c r="A15" s="81" t="s">
        <v>433</v>
      </c>
      <c r="B15" s="81"/>
      <c r="C15" s="81"/>
      <c r="D15" s="8">
        <f>_xlfn.IFNA(VLOOKUP(封面!B1,'2021决算导出'!A:AM,39,FALSE),"")</f>
        <v>0</v>
      </c>
      <c r="E15" s="7" t="s">
        <v>216</v>
      </c>
      <c r="F15" s="81" t="s">
        <v>217</v>
      </c>
      <c r="G15" s="81"/>
      <c r="H15" s="88">
        <f>IF(D15=0,0,F12/D15)</f>
        <v>0</v>
      </c>
      <c r="I15" s="88"/>
      <c r="J15" s="7" t="s">
        <v>211</v>
      </c>
    </row>
    <row r="16" spans="1:14" ht="18" customHeight="1">
      <c r="A16" s="83" t="s">
        <v>434</v>
      </c>
      <c r="B16" s="83"/>
      <c r="C16" s="83"/>
      <c r="D16" s="83"/>
      <c r="E16" s="83"/>
      <c r="F16" s="88">
        <f>_xlfn.IFNA(VLOOKUP(封面!B1,'2021决算导出'!A:AO,41,FALSE),"")</f>
        <v>15434.64</v>
      </c>
      <c r="G16" s="88" t="s">
        <v>179</v>
      </c>
      <c r="H16" s="7" t="s">
        <v>179</v>
      </c>
      <c r="I16" s="7" t="s">
        <v>431</v>
      </c>
      <c r="L16" s="88">
        <f>_xlfn.IFNA(VLOOKUP(封面!B1,'2021决算导出'!A:AP,42,FALSE),"")</f>
        <v>27000</v>
      </c>
      <c r="M16" s="88" t="s">
        <v>179</v>
      </c>
      <c r="N16" s="7" t="s">
        <v>179</v>
      </c>
    </row>
    <row r="17" spans="1:14" ht="18" customHeight="1">
      <c r="A17" s="14" t="str">
        <f>IF(F16&gt;L16,"增加","减少")</f>
        <v>减少</v>
      </c>
      <c r="B17" s="88">
        <f>ABS(F16-L16)</f>
        <v>11565.36</v>
      </c>
      <c r="C17" s="88"/>
      <c r="D17" s="7" t="s">
        <v>211</v>
      </c>
    </row>
    <row r="18" spans="1:14" ht="36" customHeight="1">
      <c r="A18" s="85" t="s">
        <v>218</v>
      </c>
      <c r="B18" s="85"/>
      <c r="C18" s="85"/>
      <c r="D18" s="85"/>
      <c r="E18" s="85"/>
      <c r="F18" s="85"/>
      <c r="G18" s="85"/>
      <c r="H18" s="85"/>
      <c r="I18" s="85"/>
      <c r="J18" s="85"/>
      <c r="K18" s="85"/>
      <c r="L18" s="85"/>
      <c r="M18" s="85"/>
      <c r="N18" s="85"/>
    </row>
    <row r="19" spans="1:14" ht="18" customHeight="1">
      <c r="A19" s="81" t="s">
        <v>435</v>
      </c>
      <c r="B19" s="81"/>
      <c r="C19" s="81"/>
      <c r="D19" s="81"/>
      <c r="E19" s="81"/>
      <c r="F19" s="81"/>
      <c r="G19" s="88">
        <f>_xlfn.IFNA(VLOOKUP(封面!B1,'2021决算导出'!A:AQ,43,FALSE),"")</f>
        <v>10000</v>
      </c>
      <c r="H19" s="88" t="s">
        <v>179</v>
      </c>
      <c r="I19" s="7" t="s">
        <v>179</v>
      </c>
      <c r="J19" s="7" t="s">
        <v>219</v>
      </c>
      <c r="L19" s="88">
        <f>_xlfn.IFNA(VLOOKUP(封面!B1,'2021决算导出'!A:AR,44,FALSE),"")</f>
        <v>1934.9</v>
      </c>
      <c r="M19" s="88" t="s">
        <v>179</v>
      </c>
      <c r="N19" s="7" t="s">
        <v>179</v>
      </c>
    </row>
    <row r="20" spans="1:14" ht="18" customHeight="1">
      <c r="A20" s="81" t="s">
        <v>220</v>
      </c>
      <c r="B20" s="81"/>
      <c r="C20" s="88">
        <f>_xlfn.IFNA(VLOOKUP(封面!B1,'2021决算导出'!A:AS,45,FALSE),"")</f>
        <v>2419.7399999999998</v>
      </c>
      <c r="D20" s="88" t="s">
        <v>179</v>
      </c>
      <c r="E20" s="7" t="s">
        <v>179</v>
      </c>
      <c r="F20" s="81" t="s">
        <v>221</v>
      </c>
      <c r="G20" s="81"/>
      <c r="H20" s="81"/>
      <c r="I20" s="88">
        <f>_xlfn.IFNA(VLOOKUP(封面!B1,'2021决算导出'!A:AT,46,FALSE),"")</f>
        <v>1080</v>
      </c>
      <c r="J20" s="88" t="s">
        <v>179</v>
      </c>
      <c r="K20" s="7" t="s">
        <v>211</v>
      </c>
    </row>
    <row r="21" spans="1:14" ht="18" customHeight="1">
      <c r="A21" s="81" t="s">
        <v>436</v>
      </c>
      <c r="B21" s="81"/>
      <c r="C21" s="81"/>
      <c r="D21" s="8">
        <f>_xlfn.IFNA(VLOOKUP(封面!B1,'2021决算导出'!A:AU,47,FALSE),"")</f>
        <v>1</v>
      </c>
      <c r="E21" s="84" t="s">
        <v>403</v>
      </c>
      <c r="F21" s="84"/>
      <c r="G21" s="84"/>
      <c r="H21" s="84"/>
      <c r="I21" s="84"/>
      <c r="J21" s="84"/>
      <c r="K21" s="84"/>
      <c r="L21" s="84"/>
      <c r="M21" s="53">
        <f>F16/D21</f>
        <v>15434.64</v>
      </c>
      <c r="N21" s="7" t="s">
        <v>211</v>
      </c>
    </row>
    <row r="22" spans="1:14" ht="18" customHeight="1">
      <c r="A22" s="6" t="s">
        <v>222</v>
      </c>
    </row>
    <row r="23" spans="1:14" ht="18" customHeight="1">
      <c r="A23" s="7" t="s">
        <v>223</v>
      </c>
    </row>
    <row r="24" spans="1:14" ht="18" customHeight="1">
      <c r="A24" s="6" t="s">
        <v>224</v>
      </c>
    </row>
    <row r="25" spans="1:14" ht="18" customHeight="1">
      <c r="A25" s="81" t="s">
        <v>437</v>
      </c>
      <c r="B25" s="81"/>
      <c r="C25" s="81"/>
      <c r="D25" s="81"/>
      <c r="E25" s="79">
        <f>_xlfn.IFNA(VLOOKUP(封面!B1,'2021决算导出'!A:AW,49,FALSE),"")</f>
        <v>531557</v>
      </c>
      <c r="F25" s="79"/>
      <c r="G25" s="7" t="s">
        <v>179</v>
      </c>
      <c r="H25" s="81" t="s">
        <v>225</v>
      </c>
      <c r="I25" s="81"/>
      <c r="J25" s="81"/>
      <c r="K25" s="81"/>
      <c r="L25" s="79">
        <f>_xlfn.IFNA(VLOOKUP(封面!B1,'2021决算导出'!A:AX,50,FALSE),"")</f>
        <v>25557</v>
      </c>
      <c r="M25" s="79" t="s">
        <v>179</v>
      </c>
      <c r="N25" s="7" t="s">
        <v>179</v>
      </c>
    </row>
    <row r="26" spans="1:14" ht="18" customHeight="1">
      <c r="A26" s="81" t="s">
        <v>226</v>
      </c>
      <c r="B26" s="81"/>
      <c r="C26" s="81"/>
      <c r="D26" s="79">
        <f>_xlfn.IFNA(VLOOKUP(封面!B1,'2021决算导出'!A:AY,51,FALSE),"")</f>
        <v>0</v>
      </c>
      <c r="E26" s="79" t="s">
        <v>179</v>
      </c>
      <c r="F26" s="7" t="s">
        <v>179</v>
      </c>
      <c r="G26" s="81" t="s">
        <v>227</v>
      </c>
      <c r="H26" s="81"/>
      <c r="I26" s="81"/>
      <c r="J26" s="79">
        <f>_xlfn.IFNA(VLOOKUP(封面!B1,'2021决算导出'!A:AZ,52,FALSE),"")</f>
        <v>506000</v>
      </c>
      <c r="K26" s="79" t="s">
        <v>179</v>
      </c>
      <c r="L26" s="7" t="s">
        <v>211</v>
      </c>
    </row>
    <row r="27" spans="1:14" ht="18" customHeight="1">
      <c r="A27" s="81" t="s">
        <v>228</v>
      </c>
      <c r="B27" s="81"/>
      <c r="C27" s="81"/>
      <c r="D27" s="81"/>
      <c r="E27" s="79">
        <f>_xlfn.IFNA(VLOOKUP(封面!B1,'2021决算导出'!A:BA,53,FALSE),"")</f>
        <v>0</v>
      </c>
      <c r="F27" s="79" t="s">
        <v>179</v>
      </c>
      <c r="G27" s="7" t="s">
        <v>179</v>
      </c>
      <c r="H27" s="83" t="s">
        <v>229</v>
      </c>
      <c r="I27" s="83"/>
      <c r="J27" s="83"/>
      <c r="K27" s="28">
        <f>E27/$E$25</f>
        <v>0</v>
      </c>
      <c r="L27" s="17" t="s">
        <v>310</v>
      </c>
      <c r="M27" s="7" t="s">
        <v>404</v>
      </c>
    </row>
    <row r="28" spans="1:14" ht="18" customHeight="1">
      <c r="A28" s="81" t="s">
        <v>230</v>
      </c>
      <c r="B28" s="81"/>
      <c r="C28" s="81"/>
      <c r="D28" s="81"/>
      <c r="E28" s="79">
        <f>_xlfn.IFNA(VLOOKUP(封面!B1,'2021决算导出'!A:BB,54,FALSE),"")</f>
        <v>0</v>
      </c>
      <c r="F28" s="79" t="s">
        <v>179</v>
      </c>
      <c r="G28" s="7" t="s">
        <v>179</v>
      </c>
      <c r="H28" s="83" t="s">
        <v>229</v>
      </c>
      <c r="I28" s="83"/>
      <c r="J28" s="83"/>
      <c r="K28" s="28">
        <f>E28/$E$25</f>
        <v>0</v>
      </c>
      <c r="L28" s="17" t="s">
        <v>312</v>
      </c>
    </row>
    <row r="29" spans="1:14" ht="18" customHeight="1">
      <c r="A29" s="6" t="s">
        <v>231</v>
      </c>
    </row>
    <row r="30" spans="1:14" ht="18" customHeight="1">
      <c r="A30" s="81" t="s">
        <v>438</v>
      </c>
      <c r="B30" s="81"/>
      <c r="C30" s="8">
        <f>_xlfn.IFNA(VLOOKUP(封面!B1,'2021决算导出'!A:BC,55,FALSE),"")</f>
        <v>1</v>
      </c>
      <c r="D30" s="7" t="s">
        <v>232</v>
      </c>
      <c r="M30" s="88">
        <f>_xlfn.IFNA(VLOOKUP(封面!B1,'2021决算导出'!A:BD,56,FALSE),"")</f>
        <v>257905</v>
      </c>
      <c r="N30" s="88" t="s">
        <v>179</v>
      </c>
    </row>
    <row r="31" spans="1:14" ht="18" customHeight="1">
      <c r="A31" s="12" t="s">
        <v>233</v>
      </c>
      <c r="B31" s="81" t="s">
        <v>234</v>
      </c>
      <c r="C31" s="81"/>
      <c r="D31" s="81"/>
      <c r="E31" s="81"/>
      <c r="F31" s="81"/>
      <c r="G31" s="8">
        <f>_xlfn.IFNA(VLOOKUP(封面!B1,'2021决算导出'!A:BE,57,FALSE),"")</f>
        <v>1</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5" t="s">
        <v>453</v>
      </c>
      <c r="B36" s="85"/>
      <c r="C36" s="85"/>
      <c r="D36" s="85"/>
      <c r="E36" s="85"/>
      <c r="F36" s="85"/>
      <c r="G36" s="85"/>
      <c r="H36" s="85"/>
      <c r="I36" s="85"/>
      <c r="J36" s="85"/>
      <c r="K36" s="85"/>
      <c r="L36" s="85"/>
      <c r="M36" s="85"/>
      <c r="N36" s="85"/>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24" sqref="G24"/>
    </sheetView>
  </sheetViews>
  <sheetFormatPr defaultRowHeight="14.25"/>
  <sheetData>
    <row r="10" spans="1:14" ht="54.6" customHeight="1">
      <c r="A10" s="77" t="s">
        <v>455</v>
      </c>
      <c r="B10" s="77"/>
      <c r="C10" s="77"/>
      <c r="D10" s="77"/>
      <c r="E10" s="77"/>
      <c r="F10" s="77"/>
      <c r="G10" s="77"/>
      <c r="H10" s="77"/>
      <c r="I10" s="77"/>
      <c r="J10" s="77"/>
      <c r="K10" s="77"/>
      <c r="L10" s="77"/>
      <c r="M10" s="77"/>
      <c r="N10" s="77"/>
    </row>
    <row r="11" spans="1:14" ht="78" customHeight="1">
      <c r="A11" s="78" t="s">
        <v>456</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439</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444</v>
      </c>
      <c r="X1" s="56" t="s">
        <v>445</v>
      </c>
      <c r="Y1" s="21" t="s">
        <v>446</v>
      </c>
      <c r="Z1" s="21" t="s">
        <v>440</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441</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442</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443</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451</v>
      </c>
      <c r="T1" s="72" t="s">
        <v>452</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442</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443</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447</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447</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441</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441</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441</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441</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441</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441</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441</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441</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441</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441</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441</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447</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447</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442</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442</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442</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442</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442</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442</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443</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443</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443</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443</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443</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443</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447</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447</v>
      </c>
      <c r="B23" s="70">
        <v>2060499</v>
      </c>
      <c r="C23" s="70" t="s">
        <v>448</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449</v>
      </c>
      <c r="B34" s="70">
        <v>2120801</v>
      </c>
      <c r="C34" s="70" t="s">
        <v>448</v>
      </c>
      <c r="D34" s="70" t="s">
        <v>450</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2022-09-02T00:59:34Z</dcterms:modified>
</cp:coreProperties>
</file>