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青\决算\2021年决算\255020外事学校决算公开（上交版）\"/>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9" i="5"/>
  <c r="A77" i="5"/>
  <c r="J73" i="5"/>
  <c r="E73" i="5"/>
  <c r="J71" i="5"/>
  <c r="E71" i="5"/>
  <c r="J69" i="5"/>
  <c r="E69" i="5"/>
  <c r="J67" i="5"/>
  <c r="J62" i="5"/>
  <c r="E67" i="5"/>
  <c r="J64" i="5"/>
  <c r="E64" i="5"/>
  <c r="E62" i="5"/>
  <c r="E60" i="5"/>
  <c r="J57" i="5"/>
  <c r="E57" i="5"/>
  <c r="J55" i="5"/>
  <c r="E55" i="5"/>
  <c r="E54" i="5"/>
  <c r="E53"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8" i="5" l="1"/>
  <c r="G68" i="5" s="1"/>
  <c r="F70" i="5"/>
  <c r="B70" i="5"/>
  <c r="C70" i="5"/>
  <c r="G70" i="5" s="1"/>
  <c r="F68" i="5"/>
  <c r="B68" i="5"/>
  <c r="H10" i="5"/>
  <c r="K10" i="5" s="1"/>
  <c r="G10" i="5"/>
  <c r="G89" i="5"/>
  <c r="J82" i="5"/>
  <c r="E82" i="5"/>
  <c r="D80"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2" i="5" l="1"/>
  <c r="J50" i="5"/>
  <c r="E50" i="5"/>
  <c r="J47" i="5"/>
  <c r="E47" i="5"/>
  <c r="J45" i="5"/>
  <c r="E45" i="5"/>
  <c r="J42" i="5"/>
  <c r="E42" i="5"/>
  <c r="J39" i="5"/>
  <c r="E39" i="5"/>
  <c r="J36" i="5"/>
  <c r="E36" i="5"/>
  <c r="J34" i="5"/>
  <c r="E34" i="5"/>
  <c r="B74" i="5" l="1"/>
  <c r="F58" i="5"/>
  <c r="C63" i="5"/>
  <c r="G63" i="5" s="1"/>
  <c r="C72" i="5"/>
  <c r="G72" i="5" s="1"/>
  <c r="F35" i="5"/>
  <c r="F40" i="5"/>
  <c r="F46" i="5"/>
  <c r="F65" i="5"/>
  <c r="C74" i="5"/>
  <c r="G74" i="5" s="1"/>
  <c r="F74" i="5"/>
  <c r="F72" i="5"/>
  <c r="B72" i="5"/>
  <c r="B65" i="5"/>
  <c r="C65" i="5"/>
  <c r="G65" i="5" s="1"/>
  <c r="F63" i="5"/>
  <c r="B63" i="5"/>
  <c r="C58" i="5"/>
  <c r="G58" i="5" s="1"/>
  <c r="F37" i="5"/>
  <c r="F43" i="5"/>
  <c r="F48" i="5"/>
  <c r="F56" i="5"/>
  <c r="B58" i="5"/>
  <c r="B56" i="5"/>
  <c r="C56" i="5"/>
  <c r="G56" i="5" s="1"/>
  <c r="C43" i="5"/>
  <c r="G43" i="5" s="1"/>
  <c r="C51" i="5"/>
  <c r="G51" i="5" s="1"/>
  <c r="C35" i="5"/>
  <c r="G35" i="5" s="1"/>
  <c r="B51" i="5"/>
  <c r="F51" i="5"/>
  <c r="B48" i="5"/>
  <c r="C48" i="5"/>
  <c r="G48"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4" i="5" l="1"/>
  <c r="K11" i="6" l="1"/>
  <c r="I31" i="5"/>
  <c r="L11" i="6"/>
  <c r="F83" i="5"/>
  <c r="F85" i="5" s="1"/>
  <c r="E5" i="6"/>
  <c r="D5" i="6"/>
  <c r="H12" i="5"/>
  <c r="H19" i="5"/>
  <c r="H11" i="5"/>
  <c r="H20" i="5"/>
  <c r="H14" i="5"/>
  <c r="H15" i="5"/>
  <c r="C83" i="5"/>
  <c r="G83" i="5" s="1"/>
  <c r="E84" i="5"/>
  <c r="B83" i="5"/>
  <c r="B85" i="5" s="1"/>
  <c r="H13" i="5"/>
  <c r="H18" i="5"/>
  <c r="I27" i="5"/>
  <c r="I30" i="5"/>
  <c r="I29" i="5"/>
  <c r="I32" i="5"/>
  <c r="I28" i="5"/>
  <c r="C85" i="5" l="1"/>
  <c r="G85" i="5" s="1"/>
</calcChain>
</file>

<file path=xl/sharedStrings.xml><?xml version="1.0" encoding="utf-8"?>
<sst xmlns="http://schemas.openxmlformats.org/spreadsheetml/2006/main" count="4855" uniqueCount="489">
  <si>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</si>
  <si>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</si>
  <si>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</si>
  <si>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</si>
  <si>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</si>
  <si>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</si>
  <si>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</si>
  <si>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</si>
  <si>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</si>
  <si>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</si>
  <si>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</si>
  <si>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</si>
  <si>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</si>
  <si>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</si>
  <si>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</si>
  <si>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</si>
  <si>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</si>
  <si>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</si>
  <si>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</si>
  <si>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</si>
  <si>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</si>
  <si>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</si>
  <si>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</si>
  <si>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</si>
  <si>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</si>
  <si>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</si>
  <si>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</si>
  <si>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</si>
  <si>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</si>
  <si>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</si>
  <si>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</si>
  <si>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</si>
  <si>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</si>
  <si>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</si>
  <si>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</si>
  <si>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</si>
  <si>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</si>
  <si>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</si>
  <si>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</si>
  <si>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</si>
  <si>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</si>
  <si>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</si>
  <si>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</si>
  <si>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</si>
  <si>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</si>
  <si>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</si>
  <si>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</si>
  <si>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</si>
  <si>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</si>
  <si>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</si>
  <si>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</si>
  <si>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</si>
  <si>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</si>
  <si>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</si>
  <si>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</si>
  <si>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</si>
  <si>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</si>
  <si>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</si>
  <si>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</si>
  <si>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</si>
  <si>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</si>
  <si>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</si>
  <si>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</si>
  <si>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</si>
  <si>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</si>
  <si>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</si>
  <si>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</si>
  <si>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</si>
  <si>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</si>
  <si>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</si>
  <si>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</si>
  <si>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</si>
  <si>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</si>
  <si>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</si>
  <si>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</si>
  <si>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</si>
  <si>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</si>
  <si>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</si>
  <si>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</si>
  <si>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</si>
  <si>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</si>
  <si>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</si>
  <si>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</si>
  <si>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</si>
  <si>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</si>
  <si>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</si>
  <si>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</si>
  <si>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</si>
  <si>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</si>
  <si>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</si>
  <si>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</si>
  <si>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</si>
  <si>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</si>
  <si>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</si>
  <si>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</si>
  <si>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</si>
  <si>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</si>
  <si>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</si>
  <si>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</si>
  <si>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</si>
  <si>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</si>
  <si>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</si>
  <si>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</si>
  <si>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</si>
  <si>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</si>
  <si>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</si>
  <si>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</si>
  <si>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</si>
  <si>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</si>
  <si>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</si>
  <si>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</si>
  <si>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</si>
  <si>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</si>
  <si>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</si>
  <si>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</si>
  <si>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</si>
  <si>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</si>
  <si>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</si>
  <si>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</si>
  <si>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</si>
  <si>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</si>
  <si>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</si>
  <si>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</si>
  <si>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</si>
  <si>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</si>
  <si>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</si>
  <si>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</si>
  <si>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</si>
  <si>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</si>
  <si>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</si>
  <si>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</si>
  <si>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</si>
  <si>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</si>
  <si>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</si>
  <si>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</si>
  <si>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</si>
  <si>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</si>
  <si>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</si>
  <si>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</si>
  <si>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</si>
  <si>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</si>
  <si>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</si>
  <si>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</si>
  <si>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</si>
  <si>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</si>
  <si>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</si>
  <si>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</si>
  <si>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</si>
  <si>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</si>
  <si>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</si>
  <si>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</si>
  <si>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</si>
  <si>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</si>
  <si>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</si>
  <si>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</si>
  <si>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</si>
  <si>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</si>
  <si>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</si>
  <si>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</si>
  <si>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</si>
  <si>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</si>
  <si>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</si>
  <si>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</si>
  <si>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</si>
  <si>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</si>
  <si>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</si>
  <si>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</si>
  <si>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</si>
  <si>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</si>
  <si>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</si>
  <si>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</si>
  <si>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</si>
  <si>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</si>
  <si>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</si>
  <si>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</si>
  <si>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</si>
  <si>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</si>
  <si>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</si>
  <si>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</si>
  <si>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</si>
  <si>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</si>
  <si>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</si>
  <si>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</si>
  <si>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</si>
  <si>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</si>
  <si>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</si>
  <si>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</si>
  <si>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</si>
  <si>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</si>
  <si>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</si>
  <si>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</si>
  <si>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</si>
  <si>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</si>
  <si>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</si>
  <si>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</si>
  <si>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</si>
  <si>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</si>
  <si>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</si>
  <si>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</si>
  <si>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</si>
  <si>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</si>
  <si>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</si>
  <si>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</si>
  <si>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</si>
  <si>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</si>
  <si>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</si>
  <si>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</si>
  <si>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</si>
  <si>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</si>
  <si>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</si>
  <si>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</si>
  <si>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</si>
  <si>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</si>
  <si>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</si>
  <si>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</si>
  <si>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</si>
  <si>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</si>
  <si>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</si>
  <si>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</si>
  <si>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</si>
  <si>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</si>
  <si>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</si>
  <si>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</si>
  <si>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</si>
  <si>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</si>
  <si>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</si>
  <si>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</si>
  <si>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</si>
  <si>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</si>
  <si>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</si>
  <si>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</si>
  <si>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</si>
  <si>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</si>
  <si>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</si>
  <si>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</si>
  <si>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</si>
  <si>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</si>
  <si>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</si>
  <si>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</si>
  <si>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</si>
  <si>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</si>
  <si>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</si>
  <si>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</si>
  <si>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</si>
  <si>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</si>
  <si>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</si>
  <si>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</si>
  <si>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</si>
  <si>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</si>
  <si>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</si>
  <si>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</si>
  <si>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</si>
  <si>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</si>
  <si>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</si>
  <si>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</si>
  <si>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</si>
  <si>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</si>
  <si>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</si>
  <si>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</si>
  <si>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</si>
  <si>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</si>
  <si>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</si>
  <si>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</si>
  <si>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</si>
  <si>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</si>
  <si>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</si>
  <si>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</si>
  <si>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</si>
  <si>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</si>
  <si>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</si>
  <si>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</si>
  <si>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</si>
  <si>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</si>
  <si>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</si>
  <si>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</si>
  <si>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</si>
  <si>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</si>
  <si>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</si>
  <si>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</si>
  <si>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</si>
  <si>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</si>
  <si>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</si>
  <si>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</si>
  <si>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</si>
  <si>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</si>
  <si>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</si>
  <si>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</si>
  <si>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</si>
  <si>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</si>
  <si>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</si>
  <si>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</si>
  <si>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</si>
  <si>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</si>
  <si>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</si>
  <si>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</si>
  <si>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</si>
  <si>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</si>
  <si>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</si>
  <si>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</si>
  <si>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</si>
  <si>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</si>
  <si>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</si>
  <si>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</si>
  <si>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</si>
  <si>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</si>
  <si>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</si>
  <si>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</si>
  <si>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</si>
  <si>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</si>
  <si>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</si>
  <si>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</si>
  <si>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</si>
  <si>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</si>
  <si>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</si>
  <si>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</si>
  <si>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</si>
  <si>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</si>
  <si>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</si>
  <si>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</si>
  <si>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</si>
  <si>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</si>
  <si>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</si>
  <si>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</si>
  <si>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</si>
  <si>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</si>
  <si>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</si>
  <si>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</si>
  <si>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</si>
  <si>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</si>
  <si>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</si>
  <si>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</si>
  <si>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</si>
  <si>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</si>
  <si>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</si>
  <si>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</si>
  <si>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</si>
  <si>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</si>
  <si>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</si>
  <si>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</si>
  <si>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</si>
  <si>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</si>
  <si>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</si>
  <si>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</si>
  <si>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</si>
  <si>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</si>
  <si>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</si>
  <si>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</si>
  <si>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</si>
  <si>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</si>
  <si>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</si>
  <si>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</si>
  <si>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</si>
  <si>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</si>
  <si>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</si>
  <si>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</si>
  <si>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</si>
  <si>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</si>
  <si>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</si>
  <si>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</si>
  <si>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</si>
  <si>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</si>
  <si>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</si>
  <si>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</si>
  <si>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</si>
  <si>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</si>
  <si>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</si>
  <si>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</si>
  <si>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</si>
  <si>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</si>
  <si>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</si>
  <si>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</si>
  <si>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</si>
  <si>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</si>
  <si>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</si>
  <si>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</si>
  <si>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</si>
  <si>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</si>
  <si>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</si>
  <si>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</si>
  <si>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</si>
  <si>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</si>
  <si>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</si>
  <si>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</si>
  <si>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</si>
  <si>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</si>
  <si>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</si>
  <si>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</si>
  <si>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</si>
  <si>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</si>
  <si>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</si>
  <si>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</si>
  <si>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</si>
  <si>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</si>
  <si>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</si>
  <si>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</si>
  <si>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</si>
  <si>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</si>
  <si>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</si>
  <si>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</si>
  <si>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</si>
  <si>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</si>
  <si>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</si>
  <si>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</si>
  <si>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</si>
  <si>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</si>
  <si>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</si>
  <si>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</si>
  <si>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</si>
  <si>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</si>
  <si>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</si>
  <si>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</si>
  <si>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</si>
  <si>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</si>
  <si>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</si>
  <si>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</si>
  <si>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</si>
  <si>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</si>
  <si>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</si>
  <si>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</si>
  <si>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</si>
  <si>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</si>
  <si>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</si>
  <si>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</si>
  <si>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</si>
  <si>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</si>
  <si>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</si>
  <si>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</si>
  <si>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</si>
  <si>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</si>
  <si>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</si>
  <si>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</si>
  <si>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</si>
  <si>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</si>
  <si>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</si>
  <si>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</si>
  <si>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</si>
  <si>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</si>
  <si>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</si>
  <si>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</si>
  <si>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</si>
  <si>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</si>
  <si>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</si>
  <si>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</si>
  <si>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</si>
  <si>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</si>
  <si>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</si>
  <si>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</si>
  <si>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</si>
  <si>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</si>
  <si>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</si>
  <si>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</si>
  <si>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</si>
  <si>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</si>
  <si>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</si>
  <si>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</si>
  <si>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</si>
  <si>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</si>
  <si>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</si>
  <si>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</si>
  <si>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</si>
  <si>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</si>
  <si>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</si>
  <si>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</si>
  <si>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</si>
  <si>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</si>
  <si>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</si>
  <si>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</si>
  <si>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</si>
  <si>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</si>
  <si>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</si>
  <si>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</si>
  <si>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</si>
  <si>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</si>
  <si>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</si>
  <si>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</si>
  <si>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</si>
  <si>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</si>
  <si>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</si>
  <si>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</si>
  <si>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外事学校，原名北京市外事服务职业高中，创建于1980年。学校的主要职能：培养高中学历技术应用人才，外事服务/烹饪专业/经济贸易。学校现实行专业部管理制度，主要科室有德育处、教务处、总务处、招生就业处、校办、财务室、人事室、科研督导室、高星级饭店运营与管理、烹饪工艺与营养专业部。</t>
    <phoneticPr fontId="4" type="noConversion"/>
  </si>
  <si>
    <t>主要原因是是本年退休人员较多，在职人员减少，且一次性绩效少于去年。当年退休人员与退休当年去世的人员基本平衡，所以总体人员支出减少；在公用支出方面，厉行节约，过紧日子，支出也相应减少。项目安排资金减少116万元，总体支出减少。</t>
    <phoneticPr fontId="4" type="noConversion"/>
  </si>
  <si>
    <t>主要原因是项目资金调增。</t>
    <phoneticPr fontId="4" type="noConversion"/>
  </si>
  <si>
    <t>主要原因是项目资金调增。</t>
    <phoneticPr fontId="4" type="noConversion"/>
  </si>
  <si>
    <t>主要原因是压减培训支出</t>
    <phoneticPr fontId="4" type="noConversion"/>
  </si>
  <si>
    <t>主要原因是退休人员去世抚恤金。</t>
    <phoneticPr fontId="4" type="noConversion"/>
  </si>
  <si>
    <t>主要原因是在职职工因病去世。</t>
    <phoneticPr fontId="4" type="noConversion"/>
  </si>
  <si>
    <t>主要原因是社保基数增长导致。</t>
    <phoneticPr fontId="4" type="noConversion"/>
  </si>
  <si>
    <t>主要原因是住房公积金基数增长。</t>
    <phoneticPr fontId="4" type="noConversion"/>
  </si>
  <si>
    <t>主要原因是疫情原因，减少了用车，汽油费减少。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</si>
</sst>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2" sqref="A12:M12"/>
    </sheetView>
  </sheetViews>
  <sheetFormatPr defaultRowHeight="14.25"/>
  <cols>
    <col min="1" max="1" width="16.5" customWidth="1"/>
    <col min="2" max="2" width="12.75" bestFit="1" customWidth="1"/>
  </cols>
  <sheetData>
    <row r="1" spans="1:14" ht="37.9" customHeight="1">
      <c r="A1" s="27" t="s">
        <v>0</v>
      </c>
      <c r="B1" s="28">
        <v>255030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北京市外事学校</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2"/>
  <sheetViews>
    <sheetView topLeftCell="A90" zoomScaleNormal="100" workbookViewId="0">
      <selection activeCell="A86" sqref="A86:XFD8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86.25" customHeight="1">
      <c r="A4" s="84" t="s">
        <v>479</v>
      </c>
      <c r="B4" s="84"/>
      <c r="C4" s="84"/>
      <c r="D4" s="84"/>
      <c r="E4" s="84"/>
      <c r="F4" s="84"/>
      <c r="G4" s="84"/>
      <c r="H4" s="84"/>
      <c r="I4" s="84"/>
      <c r="J4" s="84"/>
      <c r="K4" s="84"/>
      <c r="L4" s="84"/>
      <c r="M4" s="84"/>
      <c r="N4" s="19"/>
    </row>
    <row r="5" spans="1:14" ht="18" customHeight="1">
      <c r="A5" s="7" t="s">
        <v>176</v>
      </c>
    </row>
    <row r="6" spans="1:14" ht="18" customHeight="1">
      <c r="A6" s="88" t="s">
        <v>246</v>
      </c>
      <c r="B6" s="88"/>
      <c r="C6" s="10">
        <v>142</v>
      </c>
      <c r="D6" s="10" t="s">
        <v>248</v>
      </c>
      <c r="E6" s="8">
        <f>_xlfn.IFNA(VLOOKUP(封面!B1,'2021决算导出'!A:C,3,FALSE),"")</f>
        <v>125</v>
      </c>
      <c r="F6" s="10" t="s">
        <v>249</v>
      </c>
      <c r="G6" s="10"/>
      <c r="H6" s="10"/>
      <c r="I6" s="10"/>
      <c r="J6" s="10"/>
      <c r="K6" s="10"/>
      <c r="L6" s="10"/>
      <c r="M6" s="10"/>
      <c r="N6" s="10"/>
    </row>
    <row r="7" spans="1:14" ht="18" customHeight="1">
      <c r="A7" s="6" t="s">
        <v>177</v>
      </c>
    </row>
    <row r="8" spans="1:14" ht="18" customHeight="1">
      <c r="A8" s="88" t="s">
        <v>417</v>
      </c>
      <c r="B8" s="88"/>
      <c r="C8" s="88"/>
      <c r="D8" s="14">
        <f>_xlfn.IFNA(VLOOKUP(封面!B1,'2021决算导出'!A:D,4,FALSE),"")</f>
        <v>70647700</v>
      </c>
      <c r="E8" s="7" t="s">
        <v>179</v>
      </c>
      <c r="F8" s="20" t="s">
        <v>250</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6242717.4899999946</v>
      </c>
      <c r="I8" s="16" t="s">
        <v>179</v>
      </c>
      <c r="J8" s="30" t="str">
        <f>IF(ISNA(VLOOKUP(封面!B1,'2020决算导出'!A:D,4,FALSE)),"",IF(D8-VLOOKUP(封面!B1,'2020决算导出'!A:D,4,FALSE)&gt;0,"增长","下降"))</f>
        <v>下降</v>
      </c>
      <c r="K8" s="31">
        <f>IF(ISNA(VLOOKUP(封面!B1,'2020决算导出'!A:D,4,FALSE)),"",H8/VLOOKUP(封面!B1,'2020决算导出'!A:D,4,FALSE))</f>
        <v>8.1189798336208707E-2</v>
      </c>
      <c r="L8" s="7" t="s">
        <v>314</v>
      </c>
    </row>
    <row r="9" spans="1:14" ht="18" customHeight="1">
      <c r="A9" s="7" t="s">
        <v>180</v>
      </c>
      <c r="G9" s="32"/>
      <c r="H9" s="32"/>
      <c r="I9" s="32"/>
      <c r="J9" s="32"/>
      <c r="K9" s="32"/>
    </row>
    <row r="10" spans="1:14" ht="18" customHeight="1">
      <c r="A10" s="88" t="s">
        <v>418</v>
      </c>
      <c r="B10" s="88"/>
      <c r="C10" s="88"/>
      <c r="D10" s="14">
        <f>_xlfn.IFNA(VLOOKUP(封面!B1,'2021决算导出'!A:E,5,FALSE),"")</f>
        <v>70502236.879999995</v>
      </c>
      <c r="E10" s="7" t="s">
        <v>179</v>
      </c>
      <c r="F10" s="20" t="s">
        <v>250</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5858839.0500000119</v>
      </c>
      <c r="I10" s="16" t="s">
        <v>179</v>
      </c>
      <c r="J10" s="30" t="str">
        <f>IF(ISNA(VLOOKUP(封面!B1,'2020决算导出'!A:E,5,FALSE)),"",IF(D10-VLOOKUP(封面!B1,'2020决算导出'!A:E,5,FALSE)&gt;0,"增长","下降"))</f>
        <v>下降</v>
      </c>
      <c r="K10" s="31">
        <f>IF(ISNA(VLOOKUP(封面!B1,'2020决算导出'!A:E,5,FALSE)),"",H10/VLOOKUP(封面!B1,'2020决算导出'!A:E,5,FALSE))</f>
        <v>7.6725464886990252E-2</v>
      </c>
      <c r="L10" s="7" t="s">
        <v>315</v>
      </c>
    </row>
    <row r="11" spans="1:14" ht="18" customHeight="1">
      <c r="A11" s="88" t="s">
        <v>181</v>
      </c>
      <c r="B11" s="88"/>
      <c r="C11" s="88"/>
      <c r="D11" s="14">
        <f>_xlfn.IFNA(VLOOKUP(封面!B1,'2021决算导出'!A:F,6,FALSE),"")</f>
        <v>70502236.879999995</v>
      </c>
      <c r="E11" s="7" t="s">
        <v>179</v>
      </c>
      <c r="F11" s="88" t="s">
        <v>182</v>
      </c>
      <c r="G11" s="88"/>
      <c r="H11" s="29">
        <f>D11/$D$10</f>
        <v>1</v>
      </c>
      <c r="I11" s="7" t="s">
        <v>316</v>
      </c>
    </row>
    <row r="12" spans="1:14" ht="18" customHeight="1">
      <c r="A12" s="88" t="s">
        <v>184</v>
      </c>
      <c r="B12" s="88"/>
      <c r="C12" s="88"/>
      <c r="D12" s="14">
        <f>_xlfn.IFNA(VLOOKUP(封面!B1,'2021决算导出'!A:G,7,FALSE),"")</f>
        <v>0</v>
      </c>
      <c r="E12" s="7" t="s">
        <v>179</v>
      </c>
      <c r="F12" s="88" t="s">
        <v>182</v>
      </c>
      <c r="G12" s="88"/>
      <c r="H12" s="29">
        <f t="shared" ref="H12:H15" si="0">D12/$D$10</f>
        <v>0</v>
      </c>
      <c r="I12" s="7" t="s">
        <v>316</v>
      </c>
    </row>
    <row r="13" spans="1:14" ht="18" customHeight="1">
      <c r="A13" s="88" t="s">
        <v>185</v>
      </c>
      <c r="B13" s="88"/>
      <c r="C13" s="88"/>
      <c r="D13" s="14">
        <f>_xlfn.IFNA(VLOOKUP(封面!B1,'2021决算导出'!A:H,8,FALSE),"")</f>
        <v>0</v>
      </c>
      <c r="E13" s="7" t="s">
        <v>179</v>
      </c>
      <c r="F13" s="88" t="s">
        <v>182</v>
      </c>
      <c r="G13" s="88"/>
      <c r="H13" s="29">
        <f t="shared" si="0"/>
        <v>0</v>
      </c>
      <c r="I13" s="7" t="s">
        <v>316</v>
      </c>
    </row>
    <row r="14" spans="1:14" ht="18" customHeight="1">
      <c r="A14" s="88" t="s">
        <v>186</v>
      </c>
      <c r="B14" s="88"/>
      <c r="C14" s="88"/>
      <c r="D14" s="14">
        <f>_xlfn.IFNA(VLOOKUP(封面!B1,'2021决算导出'!A:I,9,FALSE),"")</f>
        <v>0</v>
      </c>
      <c r="E14" s="7" t="s">
        <v>179</v>
      </c>
      <c r="F14" s="88" t="s">
        <v>182</v>
      </c>
      <c r="G14" s="88"/>
      <c r="H14" s="29">
        <f t="shared" si="0"/>
        <v>0</v>
      </c>
      <c r="I14" s="7" t="s">
        <v>316</v>
      </c>
    </row>
    <row r="15" spans="1:14" ht="18" customHeight="1">
      <c r="A15" s="88" t="s">
        <v>187</v>
      </c>
      <c r="B15" s="88"/>
      <c r="C15" s="88"/>
      <c r="D15" s="14">
        <f>_xlfn.IFNA(VLOOKUP(封面!B1,'2021决算导出'!A:J,10,FALSE),"")</f>
        <v>0</v>
      </c>
      <c r="E15" s="7" t="s">
        <v>179</v>
      </c>
      <c r="F15" s="88" t="s">
        <v>182</v>
      </c>
      <c r="G15" s="88"/>
      <c r="H15" s="29">
        <f t="shared" si="0"/>
        <v>0</v>
      </c>
      <c r="I15" s="7" t="s">
        <v>317</v>
      </c>
    </row>
    <row r="16" spans="1:14" ht="18" customHeight="1">
      <c r="A16" s="7" t="s">
        <v>188</v>
      </c>
    </row>
    <row r="17" spans="1:13" ht="18" customHeight="1">
      <c r="A17" s="88" t="s">
        <v>419</v>
      </c>
      <c r="B17" s="88"/>
      <c r="C17" s="88"/>
      <c r="D17" s="14">
        <f>_xlfn.IFNA(VLOOKUP(封面!B1,'2021决算导出'!A:K,11,FALSE),"")</f>
        <v>70620632.359999999</v>
      </c>
      <c r="E17" s="7" t="s">
        <v>179</v>
      </c>
      <c r="F17" s="20" t="s">
        <v>250</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6269785.1299999952</v>
      </c>
      <c r="I17" s="7" t="s">
        <v>179</v>
      </c>
      <c r="J17" s="30" t="str">
        <f>IF(ISNA(VLOOKUP(封面!B1,'2020决算导出'!A:K,11,FALSE)),"",IF(D17-VLOOKUP(封面!B1,'2020决算导出'!A:K,11,FALSE)&gt;0,"增长","下降"))</f>
        <v>下降</v>
      </c>
      <c r="K17" s="31">
        <f>IF(ISNA(VLOOKUP(封面!B1,'2020决算导出'!A:K,11,FALSE)),"",H17/VLOOKUP(封面!B1,'2020决算导出'!A:K,11,FALSE))</f>
        <v>8.1541827117994431E-2</v>
      </c>
      <c r="L17" s="7" t="s">
        <v>318</v>
      </c>
    </row>
    <row r="18" spans="1:13" ht="18" customHeight="1">
      <c r="A18" s="88" t="s">
        <v>189</v>
      </c>
      <c r="B18" s="88"/>
      <c r="C18" s="88"/>
      <c r="D18" s="14">
        <f>_xlfn.IFNA(VLOOKUP(封面!B1,'2021决算导出'!A:L,12,FALSE),"")</f>
        <v>59958418.130000003</v>
      </c>
      <c r="E18" s="7" t="s">
        <v>179</v>
      </c>
      <c r="F18" s="88" t="s">
        <v>190</v>
      </c>
      <c r="G18" s="88"/>
      <c r="H18" s="29">
        <f>D18/$D$17</f>
        <v>0.84902125804187578</v>
      </c>
      <c r="I18" s="7" t="s">
        <v>316</v>
      </c>
    </row>
    <row r="19" spans="1:13" ht="18" customHeight="1">
      <c r="A19" s="88" t="s">
        <v>191</v>
      </c>
      <c r="B19" s="88"/>
      <c r="C19" s="88"/>
      <c r="D19" s="14">
        <f>_xlfn.IFNA(VLOOKUP(封面!B1,'2021决算导出'!A:M,13,FALSE),"")</f>
        <v>10662214.23</v>
      </c>
      <c r="E19" s="7" t="s">
        <v>179</v>
      </c>
      <c r="F19" s="88" t="s">
        <v>190</v>
      </c>
      <c r="G19" s="88"/>
      <c r="H19" s="29">
        <f t="shared" ref="H19:H20" si="1">D19/$D$17</f>
        <v>0.15097874195812427</v>
      </c>
      <c r="I19" s="7" t="s">
        <v>316</v>
      </c>
    </row>
    <row r="20" spans="1:13" ht="18" customHeight="1">
      <c r="A20" s="88" t="s">
        <v>192</v>
      </c>
      <c r="B20" s="88"/>
      <c r="C20" s="88"/>
      <c r="D20" s="14">
        <f>_xlfn.IFNA(VLOOKUP(封面!B1,'2021决算导出'!A:N,14,FALSE),"")</f>
        <v>0</v>
      </c>
      <c r="E20" s="7" t="s">
        <v>179</v>
      </c>
      <c r="F20" s="88" t="s">
        <v>190</v>
      </c>
      <c r="G20" s="88"/>
      <c r="H20" s="29">
        <f t="shared" si="1"/>
        <v>0</v>
      </c>
      <c r="I20" s="7" t="s">
        <v>317</v>
      </c>
    </row>
    <row r="21" spans="1:13" ht="18" customHeight="1">
      <c r="A21" s="6" t="s">
        <v>193</v>
      </c>
    </row>
    <row r="22" spans="1:13" ht="18" customHeight="1">
      <c r="A22" s="88" t="s">
        <v>420</v>
      </c>
      <c r="B22" s="88"/>
      <c r="C22" s="88"/>
      <c r="D22" s="88"/>
      <c r="E22" s="83">
        <f>_xlfn.IFNA(VLOOKUP(封面!B1,'2021决算导出'!A:O,15,FALSE),"")</f>
        <v>70502236.879999995</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6388180.6099999994</v>
      </c>
      <c r="J22" s="7" t="s">
        <v>179</v>
      </c>
      <c r="K22" s="30" t="str">
        <f>IF(ISNA(VLOOKUP(封面!B1,'2020决算导出'!A:O,15,FALSE)),"",IF(E22-VLOOKUP(封面!B1,'2020决算导出'!A:O,15,FALSE)&gt;0,"增长","下降"))</f>
        <v>下降</v>
      </c>
      <c r="L22" s="31">
        <f>IF(ISNA(VLOOKUP(封面!B1,'2020决算导出'!A:O,15,FALSE)),"",I22/VLOOKUP(封面!B1,'2020决算导出'!A:O,15,FALSE))</f>
        <v>8.3081622112805092E-2</v>
      </c>
      <c r="M22" s="7" t="s">
        <v>314</v>
      </c>
    </row>
    <row r="23" spans="1:13" ht="63.6" customHeight="1">
      <c r="B23" s="90" t="s">
        <v>480</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8" t="s">
        <v>421</v>
      </c>
      <c r="B26" s="88"/>
      <c r="C26" s="88"/>
      <c r="D26" s="88"/>
      <c r="E26" s="88"/>
      <c r="F26" s="83">
        <f>_xlfn.IFNA(VLOOKUP(封面!B1,'2021决算导出'!A:P,16,FALSE),"")</f>
        <v>70475169.239999995</v>
      </c>
      <c r="G26" s="83"/>
      <c r="H26" s="7" t="s">
        <v>179</v>
      </c>
      <c r="I26" s="10" t="s">
        <v>197</v>
      </c>
      <c r="J26" s="10"/>
      <c r="K26" s="10"/>
      <c r="L26" s="10"/>
      <c r="M26" s="10"/>
    </row>
    <row r="27" spans="1:13" ht="18" customHeight="1">
      <c r="A27" s="88" t="s">
        <v>200</v>
      </c>
      <c r="B27" s="88"/>
      <c r="C27" s="88"/>
      <c r="D27" s="83">
        <f>_xlfn.IFNA(VLOOKUP(封面!B1,'2021决算导出'!A:Q,17,FALSE),"")</f>
        <v>43399005.25</v>
      </c>
      <c r="E27" s="83"/>
      <c r="F27" s="7" t="s">
        <v>179</v>
      </c>
      <c r="G27" s="86" t="s">
        <v>199</v>
      </c>
      <c r="H27" s="86"/>
      <c r="I27" s="29">
        <f>D27/$F$26</f>
        <v>0.61580561945451529</v>
      </c>
      <c r="J27" s="7" t="s">
        <v>316</v>
      </c>
      <c r="K27" s="9"/>
      <c r="L27" s="9"/>
      <c r="M27" s="9"/>
    </row>
    <row r="28" spans="1:13" ht="18" customHeight="1">
      <c r="A28" s="88" t="s">
        <v>201</v>
      </c>
      <c r="B28" s="88"/>
      <c r="C28" s="88"/>
      <c r="D28" s="83">
        <f>_xlfn.IFNA(VLOOKUP(封面!B1,'2021决算导出'!A:R,18,FALSE),"")</f>
        <v>0</v>
      </c>
      <c r="E28" s="83"/>
      <c r="F28" s="7" t="s">
        <v>179</v>
      </c>
      <c r="G28" s="86" t="s">
        <v>199</v>
      </c>
      <c r="H28" s="86"/>
      <c r="I28" s="29">
        <f t="shared" ref="I28:I32" si="2">D28/$F$26</f>
        <v>0</v>
      </c>
      <c r="J28" s="7" t="s">
        <v>316</v>
      </c>
      <c r="K28" s="9"/>
      <c r="L28" s="9"/>
      <c r="M28" s="9"/>
    </row>
    <row r="29" spans="1:13" ht="18" customHeight="1">
      <c r="A29" s="88" t="s">
        <v>198</v>
      </c>
      <c r="B29" s="88"/>
      <c r="C29" s="88"/>
      <c r="D29" s="83">
        <f>_xlfn.IFNA(VLOOKUP(封面!B1,'2021决算导出'!A:S,19,FALSE),"")</f>
        <v>15484018.85</v>
      </c>
      <c r="E29" s="83"/>
      <c r="F29" s="7" t="s">
        <v>179</v>
      </c>
      <c r="G29" s="86" t="s">
        <v>199</v>
      </c>
      <c r="H29" s="86"/>
      <c r="I29" s="29">
        <f t="shared" si="2"/>
        <v>0.21970885656577674</v>
      </c>
      <c r="J29" s="7" t="s">
        <v>316</v>
      </c>
    </row>
    <row r="30" spans="1:13" ht="18" customHeight="1">
      <c r="A30" s="88" t="s">
        <v>202</v>
      </c>
      <c r="B30" s="88"/>
      <c r="C30" s="88"/>
      <c r="D30" s="83">
        <f>_xlfn.IFNA(VLOOKUP(封面!B1,'2021决算导出'!A:T,20,FALSE),"")</f>
        <v>4664121.1399999997</v>
      </c>
      <c r="E30" s="83"/>
      <c r="F30" s="7" t="s">
        <v>179</v>
      </c>
      <c r="G30" s="86" t="s">
        <v>199</v>
      </c>
      <c r="H30" s="86"/>
      <c r="I30" s="29">
        <f t="shared" si="2"/>
        <v>6.6181056254246751E-2</v>
      </c>
      <c r="J30" s="7" t="s">
        <v>316</v>
      </c>
    </row>
    <row r="31" spans="1:13" ht="18" customHeight="1">
      <c r="A31" s="88" t="s">
        <v>203</v>
      </c>
      <c r="B31" s="88"/>
      <c r="C31" s="88"/>
      <c r="D31" s="83">
        <f>_xlfn.IFNA(VLOOKUP(封面!B1,'2021决算导出'!A:U,21,FALSE),"")</f>
        <v>0</v>
      </c>
      <c r="E31" s="83"/>
      <c r="F31" s="7" t="s">
        <v>179</v>
      </c>
      <c r="G31" s="86" t="s">
        <v>199</v>
      </c>
      <c r="H31" s="86"/>
      <c r="I31" s="29">
        <f t="shared" si="2"/>
        <v>0</v>
      </c>
      <c r="J31" s="7" t="s">
        <v>316</v>
      </c>
    </row>
    <row r="32" spans="1:13" ht="18" customHeight="1">
      <c r="A32" s="88" t="s">
        <v>204</v>
      </c>
      <c r="B32" s="88"/>
      <c r="C32" s="88"/>
      <c r="D32" s="83">
        <f>_xlfn.IFNA(VLOOKUP(封面!B1,'2021决算导出'!A:V,22,FALSE),"")</f>
        <v>6928024</v>
      </c>
      <c r="E32" s="83"/>
      <c r="F32" s="7" t="s">
        <v>179</v>
      </c>
      <c r="G32" s="86" t="s">
        <v>199</v>
      </c>
      <c r="H32" s="86"/>
      <c r="I32" s="29">
        <f t="shared" si="2"/>
        <v>9.8304467725461267E-2</v>
      </c>
      <c r="J32" s="7" t="s">
        <v>316</v>
      </c>
    </row>
    <row r="33" spans="1:12" ht="18" customHeight="1">
      <c r="A33" s="7" t="s">
        <v>205</v>
      </c>
    </row>
    <row r="34" spans="1:12" ht="18" customHeight="1">
      <c r="A34" s="85" t="s">
        <v>422</v>
      </c>
      <c r="B34" s="85"/>
      <c r="C34" s="85"/>
      <c r="D34" s="85"/>
      <c r="E34" s="83">
        <f>_xlfn.IFNA(VLOOKUP(封面!B1,一般公共预算财政拨款支出决算具体情况!A:C,3,FALSE),"")</f>
        <v>43399005.25</v>
      </c>
      <c r="F34" s="83"/>
      <c r="G34" s="7" t="s">
        <v>179</v>
      </c>
      <c r="H34" s="86" t="s">
        <v>423</v>
      </c>
      <c r="I34" s="86"/>
      <c r="J34" s="83">
        <f>_xlfn.IFNA(VLOOKUP(封面!B1,一般公共预算财政拨款支出决算具体情况!A:D,4,FALSE),"")</f>
        <v>38638127.369999997</v>
      </c>
      <c r="K34" s="83"/>
      <c r="L34" s="11" t="s">
        <v>178</v>
      </c>
    </row>
    <row r="35" spans="1:12" ht="18" customHeight="1">
      <c r="B35" s="15" t="str">
        <f>IF(E34&gt;J34,"增加","减少")</f>
        <v>增加</v>
      </c>
      <c r="C35" s="83">
        <f>ABS(E34-J34)</f>
        <v>4760877.8800000027</v>
      </c>
      <c r="D35" s="83"/>
      <c r="E35" s="7" t="s">
        <v>179</v>
      </c>
      <c r="F35" s="15" t="str">
        <f>IF(E34&gt;J34,"增长","下降")</f>
        <v>增长</v>
      </c>
      <c r="G35" s="34">
        <f>IF(J34=0,IF(E34&gt;0,1,""),C35/J34)</f>
        <v>0.12321709679171761</v>
      </c>
      <c r="H35" s="7" t="s">
        <v>317</v>
      </c>
      <c r="I35" s="11" t="s">
        <v>206</v>
      </c>
    </row>
    <row r="36" spans="1:12" ht="18" customHeight="1">
      <c r="A36" s="88" t="s">
        <v>424</v>
      </c>
      <c r="B36" s="88"/>
      <c r="C36" s="88"/>
      <c r="D36" s="88"/>
      <c r="E36" s="83">
        <f>_xlfn.IFNA(VLOOKUP(封面!B1,一般公共预算财政拨款支出决算具体情况!A:E,5,FALSE),"")</f>
        <v>0</v>
      </c>
      <c r="F36" s="83"/>
      <c r="G36" s="7" t="s">
        <v>179</v>
      </c>
      <c r="H36" s="86" t="s">
        <v>423</v>
      </c>
      <c r="I36" s="86"/>
      <c r="J36" s="83">
        <f>_xlfn.IFNA(VLOOKUP(封面!B1,一般公共预算财政拨款支出决算具体情况!A:F,6,FALSE),"")</f>
        <v>0</v>
      </c>
      <c r="K36" s="83"/>
      <c r="L36" s="11" t="s">
        <v>178</v>
      </c>
    </row>
    <row r="37" spans="1:12" ht="18" customHeight="1">
      <c r="A37" s="15"/>
      <c r="B37" s="15" t="str">
        <f>IF(E36&gt;J36,"增加","减少")</f>
        <v>减少</v>
      </c>
      <c r="C37" s="83">
        <f>ABS(E36-J36)</f>
        <v>0</v>
      </c>
      <c r="D37" s="83"/>
      <c r="E37" s="7" t="s">
        <v>179</v>
      </c>
      <c r="F37" s="15" t="str">
        <f>IF(E36&gt;J36,"增长","下降")</f>
        <v>下降</v>
      </c>
      <c r="G37" s="34" t="str">
        <f>IF(J36=0,IF(E36&gt;0,1,""),C37/J36)</f>
        <v/>
      </c>
      <c r="H37" s="7" t="s">
        <v>317</v>
      </c>
    </row>
    <row r="38" spans="1:12" ht="36" customHeight="1">
      <c r="B38" s="84" t="s">
        <v>481</v>
      </c>
      <c r="C38" s="84"/>
      <c r="D38" s="84"/>
      <c r="E38" s="84"/>
      <c r="F38" s="84"/>
      <c r="G38" s="84"/>
      <c r="H38" s="84"/>
      <c r="I38" s="84"/>
      <c r="J38" s="84"/>
      <c r="K38" s="84"/>
      <c r="L38" s="84"/>
    </row>
    <row r="39" spans="1:12" ht="18" customHeight="1">
      <c r="A39" s="88" t="s">
        <v>425</v>
      </c>
      <c r="B39" s="88"/>
      <c r="C39" s="88"/>
      <c r="D39" s="88"/>
      <c r="E39" s="83">
        <f>_xlfn.IFNA(VLOOKUP(封面!B1,一般公共预算财政拨款支出决算具体情况!A:G,7,FALSE),"")</f>
        <v>43313111.25</v>
      </c>
      <c r="F39" s="83"/>
      <c r="G39" s="7" t="s">
        <v>179</v>
      </c>
      <c r="H39" s="86" t="s">
        <v>423</v>
      </c>
      <c r="I39" s="86"/>
      <c r="J39" s="83">
        <f>_xlfn.IFNA(VLOOKUP(封面!B1,一般公共预算财政拨款支出决算具体情况!A:H,8,FALSE),"")</f>
        <v>38546327.369999997</v>
      </c>
      <c r="K39" s="83"/>
      <c r="L39" s="11" t="s">
        <v>178</v>
      </c>
    </row>
    <row r="40" spans="1:12" ht="18" customHeight="1">
      <c r="A40" s="15"/>
      <c r="B40" s="15" t="str">
        <f>IF(E39&gt;J39,"增加","减少")</f>
        <v>增加</v>
      </c>
      <c r="C40" s="83">
        <f>ABS(E39-J39)</f>
        <v>4766783.8800000027</v>
      </c>
      <c r="D40" s="83"/>
      <c r="E40" s="7" t="s">
        <v>179</v>
      </c>
      <c r="F40" s="15" t="str">
        <f>IF(E39&gt;J39,"增长","下降")</f>
        <v>增长</v>
      </c>
      <c r="G40" s="34">
        <f>IF(J39=0,IF(E39&gt;0,1,""),C40/J39)</f>
        <v>0.12366376267820306</v>
      </c>
      <c r="H40" s="7" t="s">
        <v>317</v>
      </c>
    </row>
    <row r="41" spans="1:12" ht="36" customHeight="1">
      <c r="B41" s="84" t="s">
        <v>482</v>
      </c>
      <c r="C41" s="84"/>
      <c r="D41" s="84"/>
      <c r="E41" s="84"/>
      <c r="F41" s="84"/>
      <c r="G41" s="84"/>
      <c r="H41" s="84"/>
      <c r="I41" s="84"/>
      <c r="J41" s="84"/>
      <c r="K41" s="84"/>
      <c r="L41" s="84"/>
    </row>
    <row r="42" spans="1:12" ht="18" customHeight="1">
      <c r="A42" s="88" t="s">
        <v>426</v>
      </c>
      <c r="B42" s="88"/>
      <c r="C42" s="88"/>
      <c r="D42" s="88"/>
      <c r="E42" s="83">
        <f>_xlfn.IFNA(VLOOKUP(封面!B1,一般公共预算财政拨款支出决算具体情况!A:I,9,FALSE),"")</f>
        <v>0</v>
      </c>
      <c r="F42" s="83"/>
      <c r="G42" s="7" t="s">
        <v>179</v>
      </c>
      <c r="H42" s="86" t="s">
        <v>423</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4" t="s">
        <v>194</v>
      </c>
      <c r="C44" s="84"/>
      <c r="D44" s="84"/>
      <c r="E44" s="84"/>
      <c r="F44" s="84"/>
      <c r="G44" s="84"/>
      <c r="H44" s="84"/>
      <c r="I44" s="84"/>
      <c r="J44" s="84"/>
      <c r="K44" s="84"/>
      <c r="L44" s="84"/>
    </row>
    <row r="45" spans="1:12" ht="18" customHeight="1">
      <c r="A45" s="88" t="s">
        <v>427</v>
      </c>
      <c r="B45" s="88"/>
      <c r="C45" s="88"/>
      <c r="D45" s="88"/>
      <c r="E45" s="83">
        <f>_xlfn.IFNA(VLOOKUP(封面!B1,一般公共预算财政拨款支出决算具体情况!A:K,11,FALSE),"")</f>
        <v>0</v>
      </c>
      <c r="F45" s="83"/>
      <c r="G45" s="7" t="s">
        <v>179</v>
      </c>
      <c r="H45" s="86" t="s">
        <v>423</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18" customHeight="1">
      <c r="A47" s="88" t="s">
        <v>428</v>
      </c>
      <c r="B47" s="88"/>
      <c r="C47" s="88"/>
      <c r="D47" s="88"/>
      <c r="E47" s="83">
        <f>_xlfn.IFNA(VLOOKUP(封面!B1,一般公共预算财政拨款支出决算具体情况!A:M,13,FALSE),"")</f>
        <v>85894</v>
      </c>
      <c r="F47" s="83"/>
      <c r="G47" s="7" t="s">
        <v>179</v>
      </c>
      <c r="H47" s="86" t="s">
        <v>423</v>
      </c>
      <c r="I47" s="86"/>
      <c r="J47" s="83">
        <f>_xlfn.IFNA(VLOOKUP(封面!B1,一般公共预算财政拨款支出决算具体情况!A:N,14,FALSE),"")</f>
        <v>91800</v>
      </c>
      <c r="K47" s="83"/>
      <c r="L47" s="11" t="s">
        <v>178</v>
      </c>
    </row>
    <row r="48" spans="1:12" ht="18" customHeight="1">
      <c r="A48" s="15"/>
      <c r="B48" s="15" t="str">
        <f>IF(E47&gt;J47,"增加","减少")</f>
        <v>减少</v>
      </c>
      <c r="C48" s="83">
        <f>ABS(E47-J47)</f>
        <v>5906</v>
      </c>
      <c r="D48" s="83"/>
      <c r="E48" s="7" t="s">
        <v>179</v>
      </c>
      <c r="F48" s="15" t="str">
        <f>IF(E47&gt;J47,"增长","下降")</f>
        <v>下降</v>
      </c>
      <c r="G48" s="34">
        <f>IF(J47=0,IF(E47&gt;0,1,""),C48/J47)</f>
        <v>6.4335511982570801E-2</v>
      </c>
      <c r="H48" s="7" t="s">
        <v>317</v>
      </c>
    </row>
    <row r="49" spans="1:12" ht="36" customHeight="1">
      <c r="B49" s="84" t="s">
        <v>483</v>
      </c>
      <c r="C49" s="84"/>
      <c r="D49" s="84"/>
      <c r="E49" s="84"/>
      <c r="F49" s="84"/>
      <c r="G49" s="84"/>
      <c r="H49" s="84"/>
      <c r="I49" s="84"/>
      <c r="J49" s="84"/>
      <c r="K49" s="84"/>
      <c r="L49" s="84"/>
    </row>
    <row r="50" spans="1:12" ht="18" customHeight="1">
      <c r="A50" s="87" t="s">
        <v>429</v>
      </c>
      <c r="B50" s="87"/>
      <c r="C50" s="87"/>
      <c r="D50" s="87"/>
      <c r="E50" s="83">
        <f>_xlfn.IFNA(VLOOKUP(封面!B1,一般公共预算财政拨款支出决算具体情况!A:O,15,FALSE),"")</f>
        <v>0</v>
      </c>
      <c r="F50" s="83"/>
      <c r="G50" s="7" t="s">
        <v>179</v>
      </c>
      <c r="H50" s="86" t="s">
        <v>423</v>
      </c>
      <c r="I50" s="86"/>
      <c r="J50" s="83">
        <f>_xlfn.IFNA(VLOOKUP(封面!B1,一般公共预算财政拨款支出决算具体情况!A:P,16,FALSE),"")</f>
        <v>0</v>
      </c>
      <c r="K50" s="83"/>
      <c r="L50" s="11" t="s">
        <v>178</v>
      </c>
    </row>
    <row r="51" spans="1:12" ht="18" customHeight="1">
      <c r="A51" s="15"/>
      <c r="B51" s="15" t="str">
        <f>IF(E50&gt;J50,"增加","减少")</f>
        <v>减少</v>
      </c>
      <c r="C51" s="83">
        <f>ABS(E50-J50)</f>
        <v>0</v>
      </c>
      <c r="D51" s="83"/>
      <c r="E51" s="7" t="s">
        <v>179</v>
      </c>
      <c r="F51" s="15" t="str">
        <f>IF(E50&gt;J50,"增长","下降")</f>
        <v>下降</v>
      </c>
      <c r="G51" s="34" t="str">
        <f>IF(J50=0,IF(E50&gt;0,1,""),C51/J50)</f>
        <v/>
      </c>
      <c r="H51" s="7" t="s">
        <v>317</v>
      </c>
    </row>
    <row r="52" spans="1:12" ht="18" customHeight="1">
      <c r="A52" s="89" t="s">
        <v>430</v>
      </c>
      <c r="B52" s="89"/>
      <c r="C52" s="89"/>
      <c r="D52" s="89"/>
      <c r="E52" s="83">
        <f>_xlfn.IFNA(VLOOKUP(封面!B1,一般公共预算财政拨款支出决算具体情况!A:Q,17,FALSE),"")</f>
        <v>0</v>
      </c>
      <c r="F52" s="83"/>
      <c r="G52" s="7" t="s">
        <v>179</v>
      </c>
      <c r="H52" s="85" t="s">
        <v>431</v>
      </c>
      <c r="I52" s="85"/>
      <c r="J52" s="85"/>
      <c r="K52" s="85"/>
      <c r="L52" s="11"/>
    </row>
    <row r="53" spans="1:12" ht="18" customHeight="1">
      <c r="A53" s="87" t="s">
        <v>473</v>
      </c>
      <c r="B53" s="87"/>
      <c r="C53" s="87"/>
      <c r="D53" s="87"/>
      <c r="E53" s="83">
        <f>_xlfn.IFNA(VLOOKUP(封面!B1,一般公共预算财政拨款支出决算具体情况!A:S,19,FALSE),"")</f>
        <v>0</v>
      </c>
      <c r="F53" s="83"/>
      <c r="G53" s="7" t="s">
        <v>179</v>
      </c>
      <c r="H53" s="85" t="s">
        <v>433</v>
      </c>
      <c r="I53" s="85"/>
      <c r="J53" s="85"/>
      <c r="K53" s="85"/>
      <c r="L53" s="11"/>
    </row>
    <row r="54" spans="1:12" ht="18" customHeight="1">
      <c r="A54" s="88" t="s">
        <v>432</v>
      </c>
      <c r="B54" s="88"/>
      <c r="C54" s="88"/>
      <c r="D54" s="88"/>
      <c r="E54" s="83">
        <f>_xlfn.IFNA(VLOOKUP(封面!B1,一般公共预算财政拨款支出决算具体情况!A:U,21,FALSE),"")</f>
        <v>0</v>
      </c>
      <c r="F54" s="83"/>
      <c r="G54" s="7" t="s">
        <v>179</v>
      </c>
      <c r="H54" s="85" t="s">
        <v>433</v>
      </c>
      <c r="I54" s="85"/>
      <c r="J54" s="85"/>
      <c r="K54" s="85"/>
      <c r="L54" s="11"/>
    </row>
    <row r="55" spans="1:12" ht="18" customHeight="1">
      <c r="A55" s="89" t="s">
        <v>434</v>
      </c>
      <c r="B55" s="89"/>
      <c r="C55" s="89"/>
      <c r="D55" s="89"/>
      <c r="E55" s="83">
        <f>_xlfn.IFNA(VLOOKUP(封面!B1,一般公共预算财政拨款支出决算具体情况!A:W,23,FALSE),"")</f>
        <v>15484018.85</v>
      </c>
      <c r="F55" s="83"/>
      <c r="G55" s="7" t="s">
        <v>179</v>
      </c>
      <c r="H55" s="86" t="s">
        <v>423</v>
      </c>
      <c r="I55" s="86"/>
      <c r="J55" s="83">
        <f>_xlfn.IFNA(VLOOKUP(封面!B1,一般公共预算财政拨款支出决算具体情况!A:X,24,FALSE),"")</f>
        <v>14389960.789999999</v>
      </c>
      <c r="K55" s="83"/>
      <c r="L55" s="11" t="s">
        <v>178</v>
      </c>
    </row>
    <row r="56" spans="1:12" ht="18" customHeight="1">
      <c r="B56" s="15" t="str">
        <f>IF(E55&gt;J55,"增加","减少")</f>
        <v>增加</v>
      </c>
      <c r="C56" s="83">
        <f>ABS(E55-J55)</f>
        <v>1094058.0600000005</v>
      </c>
      <c r="D56" s="83"/>
      <c r="E56" s="7" t="s">
        <v>179</v>
      </c>
      <c r="F56" s="15" t="str">
        <f>IF(E55&gt;J55,"增长","下降")</f>
        <v>增长</v>
      </c>
      <c r="G56" s="34">
        <f>IF(J55=0,IF(E55&gt;0,1,""),C56/J55)</f>
        <v>7.6029259284729478E-2</v>
      </c>
      <c r="H56" s="7" t="s">
        <v>317</v>
      </c>
      <c r="I56" s="11" t="s">
        <v>206</v>
      </c>
    </row>
    <row r="57" spans="1:12" ht="18" customHeight="1">
      <c r="A57" s="87" t="s">
        <v>435</v>
      </c>
      <c r="B57" s="87"/>
      <c r="C57" s="87"/>
      <c r="D57" s="87"/>
      <c r="E57" s="83">
        <f>_xlfn.IFNA(VLOOKUP(封面!B1,一般公共预算财政拨款支出决算具体情况!A:Y,25,FALSE),"")</f>
        <v>15230670.85</v>
      </c>
      <c r="F57" s="83"/>
      <c r="G57" s="7" t="s">
        <v>179</v>
      </c>
      <c r="H57" s="86" t="s">
        <v>423</v>
      </c>
      <c r="I57" s="86"/>
      <c r="J57" s="83">
        <f>_xlfn.IFNA(VLOOKUP(封面!B1,一般公共预算财政拨款支出决算具体情况!A:Z,26,FALSE),"")</f>
        <v>14389960.789999999</v>
      </c>
      <c r="K57" s="83"/>
      <c r="L57" s="11" t="s">
        <v>178</v>
      </c>
    </row>
    <row r="58" spans="1:12" ht="18" customHeight="1">
      <c r="A58" s="15"/>
      <c r="B58" s="15" t="str">
        <f>IF(E57&gt;J57,"增加","减少")</f>
        <v>增加</v>
      </c>
      <c r="C58" s="83">
        <f>ABS(E57-J57)</f>
        <v>840710.06000000052</v>
      </c>
      <c r="D58" s="83"/>
      <c r="E58" s="7" t="s">
        <v>179</v>
      </c>
      <c r="F58" s="15" t="str">
        <f>IF(E57&gt;J57,"增长","下降")</f>
        <v>增长</v>
      </c>
      <c r="G58" s="34">
        <f>IF(J57=0,IF(E57&gt;0,1,""),C58/J57)</f>
        <v>5.8423373924982085E-2</v>
      </c>
      <c r="H58" s="7" t="s">
        <v>317</v>
      </c>
    </row>
    <row r="59" spans="1:12" ht="36" customHeight="1">
      <c r="B59" s="84" t="s">
        <v>484</v>
      </c>
      <c r="C59" s="84"/>
      <c r="D59" s="84"/>
      <c r="E59" s="84"/>
      <c r="F59" s="84"/>
      <c r="G59" s="84"/>
      <c r="H59" s="84"/>
      <c r="I59" s="84"/>
      <c r="J59" s="84"/>
      <c r="K59" s="84"/>
      <c r="L59" s="84"/>
    </row>
    <row r="60" spans="1:12" ht="18" customHeight="1">
      <c r="A60" s="87" t="s">
        <v>436</v>
      </c>
      <c r="B60" s="87"/>
      <c r="C60" s="87"/>
      <c r="D60" s="87"/>
      <c r="E60" s="83">
        <f>_xlfn.IFNA(VLOOKUP(封面!B1,一般公共预算财政拨款支出决算具体情况!A:AA,27,FALSE),"")</f>
        <v>253348</v>
      </c>
      <c r="F60" s="83"/>
      <c r="G60" s="7" t="s">
        <v>179</v>
      </c>
      <c r="H60" s="86" t="s">
        <v>433</v>
      </c>
      <c r="I60" s="86"/>
      <c r="J60" s="83"/>
      <c r="K60" s="83"/>
      <c r="L60" s="11"/>
    </row>
    <row r="61" spans="1:12" ht="36" customHeight="1">
      <c r="B61" s="84" t="s">
        <v>485</v>
      </c>
      <c r="C61" s="84"/>
      <c r="D61" s="84"/>
      <c r="E61" s="84"/>
      <c r="F61" s="84"/>
      <c r="G61" s="84"/>
      <c r="H61" s="84"/>
      <c r="I61" s="84"/>
      <c r="J61" s="84"/>
      <c r="K61" s="84"/>
      <c r="L61" s="84"/>
    </row>
    <row r="62" spans="1:12" ht="18" customHeight="1">
      <c r="A62" s="89" t="s">
        <v>437</v>
      </c>
      <c r="B62" s="89"/>
      <c r="C62" s="89"/>
      <c r="D62" s="89"/>
      <c r="E62" s="83">
        <f>_xlfn.IFNA(VLOOKUP(封面!B1,一般公共预算财政拨款支出决算具体情况!A:AC,29,FALSE),"")</f>
        <v>4664121.1400000006</v>
      </c>
      <c r="F62" s="83"/>
      <c r="G62" s="7" t="s">
        <v>179</v>
      </c>
      <c r="H62" s="86" t="s">
        <v>423</v>
      </c>
      <c r="I62" s="86"/>
      <c r="J62" s="83">
        <f>_xlfn.IFNA(VLOOKUP(封面!B1,一般公共预算财政拨款支出决算具体情况!A:AD,30,FALSE),"")</f>
        <v>4496483.68</v>
      </c>
      <c r="K62" s="83"/>
      <c r="L62" s="11" t="s">
        <v>178</v>
      </c>
    </row>
    <row r="63" spans="1:12" ht="18" customHeight="1">
      <c r="B63" s="15" t="str">
        <f>IF(E62&gt;J62,"增加","减少")</f>
        <v>增加</v>
      </c>
      <c r="C63" s="83">
        <f>ABS(E62-J62)</f>
        <v>167637.46000000089</v>
      </c>
      <c r="D63" s="83"/>
      <c r="E63" s="7" t="s">
        <v>179</v>
      </c>
      <c r="F63" s="15" t="str">
        <f>IF(E62&gt;J62,"增长","下降")</f>
        <v>增长</v>
      </c>
      <c r="G63" s="34">
        <f>IF(J62=0,IF(E62&gt;0,1,""),C63/J62)</f>
        <v>3.7281901132131076E-2</v>
      </c>
      <c r="H63" s="7" t="s">
        <v>317</v>
      </c>
      <c r="I63" s="11" t="s">
        <v>206</v>
      </c>
    </row>
    <row r="64" spans="1:12" ht="18" customHeight="1">
      <c r="A64" s="87" t="s">
        <v>438</v>
      </c>
      <c r="B64" s="87"/>
      <c r="C64" s="87"/>
      <c r="D64" s="87"/>
      <c r="E64" s="83">
        <f>_xlfn.IFNA(VLOOKUP(封面!B1,一般公共预算财政拨款支出决算具体情况!A:AE,31,FALSE),"")</f>
        <v>4664121.1400000006</v>
      </c>
      <c r="F64" s="83"/>
      <c r="G64" s="7" t="s">
        <v>179</v>
      </c>
      <c r="H64" s="86" t="s">
        <v>423</v>
      </c>
      <c r="I64" s="86"/>
      <c r="J64" s="83">
        <f>_xlfn.IFNA(VLOOKUP(封面!B1,一般公共预算财政拨款支出决算具体情况!A:AF,32,FALSE),"")</f>
        <v>4496483.68</v>
      </c>
      <c r="K64" s="83"/>
      <c r="L64" s="11" t="s">
        <v>178</v>
      </c>
    </row>
    <row r="65" spans="1:13" ht="18" customHeight="1">
      <c r="A65" s="15"/>
      <c r="B65" s="15" t="str">
        <f>IF(E64&gt;J64,"增加","减少")</f>
        <v>增加</v>
      </c>
      <c r="C65" s="83">
        <f>ABS(E64-J64)</f>
        <v>167637.46000000089</v>
      </c>
      <c r="D65" s="83"/>
      <c r="E65" s="7" t="s">
        <v>179</v>
      </c>
      <c r="F65" s="15" t="str">
        <f>IF(E64&gt;J64,"增长","下降")</f>
        <v>增长</v>
      </c>
      <c r="G65" s="34">
        <f>IF(J64=0,IF(E64&gt;0,1,""),C65/J64)</f>
        <v>3.7281901132131076E-2</v>
      </c>
      <c r="H65" s="7" t="s">
        <v>317</v>
      </c>
    </row>
    <row r="66" spans="1:13" ht="36" customHeight="1">
      <c r="B66" s="84" t="s">
        <v>486</v>
      </c>
      <c r="C66" s="84"/>
      <c r="D66" s="84"/>
      <c r="E66" s="84"/>
      <c r="F66" s="84"/>
      <c r="G66" s="84"/>
      <c r="H66" s="84"/>
      <c r="I66" s="84"/>
      <c r="J66" s="84"/>
      <c r="K66" s="84"/>
      <c r="L66" s="84"/>
    </row>
    <row r="67" spans="1:13" ht="18" customHeight="1">
      <c r="A67" s="89" t="s">
        <v>439</v>
      </c>
      <c r="B67" s="89"/>
      <c r="C67" s="89"/>
      <c r="D67" s="89"/>
      <c r="E67" s="83">
        <f>_xlfn.IFNA(VLOOKUP(封面!B1,一般公共预算财政拨款支出决算具体情况!A:AG,33,FALSE),"")</f>
        <v>0</v>
      </c>
      <c r="F67" s="83"/>
      <c r="G67" s="7" t="s">
        <v>179</v>
      </c>
      <c r="H67" s="86" t="s">
        <v>423</v>
      </c>
      <c r="I67" s="86"/>
      <c r="J67" s="83">
        <f>_xlfn.IFNA(VLOOKUP(封面!B1,一般公共预算财政拨款支出决算具体情况!A:AH,34,FALSE),"")</f>
        <v>0</v>
      </c>
      <c r="K67" s="83"/>
      <c r="L67" s="11" t="s">
        <v>178</v>
      </c>
    </row>
    <row r="68" spans="1:13" ht="18" customHeight="1">
      <c r="B68" s="15" t="str">
        <f>IF(E67&gt;J67,"增加","减少")</f>
        <v>减少</v>
      </c>
      <c r="C68" s="83">
        <f>ABS(E67-J67)</f>
        <v>0</v>
      </c>
      <c r="D68" s="83"/>
      <c r="E68" s="7" t="s">
        <v>179</v>
      </c>
      <c r="F68" s="15" t="str">
        <f>IF(E67&gt;J67,"增长","下降")</f>
        <v>下降</v>
      </c>
      <c r="G68" s="34" t="str">
        <f>IF(J67=0,IF(E67&gt;0,1,""),C68/J67)</f>
        <v/>
      </c>
      <c r="H68" s="7" t="s">
        <v>314</v>
      </c>
      <c r="I68" s="11" t="s">
        <v>206</v>
      </c>
    </row>
    <row r="69" spans="1:13" ht="18" customHeight="1">
      <c r="A69" s="87" t="s">
        <v>440</v>
      </c>
      <c r="B69" s="87"/>
      <c r="C69" s="87"/>
      <c r="D69" s="87"/>
      <c r="E69" s="83">
        <f>_xlfn.IFNA(VLOOKUP(封面!B1,一般公共预算财政拨款支出决算具体情况!A:AI,35,FALSE),"")</f>
        <v>0</v>
      </c>
      <c r="F69" s="83"/>
      <c r="G69" s="7" t="s">
        <v>179</v>
      </c>
      <c r="H69" s="86" t="s">
        <v>423</v>
      </c>
      <c r="I69" s="86"/>
      <c r="J69" s="83">
        <f>_xlfn.IFNA(VLOOKUP(封面!B1,一般公共预算财政拨款支出决算具体情况!A:AJ,36,FALSE),"")</f>
        <v>0</v>
      </c>
      <c r="K69" s="83"/>
      <c r="L69" s="11" t="s">
        <v>178</v>
      </c>
    </row>
    <row r="70" spans="1:13" ht="18" customHeight="1">
      <c r="A70" s="58"/>
      <c r="B70" s="15" t="str">
        <f>IF(E69&gt;J69,"增加","减少")</f>
        <v>减少</v>
      </c>
      <c r="C70" s="83">
        <f>ABS(E69-J69)</f>
        <v>0</v>
      </c>
      <c r="D70" s="83"/>
      <c r="E70" s="7" t="s">
        <v>179</v>
      </c>
      <c r="F70" s="15" t="str">
        <f>IF(E69&gt;J69,"增长","下降")</f>
        <v>下降</v>
      </c>
      <c r="G70" s="34" t="str">
        <f>IF(J69=0,IF(E69&gt;0,1,""),C70/J69)</f>
        <v/>
      </c>
      <c r="H70" s="7" t="s">
        <v>314</v>
      </c>
      <c r="I70" s="57"/>
      <c r="J70" s="56"/>
      <c r="K70" s="56"/>
      <c r="L70" s="11"/>
    </row>
    <row r="71" spans="1:13" ht="18" customHeight="1">
      <c r="A71" s="89" t="s">
        <v>474</v>
      </c>
      <c r="B71" s="89"/>
      <c r="C71" s="89"/>
      <c r="D71" s="89"/>
      <c r="E71" s="83">
        <f>_xlfn.IFNA(VLOOKUP(封面!B1,一般公共预算财政拨款支出决算具体情况!A:AK,37,FALSE),"")</f>
        <v>6928024</v>
      </c>
      <c r="F71" s="83"/>
      <c r="G71" s="7" t="s">
        <v>179</v>
      </c>
      <c r="H71" s="86" t="s">
        <v>423</v>
      </c>
      <c r="I71" s="86"/>
      <c r="J71" s="83">
        <f>_xlfn.IFNA(VLOOKUP(封面!B1,一般公共预算财政拨款支出决算具体情况!A:AL,38,FALSE),"")</f>
        <v>6770824.3200000003</v>
      </c>
      <c r="K71" s="83"/>
      <c r="L71" s="11" t="s">
        <v>178</v>
      </c>
    </row>
    <row r="72" spans="1:13" ht="18" customHeight="1">
      <c r="B72" s="15" t="str">
        <f>IF(E71&gt;J71,"增加","减少")</f>
        <v>增加</v>
      </c>
      <c r="C72" s="83">
        <f>ABS(E71-J71)</f>
        <v>157199.6799999997</v>
      </c>
      <c r="D72" s="83"/>
      <c r="E72" s="7" t="s">
        <v>179</v>
      </c>
      <c r="F72" s="15" t="str">
        <f>IF(E71&gt;J71,"增长","下降")</f>
        <v>增长</v>
      </c>
      <c r="G72" s="34">
        <f>IF(J71=0,IF(E71&gt;0,1,""),C72/J71)</f>
        <v>2.321721441444809E-2</v>
      </c>
      <c r="H72" s="7" t="s">
        <v>317</v>
      </c>
      <c r="I72" s="11" t="s">
        <v>206</v>
      </c>
    </row>
    <row r="73" spans="1:13" ht="18" customHeight="1">
      <c r="A73" s="87" t="s">
        <v>441</v>
      </c>
      <c r="B73" s="87"/>
      <c r="C73" s="87"/>
      <c r="D73" s="87"/>
      <c r="E73" s="83">
        <f>_xlfn.IFNA(VLOOKUP(封面!B1,一般公共预算财政拨款支出决算具体情况!A:AM,39,FALSE),"")</f>
        <v>6928024</v>
      </c>
      <c r="F73" s="83"/>
      <c r="G73" s="7" t="s">
        <v>179</v>
      </c>
      <c r="H73" s="86" t="s">
        <v>423</v>
      </c>
      <c r="I73" s="86"/>
      <c r="J73" s="83">
        <f>_xlfn.IFNA(VLOOKUP(封面!B1,一般公共预算财政拨款支出决算具体情况!A:AN,40,FALSE),"")</f>
        <v>6770824.3200000003</v>
      </c>
      <c r="K73" s="83"/>
      <c r="L73" s="11" t="s">
        <v>178</v>
      </c>
    </row>
    <row r="74" spans="1:13" ht="18" customHeight="1">
      <c r="A74" s="15"/>
      <c r="B74" s="15" t="str">
        <f>IF(E73&gt;J73,"增加","减少")</f>
        <v>增加</v>
      </c>
      <c r="C74" s="83">
        <f>ABS(E73-J73)</f>
        <v>157199.6799999997</v>
      </c>
      <c r="D74" s="83"/>
      <c r="E74" s="7" t="s">
        <v>179</v>
      </c>
      <c r="F74" s="15" t="str">
        <f>IF(E73&gt;J73,"增长","下降")</f>
        <v>增长</v>
      </c>
      <c r="G74" s="34">
        <f>IF(J73=0,IF(E73&gt;0,1,""),C74/J73)</f>
        <v>2.321721441444809E-2</v>
      </c>
      <c r="H74" s="7" t="s">
        <v>317</v>
      </c>
    </row>
    <row r="75" spans="1:13" ht="36" customHeight="1">
      <c r="B75" s="84" t="s">
        <v>487</v>
      </c>
      <c r="C75" s="84"/>
      <c r="D75" s="84"/>
      <c r="E75" s="84"/>
      <c r="F75" s="84"/>
      <c r="G75" s="84"/>
      <c r="H75" s="84"/>
      <c r="I75" s="84"/>
      <c r="J75" s="84"/>
      <c r="K75" s="84"/>
      <c r="L75" s="84"/>
    </row>
    <row r="76" spans="1:13" ht="18" customHeight="1">
      <c r="A76" s="6" t="s">
        <v>207</v>
      </c>
    </row>
    <row r="77" spans="1:13" ht="18" customHeight="1">
      <c r="A77" s="7" t="str">
        <f>IF(_xlfn.IFNA(VLOOKUP(封面!B1,'2021决算导出'!A:W,23,FALSE),"")=0,"本年度无此项支出。","")</f>
        <v>本年度无此项支出。</v>
      </c>
    </row>
    <row r="78" spans="1:13" ht="18" customHeight="1">
      <c r="A78" s="7" t="s">
        <v>208</v>
      </c>
    </row>
    <row r="79" spans="1:13" ht="18" customHeight="1">
      <c r="A79" s="88" t="s">
        <v>442</v>
      </c>
      <c r="B79" s="88"/>
      <c r="C79" s="88"/>
      <c r="D79" s="88"/>
      <c r="E79" s="88"/>
      <c r="F79" s="83">
        <f>_xlfn.IFNA(VLOOKUP(封面!B1,'2021决算导出'!A:W,23,FALSE),"")</f>
        <v>0</v>
      </c>
      <c r="G79" s="83"/>
      <c r="H79" s="7" t="s">
        <v>179</v>
      </c>
      <c r="I79" s="85" t="s">
        <v>197</v>
      </c>
      <c r="J79" s="85"/>
      <c r="K79" s="85"/>
      <c r="L79" s="85"/>
      <c r="M79" s="85"/>
    </row>
    <row r="80" spans="1:13" ht="18" customHeight="1">
      <c r="A80" s="88" t="s">
        <v>209</v>
      </c>
      <c r="B80" s="88"/>
      <c r="C80" s="88"/>
      <c r="D80" s="83">
        <f>_xlfn.IFNA(VLOOKUP(封面!B1,'2021决算导出'!A:Y,25,FALSE),"")</f>
        <v>0</v>
      </c>
      <c r="E80" s="83"/>
      <c r="F80" s="7" t="s">
        <v>179</v>
      </c>
      <c r="G80" s="86" t="s">
        <v>199</v>
      </c>
      <c r="H80" s="86"/>
      <c r="I80" s="13">
        <v>100</v>
      </c>
      <c r="J80" s="7" t="s">
        <v>183</v>
      </c>
      <c r="K80" s="9"/>
      <c r="L80" s="9"/>
      <c r="M80" s="9"/>
    </row>
    <row r="81" spans="1:13" ht="18" customHeight="1">
      <c r="A81" s="7" t="s">
        <v>210</v>
      </c>
    </row>
    <row r="82" spans="1:13" ht="18" customHeight="1">
      <c r="A82" s="85" t="s">
        <v>443</v>
      </c>
      <c r="B82" s="85"/>
      <c r="C82" s="85"/>
      <c r="D82" s="85"/>
      <c r="E82" s="83">
        <f>_xlfn.IFNA(VLOOKUP(封面!B1,'2021决算导出'!A:Y,25,FALSE),"")</f>
        <v>0</v>
      </c>
      <c r="F82" s="83"/>
      <c r="G82" s="7" t="s">
        <v>179</v>
      </c>
      <c r="H82" s="86" t="s">
        <v>423</v>
      </c>
      <c r="I82" s="86"/>
      <c r="J82" s="83">
        <f>_xlfn.IFNA(VLOOKUP(封面!B1,'2021决算导出'!A:Z,26,FALSE),"")</f>
        <v>0</v>
      </c>
      <c r="K82" s="83"/>
      <c r="L82" s="11" t="s">
        <v>178</v>
      </c>
    </row>
    <row r="83" spans="1:13" ht="18" customHeight="1">
      <c r="B83" s="15" t="str">
        <f>IF(E82&gt;J82,"增加","减少")</f>
        <v>减少</v>
      </c>
      <c r="C83" s="83">
        <f>ABS(E82-J82)</f>
        <v>0</v>
      </c>
      <c r="D83" s="83"/>
      <c r="E83" s="7" t="s">
        <v>179</v>
      </c>
      <c r="F83" s="15" t="str">
        <f>IF(E82&gt;J82,"增长","下降")</f>
        <v>下降</v>
      </c>
      <c r="G83" s="34" t="str">
        <f>IF(J82=0,IF(E82&gt;0,1,""),C83/J82)</f>
        <v/>
      </c>
      <c r="H83" s="7" t="s">
        <v>317</v>
      </c>
      <c r="I83" s="11" t="s">
        <v>206</v>
      </c>
    </row>
    <row r="84" spans="1:13" ht="18" customHeight="1">
      <c r="A84" s="87" t="s">
        <v>444</v>
      </c>
      <c r="B84" s="87"/>
      <c r="C84" s="87"/>
      <c r="D84" s="87"/>
      <c r="E84" s="83">
        <f>E82</f>
        <v>0</v>
      </c>
      <c r="F84" s="83"/>
      <c r="G84" s="7" t="s">
        <v>179</v>
      </c>
      <c r="H84" s="86" t="s">
        <v>423</v>
      </c>
      <c r="I84" s="86"/>
      <c r="J84" s="83">
        <f>J82</f>
        <v>0</v>
      </c>
      <c r="K84" s="83"/>
      <c r="L84" s="11" t="s">
        <v>178</v>
      </c>
    </row>
    <row r="85" spans="1:13" ht="18" customHeight="1">
      <c r="A85" s="15"/>
      <c r="B85" s="15" t="str">
        <f>B83</f>
        <v>减少</v>
      </c>
      <c r="C85" s="83">
        <f>C83</f>
        <v>0</v>
      </c>
      <c r="D85" s="83"/>
      <c r="E85" s="7" t="s">
        <v>179</v>
      </c>
      <c r="F85" s="15" t="str">
        <f>F83</f>
        <v>下降</v>
      </c>
      <c r="G85" s="34" t="str">
        <f>IF(J84=0,IF(E84&gt;0,1,""),C85/J84)</f>
        <v/>
      </c>
      <c r="H85" s="7" t="s">
        <v>317</v>
      </c>
    </row>
    <row r="86" spans="1:13" ht="18" customHeight="1">
      <c r="A86" s="6" t="s">
        <v>211</v>
      </c>
    </row>
    <row r="87" spans="1:13" ht="18" customHeight="1">
      <c r="A87" s="7" t="s">
        <v>212</v>
      </c>
    </row>
    <row r="88" spans="1:13" ht="18" customHeight="1">
      <c r="A88" s="6" t="s">
        <v>213</v>
      </c>
    </row>
    <row r="89" spans="1:13" ht="18" customHeight="1">
      <c r="A89" s="7" t="s">
        <v>445</v>
      </c>
      <c r="G89" s="83">
        <f>_xlfn.IFNA(VLOOKUP(封面!B1,'2021决算导出'!A:AA,27,FALSE),"")</f>
        <v>59958418.130000003</v>
      </c>
      <c r="H89" s="83"/>
      <c r="I89" s="11" t="s">
        <v>179</v>
      </c>
    </row>
    <row r="90" spans="1:13" ht="130.15" customHeight="1">
      <c r="A90" s="84" t="s">
        <v>214</v>
      </c>
      <c r="B90" s="84"/>
      <c r="C90" s="84"/>
      <c r="D90" s="84"/>
      <c r="E90" s="84"/>
      <c r="F90" s="84"/>
      <c r="G90" s="84"/>
      <c r="H90" s="84"/>
      <c r="I90" s="84"/>
      <c r="J90" s="84"/>
      <c r="K90" s="84"/>
      <c r="L90" s="84"/>
      <c r="M90" s="84"/>
    </row>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sheetData>
  <mergeCells count="159">
    <mergeCell ref="E60:F60"/>
    <mergeCell ref="H60:I60"/>
    <mergeCell ref="J60:K60"/>
    <mergeCell ref="C56:D56"/>
    <mergeCell ref="A57:D5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A47:D47"/>
    <mergeCell ref="E47:F47"/>
    <mergeCell ref="H47:I47"/>
    <mergeCell ref="J47:K47"/>
    <mergeCell ref="C43:D43"/>
    <mergeCell ref="B44:L44"/>
    <mergeCell ref="A45:D45"/>
    <mergeCell ref="E45:F45"/>
    <mergeCell ref="H45:I45"/>
    <mergeCell ref="J45:K45"/>
    <mergeCell ref="C51:D51"/>
    <mergeCell ref="A52:D52"/>
    <mergeCell ref="E52:F52"/>
    <mergeCell ref="C48:D48"/>
    <mergeCell ref="B49:L49"/>
    <mergeCell ref="A50:D50"/>
    <mergeCell ref="E50:F50"/>
    <mergeCell ref="H50:I50"/>
    <mergeCell ref="J50:K50"/>
    <mergeCell ref="H52:K52"/>
    <mergeCell ref="A53:D53"/>
    <mergeCell ref="E53:F53"/>
    <mergeCell ref="H53:K53"/>
    <mergeCell ref="A67:D67"/>
    <mergeCell ref="E67:F67"/>
    <mergeCell ref="A69:D69"/>
    <mergeCell ref="E69:F69"/>
    <mergeCell ref="A64:D64"/>
    <mergeCell ref="E64:F64"/>
    <mergeCell ref="H64:I64"/>
    <mergeCell ref="J64:K64"/>
    <mergeCell ref="C65:D65"/>
    <mergeCell ref="B66:L66"/>
    <mergeCell ref="H67:I67"/>
    <mergeCell ref="J67:K67"/>
    <mergeCell ref="H54:K54"/>
    <mergeCell ref="A55:D55"/>
    <mergeCell ref="E55:F55"/>
    <mergeCell ref="H55:I55"/>
    <mergeCell ref="J55:K55"/>
    <mergeCell ref="A54:D54"/>
    <mergeCell ref="E54:F54"/>
    <mergeCell ref="C74:D74"/>
    <mergeCell ref="A71:D71"/>
    <mergeCell ref="E71:F71"/>
    <mergeCell ref="H71:I71"/>
    <mergeCell ref="J71:K71"/>
    <mergeCell ref="C85:D85"/>
    <mergeCell ref="E57:F57"/>
    <mergeCell ref="H57:I57"/>
    <mergeCell ref="J57:K57"/>
    <mergeCell ref="C58:D58"/>
    <mergeCell ref="C70:D70"/>
    <mergeCell ref="C68:D68"/>
    <mergeCell ref="H69:I69"/>
    <mergeCell ref="J69:K69"/>
    <mergeCell ref="B61:L61"/>
    <mergeCell ref="A62:D62"/>
    <mergeCell ref="E62:F62"/>
    <mergeCell ref="H62:I62"/>
    <mergeCell ref="J62:K62"/>
    <mergeCell ref="C63:D63"/>
    <mergeCell ref="B59:L59"/>
    <mergeCell ref="A60:D60"/>
    <mergeCell ref="G89:H89"/>
    <mergeCell ref="A90:M90"/>
    <mergeCell ref="A4:M4"/>
    <mergeCell ref="A82:D82"/>
    <mergeCell ref="E82:F82"/>
    <mergeCell ref="H82:I82"/>
    <mergeCell ref="J82:K82"/>
    <mergeCell ref="C83:D83"/>
    <mergeCell ref="A84:D84"/>
    <mergeCell ref="E84:F84"/>
    <mergeCell ref="H84:I84"/>
    <mergeCell ref="J84:K84"/>
    <mergeCell ref="B75:L75"/>
    <mergeCell ref="A79:E79"/>
    <mergeCell ref="F79:G79"/>
    <mergeCell ref="I79:M79"/>
    <mergeCell ref="A80:C80"/>
    <mergeCell ref="D80:E80"/>
    <mergeCell ref="G80:H80"/>
    <mergeCell ref="C72:D72"/>
    <mergeCell ref="A73:D73"/>
    <mergeCell ref="E73:F73"/>
    <mergeCell ref="H73:I73"/>
    <mergeCell ref="J73:K73"/>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2"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
      </c>
    </row>
    <row r="4" spans="1:14" ht="18" customHeight="1">
      <c r="A4" s="7" t="s">
        <v>446</v>
      </c>
      <c r="F4" s="83">
        <f>_xlfn.IFNA(VLOOKUP(封面!B1,'2021决算导出'!A:AB,28,FALSE),"")</f>
        <v>10000</v>
      </c>
      <c r="G4" s="83"/>
      <c r="H4" s="7" t="s">
        <v>179</v>
      </c>
      <c r="I4" s="7" t="s">
        <v>447</v>
      </c>
    </row>
    <row r="5" spans="1:14" ht="18" customHeight="1">
      <c r="A5" s="91">
        <f>_xlfn.IFNA(VLOOKUP(封面!B1,'2021决算导出'!A:AC,29,FALSE),"")</f>
        <v>27000</v>
      </c>
      <c r="B5" s="91"/>
      <c r="C5" s="7" t="s">
        <v>178</v>
      </c>
      <c r="D5" s="30" t="str">
        <f>IF(F4&gt;A5,"增加","减少")</f>
        <v>减少</v>
      </c>
      <c r="E5" s="91">
        <f>ABS(F4-A5)</f>
        <v>17000</v>
      </c>
      <c r="F5" s="91"/>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2" t="s">
        <v>449</v>
      </c>
      <c r="B9" s="92"/>
      <c r="C9" s="92"/>
      <c r="D9" s="92"/>
      <c r="E9" s="92"/>
      <c r="F9" s="92"/>
      <c r="G9" s="92"/>
      <c r="H9" s="92"/>
      <c r="I9" s="92"/>
      <c r="J9" s="92"/>
      <c r="K9" s="92"/>
      <c r="L9" s="92"/>
      <c r="M9" s="92"/>
      <c r="N9" s="92"/>
    </row>
    <row r="10" spans="1:14" ht="18" customHeight="1">
      <c r="A10" s="7" t="s">
        <v>220</v>
      </c>
    </row>
    <row r="11" spans="1:14" ht="18" customHeight="1">
      <c r="A11" s="88" t="s">
        <v>450</v>
      </c>
      <c r="B11" s="88"/>
      <c r="C11" s="35">
        <f>_xlfn.IFNA(VLOOKUP(封面!B1,'2021决算导出'!A:AI,35,FALSE),"")</f>
        <v>10000</v>
      </c>
      <c r="D11" s="7" t="s">
        <v>179</v>
      </c>
      <c r="E11" s="88" t="s">
        <v>451</v>
      </c>
      <c r="F11" s="88"/>
      <c r="G11" s="88"/>
      <c r="H11" s="91">
        <f>_xlfn.IFNA(VLOOKUP(封面!B1,'2021决算导出'!A:AJ,36,FALSE),"")</f>
        <v>27000</v>
      </c>
      <c r="I11" s="91"/>
      <c r="J11" s="16" t="s">
        <v>178</v>
      </c>
      <c r="K11" s="30" t="str">
        <f>IF(C11&gt;H11,"增加","减少")</f>
        <v>减少</v>
      </c>
      <c r="L11" s="91">
        <f>ABS(C11-H11)</f>
        <v>17000</v>
      </c>
      <c r="M11" s="91"/>
      <c r="N11" s="7" t="s">
        <v>216</v>
      </c>
    </row>
    <row r="12" spans="1:14" ht="18" customHeight="1">
      <c r="A12" s="88" t="s">
        <v>452</v>
      </c>
      <c r="B12" s="88"/>
      <c r="C12" s="88"/>
      <c r="D12" s="88"/>
      <c r="E12" s="88"/>
      <c r="F12" s="91">
        <f>_xlfn.IFNA(VLOOKUP(封面!B1,'2021决算导出'!A:AK,37,FALSE),"")</f>
        <v>0</v>
      </c>
      <c r="G12" s="91"/>
      <c r="H12" s="17" t="s">
        <v>179</v>
      </c>
      <c r="I12" s="88" t="s">
        <v>451</v>
      </c>
      <c r="J12" s="88"/>
      <c r="K12" s="88"/>
      <c r="L12" s="91">
        <f>_xlfn.IFNA(VLOOKUP(封面!B1,'2021决算导出'!A:AL,38,FALSE),"")</f>
        <v>0</v>
      </c>
      <c r="M12" s="91"/>
      <c r="N12" s="7" t="s">
        <v>178</v>
      </c>
    </row>
    <row r="13" spans="1:14" ht="18" customHeight="1">
      <c r="A13" s="15" t="str">
        <f>IF(F12&gt;L12,"增加","减少")</f>
        <v>减少</v>
      </c>
      <c r="B13" s="91">
        <f>ABS(F12-L12)</f>
        <v>0</v>
      </c>
      <c r="C13" s="91"/>
      <c r="D13" s="7" t="s">
        <v>216</v>
      </c>
      <c r="H13" s="91"/>
      <c r="I13" s="91"/>
      <c r="J13" s="16"/>
    </row>
    <row r="14" spans="1:14" ht="36" customHeight="1">
      <c r="A14" s="84" t="s">
        <v>488</v>
      </c>
      <c r="B14" s="84"/>
      <c r="C14" s="84"/>
      <c r="D14" s="84"/>
      <c r="E14" s="84"/>
      <c r="F14" s="84"/>
      <c r="G14" s="84"/>
      <c r="H14" s="84"/>
      <c r="I14" s="84"/>
      <c r="J14" s="84"/>
      <c r="K14" s="84"/>
      <c r="L14" s="84"/>
      <c r="M14" s="84"/>
      <c r="N14" s="84"/>
    </row>
    <row r="15" spans="1:14" ht="18" customHeight="1">
      <c r="A15" s="88" t="s">
        <v>453</v>
      </c>
      <c r="B15" s="88"/>
      <c r="C15" s="88"/>
      <c r="D15" s="8">
        <f>_xlfn.IFNA(VLOOKUP(封面!B1,'2021决算导出'!A:AM,39,FALSE),"")</f>
        <v>0</v>
      </c>
      <c r="E15" s="7" t="s">
        <v>221</v>
      </c>
      <c r="F15" s="88" t="s">
        <v>222</v>
      </c>
      <c r="G15" s="88"/>
      <c r="H15" s="91">
        <f>IF(D15=0,0,F12/D15)</f>
        <v>0</v>
      </c>
      <c r="I15" s="91"/>
      <c r="J15" s="7" t="s">
        <v>216</v>
      </c>
    </row>
    <row r="16" spans="1:14" ht="18" customHeight="1">
      <c r="A16" s="86" t="s">
        <v>454</v>
      </c>
      <c r="B16" s="86"/>
      <c r="C16" s="86"/>
      <c r="D16" s="86"/>
      <c r="E16" s="86"/>
      <c r="F16" s="91">
        <f>_xlfn.IFNA(VLOOKUP(封面!B1,'2021决算导出'!A:AO,41,FALSE),"")</f>
        <v>10000</v>
      </c>
      <c r="G16" s="91" t="s">
        <v>179</v>
      </c>
      <c r="H16" s="7" t="s">
        <v>179</v>
      </c>
      <c r="I16" s="7" t="s">
        <v>451</v>
      </c>
      <c r="L16" s="91">
        <f>_xlfn.IFNA(VLOOKUP(封面!B1,'2021决算导出'!A:AP,42,FALSE),"")</f>
        <v>27000</v>
      </c>
      <c r="M16" s="91" t="s">
        <v>179</v>
      </c>
      <c r="N16" s="7" t="s">
        <v>179</v>
      </c>
    </row>
    <row r="17" spans="1:14" ht="18" customHeight="1">
      <c r="A17" s="15" t="str">
        <f>IF(F16&gt;L16,"增加","减少")</f>
        <v>减少</v>
      </c>
      <c r="B17" s="91">
        <f>ABS(F16-L16)</f>
        <v>17000</v>
      </c>
      <c r="C17" s="91"/>
      <c r="D17" s="7" t="s">
        <v>216</v>
      </c>
    </row>
    <row r="18" spans="1:14" ht="36" customHeight="1">
      <c r="A18" s="84" t="s">
        <v>223</v>
      </c>
      <c r="B18" s="84"/>
      <c r="C18" s="84"/>
      <c r="D18" s="84"/>
      <c r="E18" s="84"/>
      <c r="F18" s="84"/>
      <c r="G18" s="84"/>
      <c r="H18" s="84"/>
      <c r="I18" s="84"/>
      <c r="J18" s="84"/>
      <c r="K18" s="84"/>
      <c r="L18" s="84"/>
      <c r="M18" s="84"/>
      <c r="N18" s="84"/>
    </row>
    <row r="19" spans="1:14" ht="18" customHeight="1">
      <c r="A19" s="88" t="s">
        <v>455</v>
      </c>
      <c r="B19" s="88"/>
      <c r="C19" s="88"/>
      <c r="D19" s="88"/>
      <c r="E19" s="88"/>
      <c r="F19" s="88"/>
      <c r="G19" s="91">
        <f>_xlfn.IFNA(VLOOKUP(封面!B1,'2021决算导出'!A:AQ,43,FALSE),"")</f>
        <v>5756.75</v>
      </c>
      <c r="H19" s="91" t="s">
        <v>179</v>
      </c>
      <c r="I19" s="7" t="s">
        <v>179</v>
      </c>
      <c r="J19" s="7" t="s">
        <v>224</v>
      </c>
      <c r="L19" s="91">
        <f>_xlfn.IFNA(VLOOKUP(封面!B1,'2021决算导出'!A:AR,44,FALSE),"")</f>
        <v>1658.25</v>
      </c>
      <c r="M19" s="91" t="s">
        <v>179</v>
      </c>
      <c r="N19" s="7" t="s">
        <v>179</v>
      </c>
    </row>
    <row r="20" spans="1:14" ht="18" customHeight="1">
      <c r="A20" s="88" t="s">
        <v>225</v>
      </c>
      <c r="B20" s="88"/>
      <c r="C20" s="91">
        <f>_xlfn.IFNA(VLOOKUP(封面!B1,'2021决算导出'!A:AS,45,FALSE),"")</f>
        <v>0</v>
      </c>
      <c r="D20" s="91" t="s">
        <v>179</v>
      </c>
      <c r="E20" s="7" t="s">
        <v>179</v>
      </c>
      <c r="F20" s="88" t="s">
        <v>226</v>
      </c>
      <c r="G20" s="88"/>
      <c r="H20" s="88"/>
      <c r="I20" s="91">
        <f>_xlfn.IFNA(VLOOKUP(封面!B1,'2021决算导出'!A:AT,46,FALSE),"")</f>
        <v>2585</v>
      </c>
      <c r="J20" s="91" t="s">
        <v>179</v>
      </c>
      <c r="K20" s="7" t="s">
        <v>216</v>
      </c>
    </row>
    <row r="21" spans="1:14" ht="18" customHeight="1">
      <c r="A21" s="88" t="s">
        <v>456</v>
      </c>
      <c r="B21" s="88"/>
      <c r="C21" s="88"/>
      <c r="D21" s="8">
        <f>_xlfn.IFNA(VLOOKUP(封面!B1,'2021决算导出'!A:AU,47,FALSE),"")</f>
        <v>1</v>
      </c>
      <c r="E21" s="85" t="s">
        <v>408</v>
      </c>
      <c r="F21" s="85"/>
      <c r="G21" s="85"/>
      <c r="H21" s="85"/>
      <c r="I21" s="85"/>
      <c r="J21" s="85"/>
      <c r="K21" s="85"/>
      <c r="L21" s="85"/>
      <c r="M21" s="54">
        <f>F16/D21</f>
        <v>10000</v>
      </c>
      <c r="N21" s="7" t="s">
        <v>216</v>
      </c>
    </row>
    <row r="22" spans="1:14" ht="18" customHeight="1">
      <c r="A22" s="6" t="s">
        <v>227</v>
      </c>
    </row>
    <row r="23" spans="1:14" ht="18" customHeight="1">
      <c r="A23" s="7" t="s">
        <v>228</v>
      </c>
    </row>
    <row r="24" spans="1:14" ht="18" customHeight="1">
      <c r="A24" s="6" t="s">
        <v>229</v>
      </c>
    </row>
    <row r="25" spans="1:14" ht="18" customHeight="1">
      <c r="A25" s="88" t="s">
        <v>457</v>
      </c>
      <c r="B25" s="88"/>
      <c r="C25" s="88"/>
      <c r="D25" s="88"/>
      <c r="E25" s="83">
        <f>_xlfn.IFNA(VLOOKUP(封面!B1,'2021决算导出'!A:AW,49,FALSE),"")</f>
        <v>3361874</v>
      </c>
      <c r="F25" s="83"/>
      <c r="G25" s="7" t="s">
        <v>179</v>
      </c>
      <c r="H25" s="88" t="s">
        <v>230</v>
      </c>
      <c r="I25" s="88"/>
      <c r="J25" s="88"/>
      <c r="K25" s="88"/>
      <c r="L25" s="83">
        <f>_xlfn.IFNA(VLOOKUP(封面!B1,'2021决算导出'!A:AX,50,FALSE),"")</f>
        <v>2885000</v>
      </c>
      <c r="M25" s="83" t="s">
        <v>179</v>
      </c>
      <c r="N25" s="7" t="s">
        <v>179</v>
      </c>
    </row>
    <row r="26" spans="1:14" ht="18" customHeight="1">
      <c r="A26" s="88" t="s">
        <v>231</v>
      </c>
      <c r="B26" s="88"/>
      <c r="C26" s="88"/>
      <c r="D26" s="83">
        <f>_xlfn.IFNA(VLOOKUP(封面!B1,'2021决算导出'!A:AY,51,FALSE),"")</f>
        <v>0</v>
      </c>
      <c r="E26" s="83" t="s">
        <v>179</v>
      </c>
      <c r="F26" s="7" t="s">
        <v>179</v>
      </c>
      <c r="G26" s="88" t="s">
        <v>232</v>
      </c>
      <c r="H26" s="88"/>
      <c r="I26" s="88"/>
      <c r="J26" s="83">
        <f>_xlfn.IFNA(VLOOKUP(封面!B1,'2021决算导出'!A:AZ,52,FALSE),"")</f>
        <v>476874</v>
      </c>
      <c r="K26" s="83" t="s">
        <v>179</v>
      </c>
      <c r="L26" s="7" t="s">
        <v>216</v>
      </c>
    </row>
    <row r="27" spans="1:14" ht="18" customHeight="1">
      <c r="A27" s="88" t="s">
        <v>233</v>
      </c>
      <c r="B27" s="88"/>
      <c r="C27" s="88"/>
      <c r="D27" s="88"/>
      <c r="E27" s="83">
        <f>_xlfn.IFNA(VLOOKUP(封面!B1,'2021决算导出'!A:BA,53,FALSE),"")</f>
        <v>3361874</v>
      </c>
      <c r="F27" s="83" t="s">
        <v>179</v>
      </c>
      <c r="G27" s="7" t="s">
        <v>179</v>
      </c>
      <c r="H27" s="86" t="s">
        <v>234</v>
      </c>
      <c r="I27" s="86"/>
      <c r="J27" s="86"/>
      <c r="K27" s="29">
        <f>E27/$E$25</f>
        <v>1</v>
      </c>
      <c r="L27" s="18" t="s">
        <v>315</v>
      </c>
      <c r="M27" s="7" t="s">
        <v>409</v>
      </c>
    </row>
    <row r="28" spans="1:14" ht="18" customHeight="1">
      <c r="A28" s="88" t="s">
        <v>235</v>
      </c>
      <c r="B28" s="88"/>
      <c r="C28" s="88"/>
      <c r="D28" s="88"/>
      <c r="E28" s="83">
        <f>_xlfn.IFNA(VLOOKUP(封面!B1,'2021决算导出'!A:BB,54,FALSE),"")</f>
        <v>3361874</v>
      </c>
      <c r="F28" s="83" t="s">
        <v>179</v>
      </c>
      <c r="G28" s="7" t="s">
        <v>179</v>
      </c>
      <c r="H28" s="86" t="s">
        <v>234</v>
      </c>
      <c r="I28" s="86"/>
      <c r="J28" s="86"/>
      <c r="K28" s="29">
        <f>E28/$E$25</f>
        <v>1</v>
      </c>
      <c r="L28" s="18" t="s">
        <v>317</v>
      </c>
    </row>
    <row r="29" spans="1:14" ht="18" customHeight="1">
      <c r="A29" s="6" t="s">
        <v>236</v>
      </c>
    </row>
    <row r="30" spans="1:14" ht="18" customHeight="1">
      <c r="A30" s="88" t="s">
        <v>458</v>
      </c>
      <c r="B30" s="88"/>
      <c r="C30" s="8">
        <f>_xlfn.IFNA(VLOOKUP(封面!B1,'2021决算导出'!A:BC,55,FALSE),"")</f>
        <v>1</v>
      </c>
      <c r="D30" s="7" t="s">
        <v>237</v>
      </c>
      <c r="M30" s="91">
        <f>_xlfn.IFNA(VLOOKUP(封面!B1,'2021决算导出'!A:BD,56,FALSE),"")</f>
        <v>170766</v>
      </c>
      <c r="N30" s="91" t="s">
        <v>179</v>
      </c>
    </row>
    <row r="31" spans="1:14" ht="18" customHeight="1">
      <c r="A31" s="12" t="s">
        <v>238</v>
      </c>
      <c r="B31" s="88" t="s">
        <v>239</v>
      </c>
      <c r="C31" s="88"/>
      <c r="D31" s="88"/>
      <c r="E31" s="88"/>
      <c r="F31" s="88"/>
      <c r="G31" s="8">
        <f>_xlfn.IFNA(VLOOKUP(封面!B1,'2021决算导出'!A:BE,57,FALSE),"")</f>
        <v>9</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4" t="s">
        <v>475</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User</cp:lastModifiedBy>
  <cp:lastPrinted>2022-08-25T04:56:47Z</cp:lastPrinted>
  <dcterms:created xsi:type="dcterms:W3CDTF">2021-08-26T09:47:38Z</dcterms:created>
  <dcterms:modified xsi:type="dcterms:W3CDTF">2022-08-27T10:58:49Z</dcterms:modified>
</cp:coreProperties>
</file>