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青\决算\2021年决算\255020外事学校决算公开（上交版）\"/>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79" i="5"/>
  <c r="A77" i="5"/>
  <c r="J73" i="5"/>
  <c r="E73" i="5"/>
  <c r="J71" i="5"/>
  <c r="E71" i="5"/>
  <c r="J69" i="5"/>
  <c r="E69" i="5"/>
  <c r="J67" i="5"/>
  <c r="J62" i="5"/>
  <c r="E67" i="5"/>
  <c r="J64" i="5"/>
  <c r="E64" i="5"/>
  <c r="E62" i="5"/>
  <c r="E60" i="5"/>
  <c r="J57" i="5"/>
  <c r="E57" i="5"/>
  <c r="J55" i="5"/>
  <c r="E55" i="5"/>
  <c r="E54" i="5"/>
  <c r="E53"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C68" i="5" l="1"/>
  <c r="G68" i="5" s="1"/>
  <c r="F70" i="5"/>
  <c r="B70" i="5"/>
  <c r="C70" i="5"/>
  <c r="G70" i="5" s="1"/>
  <c r="F68" i="5"/>
  <c r="B68" i="5"/>
  <c r="H10" i="5"/>
  <c r="K10" i="5" s="1"/>
  <c r="G10" i="5"/>
  <c r="G89" i="5"/>
  <c r="J82" i="5"/>
  <c r="E82" i="5"/>
  <c r="D80"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52" i="5" l="1"/>
  <c r="J50" i="5"/>
  <c r="E50" i="5"/>
  <c r="J47" i="5"/>
  <c r="E47" i="5"/>
  <c r="J45" i="5"/>
  <c r="E45" i="5"/>
  <c r="J42" i="5"/>
  <c r="E42" i="5"/>
  <c r="J39" i="5"/>
  <c r="E39" i="5"/>
  <c r="J36" i="5"/>
  <c r="E36" i="5"/>
  <c r="J34" i="5"/>
  <c r="E34" i="5"/>
  <c r="B74" i="5" l="1"/>
  <c r="F58" i="5"/>
  <c r="C63" i="5"/>
  <c r="G63" i="5" s="1"/>
  <c r="C72" i="5"/>
  <c r="G72" i="5" s="1"/>
  <c r="F35" i="5"/>
  <c r="F40" i="5"/>
  <c r="F46" i="5"/>
  <c r="F65" i="5"/>
  <c r="C74" i="5"/>
  <c r="G74" i="5" s="1"/>
  <c r="F74" i="5"/>
  <c r="F72" i="5"/>
  <c r="B72" i="5"/>
  <c r="B65" i="5"/>
  <c r="C65" i="5"/>
  <c r="G65" i="5" s="1"/>
  <c r="F63" i="5"/>
  <c r="B63" i="5"/>
  <c r="C58" i="5"/>
  <c r="G58" i="5" s="1"/>
  <c r="F37" i="5"/>
  <c r="F43" i="5"/>
  <c r="F48" i="5"/>
  <c r="F56" i="5"/>
  <c r="B58" i="5"/>
  <c r="B56" i="5"/>
  <c r="C56" i="5"/>
  <c r="G56" i="5" s="1"/>
  <c r="C43" i="5"/>
  <c r="G43" i="5" s="1"/>
  <c r="C51" i="5"/>
  <c r="G51" i="5" s="1"/>
  <c r="C35" i="5"/>
  <c r="G35" i="5" s="1"/>
  <c r="B51" i="5"/>
  <c r="F51" i="5"/>
  <c r="B48" i="5"/>
  <c r="C48" i="5"/>
  <c r="G48" i="5" s="1"/>
  <c r="B46" i="5"/>
  <c r="C46" i="5"/>
  <c r="G46" i="5" s="1"/>
  <c r="B43"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4" i="5" l="1"/>
  <c r="K11" i="6" l="1"/>
  <c r="I31" i="5"/>
  <c r="L11" i="6"/>
  <c r="F83" i="5"/>
  <c r="F85" i="5" s="1"/>
  <c r="E5" i="6"/>
  <c r="D5" i="6"/>
  <c r="H12" i="5"/>
  <c r="H19" i="5"/>
  <c r="H11" i="5"/>
  <c r="H20" i="5"/>
  <c r="H14" i="5"/>
  <c r="H15" i="5"/>
  <c r="C83" i="5"/>
  <c r="G83" i="5" s="1"/>
  <c r="E84" i="5"/>
  <c r="B83" i="5"/>
  <c r="B85" i="5" s="1"/>
  <c r="H13" i="5"/>
  <c r="H18" i="5"/>
  <c r="I27" i="5"/>
  <c r="I30" i="5"/>
  <c r="I29" i="5"/>
  <c r="I32" i="5"/>
  <c r="I28" i="5"/>
  <c r="C85" i="5" l="1"/>
  <c r="G85" i="5" s="1"/>
</calcChain>
</file>

<file path=xl/sharedStrings.xml><?xml version="1.0" encoding="utf-8"?>
<sst xmlns="http://schemas.openxmlformats.org/spreadsheetml/2006/main" count="4855" uniqueCount="489">
  <si>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</si>
  <si>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</si>
  <si>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</si>
  <si>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</si>
  <si>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</si>
  <si>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</si>
  <si>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</si>
  <si>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</si>
  <si>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</si>
  <si>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</si>
  <si>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</si>
  <si>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</si>
  <si>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</si>
  <si>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</si>
  <si>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</si>
  <si>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</si>
  <si>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</si>
  <si>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</si>
  <si>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</si>
  <si>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</si>
  <si>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</si>
  <si>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</si>
  <si>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</si>
  <si>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</si>
  <si>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</si>
  <si>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</si>
  <si>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</si>
  <si>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</si>
  <si>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</si>
  <si>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</si>
  <si>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</si>
  <si>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</si>
  <si>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</si>
  <si>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</si>
  <si>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</si>
  <si>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</si>
  <si>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</si>
  <si>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</si>
  <si>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</si>
  <si>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</si>
  <si>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</si>
  <si>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</si>
  <si>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</si>
  <si>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</si>
  <si>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</si>
  <si>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</si>
  <si>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</si>
  <si>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</si>
  <si>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</si>
  <si>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</si>
  <si>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</si>
  <si>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</si>
  <si>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</si>
  <si>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</si>
  <si>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</si>
  <si>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</si>
  <si>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</si>
  <si>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</si>
  <si>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</si>
  <si>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</si>
  <si>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</si>
  <si>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</si>
  <si>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</si>
  <si>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</si>
  <si>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</si>
  <si>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</si>
  <si>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</si>
  <si>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</si>
  <si>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</si>
  <si>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</si>
  <si>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</si>
  <si>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</si>
  <si>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</si>
  <si>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</si>
  <si>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</si>
  <si>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</si>
  <si>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</si>
  <si>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</si>
  <si>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</si>
  <si>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</si>
  <si>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</si>
  <si>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</si>
  <si>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</si>
  <si>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</si>
  <si>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</si>
  <si>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</si>
  <si>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</si>
  <si>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</si>
  <si>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</si>
  <si>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</si>
  <si>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</si>
  <si>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</si>
  <si>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</si>
  <si>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</si>
  <si>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</si>
  <si>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</si>
  <si>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</si>
  <si>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</si>
  <si>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</si>
  <si>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</si>
  <si>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</si>
  <si>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</si>
  <si>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</si>
  <si>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</si>
  <si>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</si>
  <si>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</si>
  <si>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</si>
  <si>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</si>
  <si>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</si>
  <si>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</si>
  <si>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</si>
  <si>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</si>
  <si>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</si>
  <si>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</si>
  <si>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</si>
  <si>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</si>
  <si>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</si>
  <si>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</si>
  <si>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</si>
  <si>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</si>
  <si>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</si>
  <si>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</si>
  <si>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</si>
  <si>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</si>
  <si>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</si>
  <si>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</si>
  <si>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</si>
  <si>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</si>
  <si>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</si>
  <si>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</si>
  <si>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</si>
  <si>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</si>
  <si>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</si>
  <si>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</si>
  <si>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</si>
  <si>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</si>
  <si>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</si>
  <si>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</si>
  <si>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</si>
  <si>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</si>
  <si>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</si>
  <si>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</si>
  <si>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</si>
  <si>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</si>
  <si>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</si>
  <si>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</si>
  <si>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</si>
  <si>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</si>
  <si>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</si>
  <si>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</si>
  <si>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</si>
  <si>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</si>
  <si>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</si>
  <si>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</si>
  <si>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</si>
  <si>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</si>
  <si>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</si>
  <si>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</si>
  <si>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</si>
  <si>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</si>
  <si>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</si>
  <si>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</si>
  <si>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</si>
  <si>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</si>
  <si>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</si>
  <si>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</si>
  <si>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</si>
  <si>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</si>
  <si>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</si>
  <si>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</si>
  <si>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</si>
  <si>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</si>
  <si>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</si>
  <si>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</si>
  <si>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</si>
  <si>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</si>
  <si>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</si>
  <si>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</si>
  <si>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</si>
  <si>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</si>
  <si>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</si>
  <si>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</si>
  <si>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</si>
  <si>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</si>
  <si>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</si>
  <si>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</si>
  <si>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</si>
  <si>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</si>
  <si>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</si>
  <si>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</si>
  <si>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</si>
  <si>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</si>
  <si>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</si>
  <si>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</si>
  <si>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主要原因是XXXXXX</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</si>
  <si>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</si>
  <si>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</si>
  <si>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</si>
  <si>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</si>
  <si>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</si>
  <si>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</si>
  <si>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</si>
  <si>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</si>
  <si>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</si>
  <si>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</si>
  <si>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</si>
  <si>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</si>
  <si>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</si>
  <si>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</si>
  <si>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</si>
  <si>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</si>
  <si>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</si>
  <si>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</si>
  <si>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</si>
  <si>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</si>
  <si>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</si>
  <si>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</si>
  <si>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</si>
  <si>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</si>
  <si>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</si>
  <si>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</si>
  <si>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</si>
  <si>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</si>
  <si>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</si>
  <si>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</si>
  <si>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</si>
  <si>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</si>
  <si>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</si>
  <si>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</si>
  <si>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</si>
  <si>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</si>
  <si>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</si>
  <si>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</si>
  <si>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</si>
  <si>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</si>
  <si>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</si>
  <si>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</si>
  <si>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</si>
  <si>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</si>
  <si>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</si>
  <si>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</si>
  <si>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</si>
  <si>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</si>
  <si>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</si>
  <si>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</si>
  <si>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</si>
  <si>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</si>
  <si>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</si>
  <si>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</si>
  <si>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</si>
  <si>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</si>
  <si>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</si>
  <si>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</si>
  <si>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</si>
  <si>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</si>
  <si>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</si>
  <si>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</si>
  <si>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</si>
  <si>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</si>
  <si>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</si>
  <si>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</si>
  <si>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</si>
  <si>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</si>
  <si>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</si>
  <si>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</si>
  <si>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</si>
  <si>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</si>
  <si>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</si>
  <si>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</si>
  <si>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</si>
  <si>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</si>
  <si>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</si>
  <si>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</si>
  <si>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</si>
  <si>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</si>
  <si>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</si>
  <si>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</si>
  <si>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</si>
  <si>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</si>
  <si>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</si>
  <si>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</si>
  <si>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</si>
  <si>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</si>
  <si>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</si>
  <si>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</si>
  <si>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</si>
  <si>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</si>
  <si>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</si>
  <si>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</si>
  <si>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</si>
  <si>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</si>
  <si>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</si>
  <si>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</si>
  <si>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</si>
  <si>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</si>
  <si>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</si>
  <si>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</si>
  <si>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</si>
  <si>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</si>
  <si>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</si>
  <si>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</si>
  <si>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</si>
  <si>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</si>
  <si>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</si>
  <si>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</si>
  <si>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</si>
  <si>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</si>
  <si>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</si>
  <si>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</si>
  <si>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</si>
  <si>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</si>
  <si>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</si>
  <si>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</si>
  <si>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</si>
  <si>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</si>
  <si>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</si>
  <si>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</si>
  <si>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</si>
  <si>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</si>
  <si>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</si>
  <si>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</si>
  <si>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</si>
  <si>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</si>
  <si>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</si>
  <si>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</si>
  <si>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</si>
  <si>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</si>
  <si>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</si>
  <si>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</si>
  <si>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</si>
  <si>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</si>
  <si>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</si>
  <si>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</si>
  <si>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</si>
  <si>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</si>
  <si>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</si>
  <si>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</si>
  <si>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</si>
  <si>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</si>
  <si>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</si>
  <si>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</si>
  <si>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</si>
  <si>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</si>
  <si>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</si>
  <si>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</si>
  <si>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</si>
  <si>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</si>
  <si>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</si>
  <si>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</si>
  <si>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</si>
  <si>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</si>
  <si>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</si>
  <si>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</si>
  <si>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</si>
  <si>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</si>
  <si>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</si>
  <si>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</si>
  <si>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</si>
  <si>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</si>
  <si>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</si>
  <si>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</si>
  <si>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</si>
  <si>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</si>
  <si>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</si>
  <si>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</si>
  <si>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</si>
  <si>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</si>
  <si>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</si>
  <si>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</si>
  <si>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</si>
  <si>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</si>
  <si>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</si>
  <si>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</si>
  <si>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</si>
  <si>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</si>
  <si>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</si>
  <si>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</si>
  <si>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</si>
  <si>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</si>
  <si>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</si>
  <si>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</si>
  <si>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</si>
  <si>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</si>
  <si>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</si>
  <si>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</si>
  <si>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</si>
  <si>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</si>
  <si>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</si>
  <si>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</si>
  <si>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</si>
  <si>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</si>
  <si>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</si>
  <si>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</si>
  <si>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</si>
  <si>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</si>
  <si>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</si>
  <si>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</si>
  <si>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</si>
  <si>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</si>
  <si>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</si>
  <si>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</si>
  <si>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</si>
  <si>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</si>
  <si>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</si>
  <si>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</si>
  <si>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</si>
  <si>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</si>
  <si>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</si>
  <si>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</si>
  <si>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</si>
  <si>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</si>
  <si>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</si>
  <si>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</si>
  <si>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</si>
  <si>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</si>
  <si>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</si>
  <si>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</si>
  <si>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</si>
  <si>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</si>
  <si>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</si>
  <si>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</si>
  <si>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</si>
  <si>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</si>
  <si>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</si>
  <si>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</si>
  <si>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</si>
  <si>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</si>
  <si>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</si>
  <si>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</si>
  <si>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</si>
  <si>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</si>
  <si>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</si>
  <si>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</si>
  <si>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</si>
  <si>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</si>
  <si>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</si>
  <si>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</si>
  <si>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</si>
  <si>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</si>
  <si>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</si>
  <si>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</si>
  <si>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</si>
  <si>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</si>
  <si>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</si>
  <si>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</si>
  <si>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</si>
  <si>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</si>
  <si>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</si>
  <si>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</si>
  <si>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</si>
  <si>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</si>
  <si>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</si>
  <si>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</si>
  <si>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</si>
  <si>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</si>
  <si>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</si>
  <si>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</si>
  <si>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</si>
  <si>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</si>
  <si>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</si>
  <si>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</si>
  <si>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</si>
  <si>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</si>
  <si>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</si>
  <si>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</si>
  <si>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</si>
  <si>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</si>
  <si>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</si>
  <si>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</si>
  <si>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</si>
  <si>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</si>
  <si>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</si>
  <si>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</si>
  <si>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</si>
  <si>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</si>
  <si>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</si>
  <si>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</si>
  <si>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</si>
  <si>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</si>
  <si>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北京市外事学校，原名北京市外事服务职业高中，创建于1980年。学校的主要职能：培养高中学历技术应用人才，外事服务/烹饪专业/经济贸易。学校现实行专业部管理制度，主要科室有德育处、教务处、总务处、招生就业处、校办、财务室、人事室、科研督导室、高星级饭店运营与管理、烹饪工艺与营养专业部。</t>
    <phoneticPr fontId="4" type="noConversion"/>
  </si>
  <si>
    <t>主要原因是是本年退休人员较多，在职人员减少，且一次性绩效少于去年。当年退休人员与退休当年去世的人员基本平衡，所以总体人员支出减少；在公用支出方面，厉行节约，过紧日子，支出也相应减少。项目安排资金减少116万元，总体支出减少。</t>
    <phoneticPr fontId="4" type="noConversion"/>
  </si>
  <si>
    <t>主要原因是项目资金调增。</t>
    <phoneticPr fontId="4" type="noConversion"/>
  </si>
  <si>
    <t>主要原因是项目资金调增。</t>
    <phoneticPr fontId="4" type="noConversion"/>
  </si>
  <si>
    <t>主要原因是压减培训支出</t>
    <phoneticPr fontId="4" type="noConversion"/>
  </si>
  <si>
    <t>主要原因是退休人员去世抚恤金。</t>
    <phoneticPr fontId="4" type="noConversion"/>
  </si>
  <si>
    <t>主要原因是在职职工因病去世。</t>
    <phoneticPr fontId="4" type="noConversion"/>
  </si>
  <si>
    <t>主要原因是社保基数增长导致。</t>
    <phoneticPr fontId="4" type="noConversion"/>
  </si>
  <si>
    <t>主要原因是住房公积金基数增长。</t>
    <phoneticPr fontId="4" type="noConversion"/>
  </si>
  <si>
    <t>主要原因是疫情原因，减少了用车，汽油费减少。</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</si>
</sst>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2" sqref="A12:M12"/>
    </sheetView>
  </sheetViews>
  <sheetFormatPr defaultRowHeight="14.25"/>
  <cols>
    <col min="1" max="1" width="16.5" customWidth="1"/>
    <col min="2" max="2" width="12.75" bestFit="1" customWidth="1"/>
  </cols>
  <sheetData>
    <row r="1" spans="1:14" ht="37.9" customHeight="1">
      <c r="A1" s="27" t="s">
        <v>0</v>
      </c>
      <c r="B1" s="28">
        <v>255030</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北京市外事学校</v>
      </c>
      <c r="B11" s="79"/>
      <c r="C11" s="79"/>
      <c r="D11" s="79"/>
      <c r="E11" s="79"/>
      <c r="F11" s="79"/>
      <c r="G11" s="79"/>
      <c r="H11" s="79"/>
      <c r="I11" s="79"/>
      <c r="J11" s="79"/>
      <c r="K11" s="79"/>
      <c r="L11" s="79"/>
      <c r="M11" s="79"/>
      <c r="N11" s="1"/>
    </row>
    <row r="12" spans="1:14" ht="72" customHeight="1">
      <c r="A12" s="79" t="s">
        <v>411</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412</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413</v>
      </c>
    </row>
    <row r="16" spans="1:14" ht="30" customHeight="1">
      <c r="C16" s="4" t="s">
        <v>414</v>
      </c>
    </row>
    <row r="17" spans="3:3" ht="30" customHeight="1">
      <c r="C17" s="4" t="s">
        <v>415</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416</v>
      </c>
      <c r="B10" s="81"/>
      <c r="C10" s="81"/>
      <c r="D10" s="81"/>
      <c r="E10" s="81"/>
      <c r="F10" s="81"/>
      <c r="G10" s="81"/>
      <c r="H10" s="81"/>
      <c r="I10" s="81"/>
      <c r="J10" s="81"/>
      <c r="K10" s="81"/>
      <c r="L10" s="81"/>
      <c r="M10" s="81"/>
      <c r="N10" s="81"/>
    </row>
    <row r="11" spans="1:14" ht="78" customHeight="1">
      <c r="A11" s="82" t="s">
        <v>476</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2"/>
  <sheetViews>
    <sheetView topLeftCell="A90" zoomScaleNormal="100" workbookViewId="0">
      <selection activeCell="A86" sqref="A86:XFD86"/>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413</v>
      </c>
      <c r="B1" s="81"/>
      <c r="C1" s="81"/>
      <c r="D1" s="81"/>
      <c r="E1" s="81"/>
      <c r="F1" s="81"/>
      <c r="G1" s="81"/>
      <c r="H1" s="81"/>
      <c r="I1" s="81"/>
      <c r="J1" s="81"/>
      <c r="K1" s="81"/>
      <c r="L1" s="81"/>
      <c r="M1" s="81"/>
      <c r="N1" s="59"/>
    </row>
    <row r="2" spans="1:14" ht="18" customHeight="1">
      <c r="A2" s="6" t="s">
        <v>174</v>
      </c>
    </row>
    <row r="3" spans="1:14" ht="18" customHeight="1">
      <c r="A3" s="7" t="s">
        <v>175</v>
      </c>
    </row>
    <row r="4" spans="1:14" ht="86.25" customHeight="1">
      <c r="A4" s="84" t="s">
        <v>479</v>
      </c>
      <c r="B4" s="84"/>
      <c r="C4" s="84"/>
      <c r="D4" s="84"/>
      <c r="E4" s="84"/>
      <c r="F4" s="84"/>
      <c r="G4" s="84"/>
      <c r="H4" s="84"/>
      <c r="I4" s="84"/>
      <c r="J4" s="84"/>
      <c r="K4" s="84"/>
      <c r="L4" s="84"/>
      <c r="M4" s="84"/>
      <c r="N4" s="19"/>
    </row>
    <row r="5" spans="1:14" ht="18" customHeight="1">
      <c r="A5" s="7" t="s">
        <v>176</v>
      </c>
    </row>
    <row r="6" spans="1:14" ht="18" customHeight="1">
      <c r="A6" s="88" t="s">
        <v>246</v>
      </c>
      <c r="B6" s="88"/>
      <c r="C6" s="10">
        <v>142</v>
      </c>
      <c r="D6" s="10" t="s">
        <v>248</v>
      </c>
      <c r="E6" s="8">
        <f>_xlfn.IFNA(VLOOKUP(封面!B1,'2021决算导出'!A:C,3,FALSE),"")</f>
        <v>125</v>
      </c>
      <c r="F6" s="10" t="s">
        <v>249</v>
      </c>
      <c r="G6" s="10"/>
      <c r="H6" s="10"/>
      <c r="I6" s="10"/>
      <c r="J6" s="10"/>
      <c r="K6" s="10"/>
      <c r="L6" s="10"/>
      <c r="M6" s="10"/>
      <c r="N6" s="10"/>
    </row>
    <row r="7" spans="1:14" ht="18" customHeight="1">
      <c r="A7" s="6" t="s">
        <v>177</v>
      </c>
    </row>
    <row r="8" spans="1:14" ht="18" customHeight="1">
      <c r="A8" s="88" t="s">
        <v>417</v>
      </c>
      <c r="B8" s="88"/>
      <c r="C8" s="88"/>
      <c r="D8" s="14">
        <f>_xlfn.IFNA(VLOOKUP(封面!B1,'2021决算导出'!A:D,4,FALSE),"")</f>
        <v>70647700</v>
      </c>
      <c r="E8" s="7" t="s">
        <v>179</v>
      </c>
      <c r="F8" s="20" t="s">
        <v>250</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6242717.4899999946</v>
      </c>
      <c r="I8" s="16" t="s">
        <v>179</v>
      </c>
      <c r="J8" s="30" t="str">
        <f>IF(ISNA(VLOOKUP(封面!B1,'2020决算导出'!A:D,4,FALSE)),"",IF(D8-VLOOKUP(封面!B1,'2020决算导出'!A:D,4,FALSE)&gt;0,"增长","下降"))</f>
        <v>下降</v>
      </c>
      <c r="K8" s="31">
        <f>IF(ISNA(VLOOKUP(封面!B1,'2020决算导出'!A:D,4,FALSE)),"",H8/VLOOKUP(封面!B1,'2020决算导出'!A:D,4,FALSE))</f>
        <v>8.1189798336208707E-2</v>
      </c>
      <c r="L8" s="7" t="s">
        <v>314</v>
      </c>
    </row>
    <row r="9" spans="1:14" ht="18" customHeight="1">
      <c r="A9" s="7" t="s">
        <v>180</v>
      </c>
      <c r="G9" s="32"/>
      <c r="H9" s="32"/>
      <c r="I9" s="32"/>
      <c r="J9" s="32"/>
      <c r="K9" s="32"/>
    </row>
    <row r="10" spans="1:14" ht="18" customHeight="1">
      <c r="A10" s="88" t="s">
        <v>418</v>
      </c>
      <c r="B10" s="88"/>
      <c r="C10" s="88"/>
      <c r="D10" s="14">
        <f>_xlfn.IFNA(VLOOKUP(封面!B1,'2021决算导出'!A:E,5,FALSE),"")</f>
        <v>70502236.879999995</v>
      </c>
      <c r="E10" s="7" t="s">
        <v>179</v>
      </c>
      <c r="F10" s="20" t="s">
        <v>250</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5858839.0500000119</v>
      </c>
      <c r="I10" s="16" t="s">
        <v>179</v>
      </c>
      <c r="J10" s="30" t="str">
        <f>IF(ISNA(VLOOKUP(封面!B1,'2020决算导出'!A:E,5,FALSE)),"",IF(D10-VLOOKUP(封面!B1,'2020决算导出'!A:E,5,FALSE)&gt;0,"增长","下降"))</f>
        <v>下降</v>
      </c>
      <c r="K10" s="31">
        <f>IF(ISNA(VLOOKUP(封面!B1,'2020决算导出'!A:E,5,FALSE)),"",H10/VLOOKUP(封面!B1,'2020决算导出'!A:E,5,FALSE))</f>
        <v>7.6725464886990252E-2</v>
      </c>
      <c r="L10" s="7" t="s">
        <v>315</v>
      </c>
    </row>
    <row r="11" spans="1:14" ht="18" customHeight="1">
      <c r="A11" s="88" t="s">
        <v>181</v>
      </c>
      <c r="B11" s="88"/>
      <c r="C11" s="88"/>
      <c r="D11" s="14">
        <f>_xlfn.IFNA(VLOOKUP(封面!B1,'2021决算导出'!A:F,6,FALSE),"")</f>
        <v>70502236.879999995</v>
      </c>
      <c r="E11" s="7" t="s">
        <v>179</v>
      </c>
      <c r="F11" s="88" t="s">
        <v>182</v>
      </c>
      <c r="G11" s="88"/>
      <c r="H11" s="29">
        <f>D11/$D$10</f>
        <v>1</v>
      </c>
      <c r="I11" s="7" t="s">
        <v>316</v>
      </c>
    </row>
    <row r="12" spans="1:14" ht="18" customHeight="1">
      <c r="A12" s="88" t="s">
        <v>184</v>
      </c>
      <c r="B12" s="88"/>
      <c r="C12" s="88"/>
      <c r="D12" s="14">
        <f>_xlfn.IFNA(VLOOKUP(封面!B1,'2021决算导出'!A:G,7,FALSE),"")</f>
        <v>0</v>
      </c>
      <c r="E12" s="7" t="s">
        <v>179</v>
      </c>
      <c r="F12" s="88" t="s">
        <v>182</v>
      </c>
      <c r="G12" s="88"/>
      <c r="H12" s="29">
        <f t="shared" ref="H12:H15" si="0">D12/$D$10</f>
        <v>0</v>
      </c>
      <c r="I12" s="7" t="s">
        <v>316</v>
      </c>
    </row>
    <row r="13" spans="1:14" ht="18" customHeight="1">
      <c r="A13" s="88" t="s">
        <v>185</v>
      </c>
      <c r="B13" s="88"/>
      <c r="C13" s="88"/>
      <c r="D13" s="14">
        <f>_xlfn.IFNA(VLOOKUP(封面!B1,'2021决算导出'!A:H,8,FALSE),"")</f>
        <v>0</v>
      </c>
      <c r="E13" s="7" t="s">
        <v>179</v>
      </c>
      <c r="F13" s="88" t="s">
        <v>182</v>
      </c>
      <c r="G13" s="88"/>
      <c r="H13" s="29">
        <f t="shared" si="0"/>
        <v>0</v>
      </c>
      <c r="I13" s="7" t="s">
        <v>316</v>
      </c>
    </row>
    <row r="14" spans="1:14" ht="18" customHeight="1">
      <c r="A14" s="88" t="s">
        <v>186</v>
      </c>
      <c r="B14" s="88"/>
      <c r="C14" s="88"/>
      <c r="D14" s="14">
        <f>_xlfn.IFNA(VLOOKUP(封面!B1,'2021决算导出'!A:I,9,FALSE),"")</f>
        <v>0</v>
      </c>
      <c r="E14" s="7" t="s">
        <v>179</v>
      </c>
      <c r="F14" s="88" t="s">
        <v>182</v>
      </c>
      <c r="G14" s="88"/>
      <c r="H14" s="29">
        <f t="shared" si="0"/>
        <v>0</v>
      </c>
      <c r="I14" s="7" t="s">
        <v>316</v>
      </c>
    </row>
    <row r="15" spans="1:14" ht="18" customHeight="1">
      <c r="A15" s="88" t="s">
        <v>187</v>
      </c>
      <c r="B15" s="88"/>
      <c r="C15" s="88"/>
      <c r="D15" s="14">
        <f>_xlfn.IFNA(VLOOKUP(封面!B1,'2021决算导出'!A:J,10,FALSE),"")</f>
        <v>0</v>
      </c>
      <c r="E15" s="7" t="s">
        <v>179</v>
      </c>
      <c r="F15" s="88" t="s">
        <v>182</v>
      </c>
      <c r="G15" s="88"/>
      <c r="H15" s="29">
        <f t="shared" si="0"/>
        <v>0</v>
      </c>
      <c r="I15" s="7" t="s">
        <v>317</v>
      </c>
    </row>
    <row r="16" spans="1:14" ht="18" customHeight="1">
      <c r="A16" s="7" t="s">
        <v>188</v>
      </c>
    </row>
    <row r="17" spans="1:13" ht="18" customHeight="1">
      <c r="A17" s="88" t="s">
        <v>419</v>
      </c>
      <c r="B17" s="88"/>
      <c r="C17" s="88"/>
      <c r="D17" s="14">
        <f>_xlfn.IFNA(VLOOKUP(封面!B1,'2021决算导出'!A:K,11,FALSE),"")</f>
        <v>70620632.359999999</v>
      </c>
      <c r="E17" s="7" t="s">
        <v>179</v>
      </c>
      <c r="F17" s="20" t="s">
        <v>250</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6269785.1299999952</v>
      </c>
      <c r="I17" s="7" t="s">
        <v>179</v>
      </c>
      <c r="J17" s="30" t="str">
        <f>IF(ISNA(VLOOKUP(封面!B1,'2020决算导出'!A:K,11,FALSE)),"",IF(D17-VLOOKUP(封面!B1,'2020决算导出'!A:K,11,FALSE)&gt;0,"增长","下降"))</f>
        <v>下降</v>
      </c>
      <c r="K17" s="31">
        <f>IF(ISNA(VLOOKUP(封面!B1,'2020决算导出'!A:K,11,FALSE)),"",H17/VLOOKUP(封面!B1,'2020决算导出'!A:K,11,FALSE))</f>
        <v>8.1541827117994431E-2</v>
      </c>
      <c r="L17" s="7" t="s">
        <v>318</v>
      </c>
    </row>
    <row r="18" spans="1:13" ht="18" customHeight="1">
      <c r="A18" s="88" t="s">
        <v>189</v>
      </c>
      <c r="B18" s="88"/>
      <c r="C18" s="88"/>
      <c r="D18" s="14">
        <f>_xlfn.IFNA(VLOOKUP(封面!B1,'2021决算导出'!A:L,12,FALSE),"")</f>
        <v>59958418.130000003</v>
      </c>
      <c r="E18" s="7" t="s">
        <v>179</v>
      </c>
      <c r="F18" s="88" t="s">
        <v>190</v>
      </c>
      <c r="G18" s="88"/>
      <c r="H18" s="29">
        <f>D18/$D$17</f>
        <v>0.84902125804187578</v>
      </c>
      <c r="I18" s="7" t="s">
        <v>316</v>
      </c>
    </row>
    <row r="19" spans="1:13" ht="18" customHeight="1">
      <c r="A19" s="88" t="s">
        <v>191</v>
      </c>
      <c r="B19" s="88"/>
      <c r="C19" s="88"/>
      <c r="D19" s="14">
        <f>_xlfn.IFNA(VLOOKUP(封面!B1,'2021决算导出'!A:M,13,FALSE),"")</f>
        <v>10662214.23</v>
      </c>
      <c r="E19" s="7" t="s">
        <v>179</v>
      </c>
      <c r="F19" s="88" t="s">
        <v>190</v>
      </c>
      <c r="G19" s="88"/>
      <c r="H19" s="29">
        <f t="shared" ref="H19:H20" si="1">D19/$D$17</f>
        <v>0.15097874195812427</v>
      </c>
      <c r="I19" s="7" t="s">
        <v>316</v>
      </c>
    </row>
    <row r="20" spans="1:13" ht="18" customHeight="1">
      <c r="A20" s="88" t="s">
        <v>192</v>
      </c>
      <c r="B20" s="88"/>
      <c r="C20" s="88"/>
      <c r="D20" s="14">
        <f>_xlfn.IFNA(VLOOKUP(封面!B1,'2021决算导出'!A:N,14,FALSE),"")</f>
        <v>0</v>
      </c>
      <c r="E20" s="7" t="s">
        <v>179</v>
      </c>
      <c r="F20" s="88" t="s">
        <v>190</v>
      </c>
      <c r="G20" s="88"/>
      <c r="H20" s="29">
        <f t="shared" si="1"/>
        <v>0</v>
      </c>
      <c r="I20" s="7" t="s">
        <v>317</v>
      </c>
    </row>
    <row r="21" spans="1:13" ht="18" customHeight="1">
      <c r="A21" s="6" t="s">
        <v>193</v>
      </c>
    </row>
    <row r="22" spans="1:13" ht="18" customHeight="1">
      <c r="A22" s="88" t="s">
        <v>420</v>
      </c>
      <c r="B22" s="88"/>
      <c r="C22" s="88"/>
      <c r="D22" s="88"/>
      <c r="E22" s="83">
        <f>_xlfn.IFNA(VLOOKUP(封面!B1,'2021决算导出'!A:O,15,FALSE),"")</f>
        <v>70502236.879999995</v>
      </c>
      <c r="F22" s="83"/>
      <c r="G22" s="15" t="s">
        <v>250</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6388180.6099999994</v>
      </c>
      <c r="J22" s="7" t="s">
        <v>179</v>
      </c>
      <c r="K22" s="30" t="str">
        <f>IF(ISNA(VLOOKUP(封面!B1,'2020决算导出'!A:O,15,FALSE)),"",IF(E22-VLOOKUP(封面!B1,'2020决算导出'!A:O,15,FALSE)&gt;0,"增长","下降"))</f>
        <v>下降</v>
      </c>
      <c r="L22" s="31">
        <f>IF(ISNA(VLOOKUP(封面!B1,'2020决算导出'!A:O,15,FALSE)),"",I22/VLOOKUP(封面!B1,'2020决算导出'!A:O,15,FALSE))</f>
        <v>8.3081622112805092E-2</v>
      </c>
      <c r="M22" s="7" t="s">
        <v>314</v>
      </c>
    </row>
    <row r="23" spans="1:13" ht="63.6" customHeight="1">
      <c r="B23" s="90" t="s">
        <v>480</v>
      </c>
      <c r="C23" s="90"/>
      <c r="D23" s="90"/>
      <c r="E23" s="90"/>
      <c r="F23" s="90"/>
      <c r="G23" s="90"/>
      <c r="H23" s="90"/>
      <c r="I23" s="90"/>
      <c r="J23" s="90"/>
      <c r="K23" s="90"/>
      <c r="L23" s="90"/>
      <c r="M23" s="90"/>
    </row>
    <row r="24" spans="1:13" ht="18" customHeight="1">
      <c r="A24" s="6" t="s">
        <v>195</v>
      </c>
    </row>
    <row r="25" spans="1:13" ht="18" customHeight="1">
      <c r="A25" s="7" t="s">
        <v>196</v>
      </c>
    </row>
    <row r="26" spans="1:13" ht="18" customHeight="1">
      <c r="A26" s="88" t="s">
        <v>421</v>
      </c>
      <c r="B26" s="88"/>
      <c r="C26" s="88"/>
      <c r="D26" s="88"/>
      <c r="E26" s="88"/>
      <c r="F26" s="83">
        <f>_xlfn.IFNA(VLOOKUP(封面!B1,'2021决算导出'!A:P,16,FALSE),"")</f>
        <v>70475169.239999995</v>
      </c>
      <c r="G26" s="83"/>
      <c r="H26" s="7" t="s">
        <v>179</v>
      </c>
      <c r="I26" s="10" t="s">
        <v>197</v>
      </c>
      <c r="J26" s="10"/>
      <c r="K26" s="10"/>
      <c r="L26" s="10"/>
      <c r="M26" s="10"/>
    </row>
    <row r="27" spans="1:13" ht="18" customHeight="1">
      <c r="A27" s="88" t="s">
        <v>200</v>
      </c>
      <c r="B27" s="88"/>
      <c r="C27" s="88"/>
      <c r="D27" s="83">
        <f>_xlfn.IFNA(VLOOKUP(封面!B1,'2021决算导出'!A:Q,17,FALSE),"")</f>
        <v>43399005.25</v>
      </c>
      <c r="E27" s="83"/>
      <c r="F27" s="7" t="s">
        <v>179</v>
      </c>
      <c r="G27" s="86" t="s">
        <v>199</v>
      </c>
      <c r="H27" s="86"/>
      <c r="I27" s="29">
        <f>D27/$F$26</f>
        <v>0.61580561945451529</v>
      </c>
      <c r="J27" s="7" t="s">
        <v>316</v>
      </c>
      <c r="K27" s="9"/>
      <c r="L27" s="9"/>
      <c r="M27" s="9"/>
    </row>
    <row r="28" spans="1:13" ht="18" customHeight="1">
      <c r="A28" s="88" t="s">
        <v>201</v>
      </c>
      <c r="B28" s="88"/>
      <c r="C28" s="88"/>
      <c r="D28" s="83">
        <f>_xlfn.IFNA(VLOOKUP(封面!B1,'2021决算导出'!A:R,18,FALSE),"")</f>
        <v>0</v>
      </c>
      <c r="E28" s="83"/>
      <c r="F28" s="7" t="s">
        <v>179</v>
      </c>
      <c r="G28" s="86" t="s">
        <v>199</v>
      </c>
      <c r="H28" s="86"/>
      <c r="I28" s="29">
        <f t="shared" ref="I28:I32" si="2">D28/$F$26</f>
        <v>0</v>
      </c>
      <c r="J28" s="7" t="s">
        <v>316</v>
      </c>
      <c r="K28" s="9"/>
      <c r="L28" s="9"/>
      <c r="M28" s="9"/>
    </row>
    <row r="29" spans="1:13" ht="18" customHeight="1">
      <c r="A29" s="88" t="s">
        <v>198</v>
      </c>
      <c r="B29" s="88"/>
      <c r="C29" s="88"/>
      <c r="D29" s="83">
        <f>_xlfn.IFNA(VLOOKUP(封面!B1,'2021决算导出'!A:S,19,FALSE),"")</f>
        <v>15484018.85</v>
      </c>
      <c r="E29" s="83"/>
      <c r="F29" s="7" t="s">
        <v>179</v>
      </c>
      <c r="G29" s="86" t="s">
        <v>199</v>
      </c>
      <c r="H29" s="86"/>
      <c r="I29" s="29">
        <f t="shared" si="2"/>
        <v>0.21970885656577674</v>
      </c>
      <c r="J29" s="7" t="s">
        <v>316</v>
      </c>
    </row>
    <row r="30" spans="1:13" ht="18" customHeight="1">
      <c r="A30" s="88" t="s">
        <v>202</v>
      </c>
      <c r="B30" s="88"/>
      <c r="C30" s="88"/>
      <c r="D30" s="83">
        <f>_xlfn.IFNA(VLOOKUP(封面!B1,'2021决算导出'!A:T,20,FALSE),"")</f>
        <v>4664121.1399999997</v>
      </c>
      <c r="E30" s="83"/>
      <c r="F30" s="7" t="s">
        <v>179</v>
      </c>
      <c r="G30" s="86" t="s">
        <v>199</v>
      </c>
      <c r="H30" s="86"/>
      <c r="I30" s="29">
        <f t="shared" si="2"/>
        <v>6.6181056254246751E-2</v>
      </c>
      <c r="J30" s="7" t="s">
        <v>316</v>
      </c>
    </row>
    <row r="31" spans="1:13" ht="18" customHeight="1">
      <c r="A31" s="88" t="s">
        <v>203</v>
      </c>
      <c r="B31" s="88"/>
      <c r="C31" s="88"/>
      <c r="D31" s="83">
        <f>_xlfn.IFNA(VLOOKUP(封面!B1,'2021决算导出'!A:U,21,FALSE),"")</f>
        <v>0</v>
      </c>
      <c r="E31" s="83"/>
      <c r="F31" s="7" t="s">
        <v>179</v>
      </c>
      <c r="G31" s="86" t="s">
        <v>199</v>
      </c>
      <c r="H31" s="86"/>
      <c r="I31" s="29">
        <f t="shared" si="2"/>
        <v>0</v>
      </c>
      <c r="J31" s="7" t="s">
        <v>316</v>
      </c>
    </row>
    <row r="32" spans="1:13" ht="18" customHeight="1">
      <c r="A32" s="88" t="s">
        <v>204</v>
      </c>
      <c r="B32" s="88"/>
      <c r="C32" s="88"/>
      <c r="D32" s="83">
        <f>_xlfn.IFNA(VLOOKUP(封面!B1,'2021决算导出'!A:V,22,FALSE),"")</f>
        <v>6928024</v>
      </c>
      <c r="E32" s="83"/>
      <c r="F32" s="7" t="s">
        <v>179</v>
      </c>
      <c r="G32" s="86" t="s">
        <v>199</v>
      </c>
      <c r="H32" s="86"/>
      <c r="I32" s="29">
        <f t="shared" si="2"/>
        <v>9.8304467725461267E-2</v>
      </c>
      <c r="J32" s="7" t="s">
        <v>316</v>
      </c>
    </row>
    <row r="33" spans="1:12" ht="18" customHeight="1">
      <c r="A33" s="7" t="s">
        <v>205</v>
      </c>
    </row>
    <row r="34" spans="1:12" ht="18" customHeight="1">
      <c r="A34" s="85" t="s">
        <v>422</v>
      </c>
      <c r="B34" s="85"/>
      <c r="C34" s="85"/>
      <c r="D34" s="85"/>
      <c r="E34" s="83">
        <f>_xlfn.IFNA(VLOOKUP(封面!B1,一般公共预算财政拨款支出决算具体情况!A:C,3,FALSE),"")</f>
        <v>43399005.25</v>
      </c>
      <c r="F34" s="83"/>
      <c r="G34" s="7" t="s">
        <v>179</v>
      </c>
      <c r="H34" s="86" t="s">
        <v>423</v>
      </c>
      <c r="I34" s="86"/>
      <c r="J34" s="83">
        <f>_xlfn.IFNA(VLOOKUP(封面!B1,一般公共预算财政拨款支出决算具体情况!A:D,4,FALSE),"")</f>
        <v>38638127.369999997</v>
      </c>
      <c r="K34" s="83"/>
      <c r="L34" s="11" t="s">
        <v>178</v>
      </c>
    </row>
    <row r="35" spans="1:12" ht="18" customHeight="1">
      <c r="B35" s="15" t="str">
        <f>IF(E34&gt;J34,"增加","减少")</f>
        <v>增加</v>
      </c>
      <c r="C35" s="83">
        <f>ABS(E34-J34)</f>
        <v>4760877.8800000027</v>
      </c>
      <c r="D35" s="83"/>
      <c r="E35" s="7" t="s">
        <v>179</v>
      </c>
      <c r="F35" s="15" t="str">
        <f>IF(E34&gt;J34,"增长","下降")</f>
        <v>增长</v>
      </c>
      <c r="G35" s="34">
        <f>IF(J34=0,IF(E34&gt;0,1,""),C35/J34)</f>
        <v>0.12321709679171761</v>
      </c>
      <c r="H35" s="7" t="s">
        <v>317</v>
      </c>
      <c r="I35" s="11" t="s">
        <v>206</v>
      </c>
    </row>
    <row r="36" spans="1:12" ht="18" customHeight="1">
      <c r="A36" s="88" t="s">
        <v>424</v>
      </c>
      <c r="B36" s="88"/>
      <c r="C36" s="88"/>
      <c r="D36" s="88"/>
      <c r="E36" s="83">
        <f>_xlfn.IFNA(VLOOKUP(封面!B1,一般公共预算财政拨款支出决算具体情况!A:E,5,FALSE),"")</f>
        <v>0</v>
      </c>
      <c r="F36" s="83"/>
      <c r="G36" s="7" t="s">
        <v>179</v>
      </c>
      <c r="H36" s="86" t="s">
        <v>423</v>
      </c>
      <c r="I36" s="86"/>
      <c r="J36" s="83">
        <f>_xlfn.IFNA(VLOOKUP(封面!B1,一般公共预算财政拨款支出决算具体情况!A:F,6,FALSE),"")</f>
        <v>0</v>
      </c>
      <c r="K36" s="83"/>
      <c r="L36" s="11" t="s">
        <v>178</v>
      </c>
    </row>
    <row r="37" spans="1:12" ht="18" customHeight="1">
      <c r="A37" s="15"/>
      <c r="B37" s="15" t="str">
        <f>IF(E36&gt;J36,"增加","减少")</f>
        <v>减少</v>
      </c>
      <c r="C37" s="83">
        <f>ABS(E36-J36)</f>
        <v>0</v>
      </c>
      <c r="D37" s="83"/>
      <c r="E37" s="7" t="s">
        <v>179</v>
      </c>
      <c r="F37" s="15" t="str">
        <f>IF(E36&gt;J36,"增长","下降")</f>
        <v>下降</v>
      </c>
      <c r="G37" s="34" t="str">
        <f>IF(J36=0,IF(E36&gt;0,1,""),C37/J36)</f>
        <v/>
      </c>
      <c r="H37" s="7" t="s">
        <v>317</v>
      </c>
    </row>
    <row r="38" spans="1:12" ht="36" customHeight="1">
      <c r="B38" s="84" t="s">
        <v>481</v>
      </c>
      <c r="C38" s="84"/>
      <c r="D38" s="84"/>
      <c r="E38" s="84"/>
      <c r="F38" s="84"/>
      <c r="G38" s="84"/>
      <c r="H38" s="84"/>
      <c r="I38" s="84"/>
      <c r="J38" s="84"/>
      <c r="K38" s="84"/>
      <c r="L38" s="84"/>
    </row>
    <row r="39" spans="1:12" ht="18" customHeight="1">
      <c r="A39" s="88" t="s">
        <v>425</v>
      </c>
      <c r="B39" s="88"/>
      <c r="C39" s="88"/>
      <c r="D39" s="88"/>
      <c r="E39" s="83">
        <f>_xlfn.IFNA(VLOOKUP(封面!B1,一般公共预算财政拨款支出决算具体情况!A:G,7,FALSE),"")</f>
        <v>43313111.25</v>
      </c>
      <c r="F39" s="83"/>
      <c r="G39" s="7" t="s">
        <v>179</v>
      </c>
      <c r="H39" s="86" t="s">
        <v>423</v>
      </c>
      <c r="I39" s="86"/>
      <c r="J39" s="83">
        <f>_xlfn.IFNA(VLOOKUP(封面!B1,一般公共预算财政拨款支出决算具体情况!A:H,8,FALSE),"")</f>
        <v>38546327.369999997</v>
      </c>
      <c r="K39" s="83"/>
      <c r="L39" s="11" t="s">
        <v>178</v>
      </c>
    </row>
    <row r="40" spans="1:12" ht="18" customHeight="1">
      <c r="A40" s="15"/>
      <c r="B40" s="15" t="str">
        <f>IF(E39&gt;J39,"增加","减少")</f>
        <v>增加</v>
      </c>
      <c r="C40" s="83">
        <f>ABS(E39-J39)</f>
        <v>4766783.8800000027</v>
      </c>
      <c r="D40" s="83"/>
      <c r="E40" s="7" t="s">
        <v>179</v>
      </c>
      <c r="F40" s="15" t="str">
        <f>IF(E39&gt;J39,"增长","下降")</f>
        <v>增长</v>
      </c>
      <c r="G40" s="34">
        <f>IF(J39=0,IF(E39&gt;0,1,""),C40/J39)</f>
        <v>0.12366376267820306</v>
      </c>
      <c r="H40" s="7" t="s">
        <v>317</v>
      </c>
    </row>
    <row r="41" spans="1:12" ht="36" customHeight="1">
      <c r="B41" s="84" t="s">
        <v>482</v>
      </c>
      <c r="C41" s="84"/>
      <c r="D41" s="84"/>
      <c r="E41" s="84"/>
      <c r="F41" s="84"/>
      <c r="G41" s="84"/>
      <c r="H41" s="84"/>
      <c r="I41" s="84"/>
      <c r="J41" s="84"/>
      <c r="K41" s="84"/>
      <c r="L41" s="84"/>
    </row>
    <row r="42" spans="1:12" ht="18" customHeight="1">
      <c r="A42" s="88" t="s">
        <v>426</v>
      </c>
      <c r="B42" s="88"/>
      <c r="C42" s="88"/>
      <c r="D42" s="88"/>
      <c r="E42" s="83">
        <f>_xlfn.IFNA(VLOOKUP(封面!B1,一般公共预算财政拨款支出决算具体情况!A:I,9,FALSE),"")</f>
        <v>0</v>
      </c>
      <c r="F42" s="83"/>
      <c r="G42" s="7" t="s">
        <v>179</v>
      </c>
      <c r="H42" s="86" t="s">
        <v>423</v>
      </c>
      <c r="I42" s="86"/>
      <c r="J42" s="83">
        <f>_xlfn.IFNA(VLOOKUP(封面!B1,一般公共预算财政拨款支出决算具体情况!A:J,10,FALSE),"")</f>
        <v>0</v>
      </c>
      <c r="K42" s="83"/>
      <c r="L42" s="11" t="s">
        <v>178</v>
      </c>
    </row>
    <row r="43" spans="1:12" ht="18" customHeight="1">
      <c r="A43" s="15"/>
      <c r="B43" s="15" t="str">
        <f>IF(E42&gt;J42,"增加","减少")</f>
        <v>减少</v>
      </c>
      <c r="C43" s="83">
        <f>ABS(E42-J42)</f>
        <v>0</v>
      </c>
      <c r="D43" s="83"/>
      <c r="E43" s="7" t="s">
        <v>179</v>
      </c>
      <c r="F43" s="15" t="str">
        <f>IF(E42&gt;J42,"增长","下降")</f>
        <v>下降</v>
      </c>
      <c r="G43" s="34" t="str">
        <f>IF(J42=0,IF(E42&gt;0,1,""),C43/J42)</f>
        <v/>
      </c>
      <c r="H43" s="7" t="s">
        <v>317</v>
      </c>
    </row>
    <row r="44" spans="1:12" ht="36" customHeight="1">
      <c r="B44" s="84" t="s">
        <v>194</v>
      </c>
      <c r="C44" s="84"/>
      <c r="D44" s="84"/>
      <c r="E44" s="84"/>
      <c r="F44" s="84"/>
      <c r="G44" s="84"/>
      <c r="H44" s="84"/>
      <c r="I44" s="84"/>
      <c r="J44" s="84"/>
      <c r="K44" s="84"/>
      <c r="L44" s="84"/>
    </row>
    <row r="45" spans="1:12" ht="18" customHeight="1">
      <c r="A45" s="88" t="s">
        <v>427</v>
      </c>
      <c r="B45" s="88"/>
      <c r="C45" s="88"/>
      <c r="D45" s="88"/>
      <c r="E45" s="83">
        <f>_xlfn.IFNA(VLOOKUP(封面!B1,一般公共预算财政拨款支出决算具体情况!A:K,11,FALSE),"")</f>
        <v>0</v>
      </c>
      <c r="F45" s="83"/>
      <c r="G45" s="7" t="s">
        <v>179</v>
      </c>
      <c r="H45" s="86" t="s">
        <v>423</v>
      </c>
      <c r="I45" s="86"/>
      <c r="J45" s="83">
        <f>_xlfn.IFNA(VLOOKUP(封面!B1,一般公共预算财政拨款支出决算具体情况!A:L,12,FALSE),"")</f>
        <v>0</v>
      </c>
      <c r="K45" s="83"/>
      <c r="L45" s="11" t="s">
        <v>178</v>
      </c>
    </row>
    <row r="46" spans="1:12" ht="18" customHeight="1">
      <c r="A46" s="15"/>
      <c r="B46" s="15" t="str">
        <f>IF(E45&gt;J45,"增加","减少")</f>
        <v>减少</v>
      </c>
      <c r="C46" s="83">
        <f>ABS(E45-J45)</f>
        <v>0</v>
      </c>
      <c r="D46" s="83"/>
      <c r="E46" s="7" t="s">
        <v>179</v>
      </c>
      <c r="F46" s="15" t="str">
        <f>IF(E45&gt;J45,"增长","下降")</f>
        <v>下降</v>
      </c>
      <c r="G46" s="34" t="str">
        <f>IF(J45=0,IF(E45&gt;0,1,""),C46/J45)</f>
        <v/>
      </c>
      <c r="H46" s="7" t="s">
        <v>317</v>
      </c>
    </row>
    <row r="47" spans="1:12" ht="18" customHeight="1">
      <c r="A47" s="88" t="s">
        <v>428</v>
      </c>
      <c r="B47" s="88"/>
      <c r="C47" s="88"/>
      <c r="D47" s="88"/>
      <c r="E47" s="83">
        <f>_xlfn.IFNA(VLOOKUP(封面!B1,一般公共预算财政拨款支出决算具体情况!A:M,13,FALSE),"")</f>
        <v>85894</v>
      </c>
      <c r="F47" s="83"/>
      <c r="G47" s="7" t="s">
        <v>179</v>
      </c>
      <c r="H47" s="86" t="s">
        <v>423</v>
      </c>
      <c r="I47" s="86"/>
      <c r="J47" s="83">
        <f>_xlfn.IFNA(VLOOKUP(封面!B1,一般公共预算财政拨款支出决算具体情况!A:N,14,FALSE),"")</f>
        <v>91800</v>
      </c>
      <c r="K47" s="83"/>
      <c r="L47" s="11" t="s">
        <v>178</v>
      </c>
    </row>
    <row r="48" spans="1:12" ht="18" customHeight="1">
      <c r="A48" s="15"/>
      <c r="B48" s="15" t="str">
        <f>IF(E47&gt;J47,"增加","减少")</f>
        <v>减少</v>
      </c>
      <c r="C48" s="83">
        <f>ABS(E47-J47)</f>
        <v>5906</v>
      </c>
      <c r="D48" s="83"/>
      <c r="E48" s="7" t="s">
        <v>179</v>
      </c>
      <c r="F48" s="15" t="str">
        <f>IF(E47&gt;J47,"增长","下降")</f>
        <v>下降</v>
      </c>
      <c r="G48" s="34">
        <f>IF(J47=0,IF(E47&gt;0,1,""),C48/J47)</f>
        <v>6.4335511982570801E-2</v>
      </c>
      <c r="H48" s="7" t="s">
        <v>317</v>
      </c>
    </row>
    <row r="49" spans="1:12" ht="36" customHeight="1">
      <c r="B49" s="84" t="s">
        <v>483</v>
      </c>
      <c r="C49" s="84"/>
      <c r="D49" s="84"/>
      <c r="E49" s="84"/>
      <c r="F49" s="84"/>
      <c r="G49" s="84"/>
      <c r="H49" s="84"/>
      <c r="I49" s="84"/>
      <c r="J49" s="84"/>
      <c r="K49" s="84"/>
      <c r="L49" s="84"/>
    </row>
    <row r="50" spans="1:12" ht="18" customHeight="1">
      <c r="A50" s="87" t="s">
        <v>429</v>
      </c>
      <c r="B50" s="87"/>
      <c r="C50" s="87"/>
      <c r="D50" s="87"/>
      <c r="E50" s="83">
        <f>_xlfn.IFNA(VLOOKUP(封面!B1,一般公共预算财政拨款支出决算具体情况!A:O,15,FALSE),"")</f>
        <v>0</v>
      </c>
      <c r="F50" s="83"/>
      <c r="G50" s="7" t="s">
        <v>179</v>
      </c>
      <c r="H50" s="86" t="s">
        <v>423</v>
      </c>
      <c r="I50" s="86"/>
      <c r="J50" s="83">
        <f>_xlfn.IFNA(VLOOKUP(封面!B1,一般公共预算财政拨款支出决算具体情况!A:P,16,FALSE),"")</f>
        <v>0</v>
      </c>
      <c r="K50" s="83"/>
      <c r="L50" s="11" t="s">
        <v>178</v>
      </c>
    </row>
    <row r="51" spans="1:12" ht="18" customHeight="1">
      <c r="A51" s="15"/>
      <c r="B51" s="15" t="str">
        <f>IF(E50&gt;J50,"增加","减少")</f>
        <v>减少</v>
      </c>
      <c r="C51" s="83">
        <f>ABS(E50-J50)</f>
        <v>0</v>
      </c>
      <c r="D51" s="83"/>
      <c r="E51" s="7" t="s">
        <v>179</v>
      </c>
      <c r="F51" s="15" t="str">
        <f>IF(E50&gt;J50,"增长","下降")</f>
        <v>下降</v>
      </c>
      <c r="G51" s="34" t="str">
        <f>IF(J50=0,IF(E50&gt;0,1,""),C51/J50)</f>
        <v/>
      </c>
      <c r="H51" s="7" t="s">
        <v>317</v>
      </c>
    </row>
    <row r="52" spans="1:12" ht="18" customHeight="1">
      <c r="A52" s="89" t="s">
        <v>430</v>
      </c>
      <c r="B52" s="89"/>
      <c r="C52" s="89"/>
      <c r="D52" s="89"/>
      <c r="E52" s="83">
        <f>_xlfn.IFNA(VLOOKUP(封面!B1,一般公共预算财政拨款支出决算具体情况!A:Q,17,FALSE),"")</f>
        <v>0</v>
      </c>
      <c r="F52" s="83"/>
      <c r="G52" s="7" t="s">
        <v>179</v>
      </c>
      <c r="H52" s="85" t="s">
        <v>431</v>
      </c>
      <c r="I52" s="85"/>
      <c r="J52" s="85"/>
      <c r="K52" s="85"/>
      <c r="L52" s="11"/>
    </row>
    <row r="53" spans="1:12" ht="18" customHeight="1">
      <c r="A53" s="87" t="s">
        <v>473</v>
      </c>
      <c r="B53" s="87"/>
      <c r="C53" s="87"/>
      <c r="D53" s="87"/>
      <c r="E53" s="83">
        <f>_xlfn.IFNA(VLOOKUP(封面!B1,一般公共预算财政拨款支出决算具体情况!A:S,19,FALSE),"")</f>
        <v>0</v>
      </c>
      <c r="F53" s="83"/>
      <c r="G53" s="7" t="s">
        <v>179</v>
      </c>
      <c r="H53" s="85" t="s">
        <v>433</v>
      </c>
      <c r="I53" s="85"/>
      <c r="J53" s="85"/>
      <c r="K53" s="85"/>
      <c r="L53" s="11"/>
    </row>
    <row r="54" spans="1:12" ht="18" customHeight="1">
      <c r="A54" s="88" t="s">
        <v>432</v>
      </c>
      <c r="B54" s="88"/>
      <c r="C54" s="88"/>
      <c r="D54" s="88"/>
      <c r="E54" s="83">
        <f>_xlfn.IFNA(VLOOKUP(封面!B1,一般公共预算财政拨款支出决算具体情况!A:U,21,FALSE),"")</f>
        <v>0</v>
      </c>
      <c r="F54" s="83"/>
      <c r="G54" s="7" t="s">
        <v>179</v>
      </c>
      <c r="H54" s="85" t="s">
        <v>433</v>
      </c>
      <c r="I54" s="85"/>
      <c r="J54" s="85"/>
      <c r="K54" s="85"/>
      <c r="L54" s="11"/>
    </row>
    <row r="55" spans="1:12" ht="18" customHeight="1">
      <c r="A55" s="89" t="s">
        <v>434</v>
      </c>
      <c r="B55" s="89"/>
      <c r="C55" s="89"/>
      <c r="D55" s="89"/>
      <c r="E55" s="83">
        <f>_xlfn.IFNA(VLOOKUP(封面!B1,一般公共预算财政拨款支出决算具体情况!A:W,23,FALSE),"")</f>
        <v>15484018.85</v>
      </c>
      <c r="F55" s="83"/>
      <c r="G55" s="7" t="s">
        <v>179</v>
      </c>
      <c r="H55" s="86" t="s">
        <v>423</v>
      </c>
      <c r="I55" s="86"/>
      <c r="J55" s="83">
        <f>_xlfn.IFNA(VLOOKUP(封面!B1,一般公共预算财政拨款支出决算具体情况!A:X,24,FALSE),"")</f>
        <v>14389960.789999999</v>
      </c>
      <c r="K55" s="83"/>
      <c r="L55" s="11" t="s">
        <v>178</v>
      </c>
    </row>
    <row r="56" spans="1:12" ht="18" customHeight="1">
      <c r="B56" s="15" t="str">
        <f>IF(E55&gt;J55,"增加","减少")</f>
        <v>增加</v>
      </c>
      <c r="C56" s="83">
        <f>ABS(E55-J55)</f>
        <v>1094058.0600000005</v>
      </c>
      <c r="D56" s="83"/>
      <c r="E56" s="7" t="s">
        <v>179</v>
      </c>
      <c r="F56" s="15" t="str">
        <f>IF(E55&gt;J55,"增长","下降")</f>
        <v>增长</v>
      </c>
      <c r="G56" s="34">
        <f>IF(J55=0,IF(E55&gt;0,1,""),C56/J55)</f>
        <v>7.6029259284729478E-2</v>
      </c>
      <c r="H56" s="7" t="s">
        <v>317</v>
      </c>
      <c r="I56" s="11" t="s">
        <v>206</v>
      </c>
    </row>
    <row r="57" spans="1:12" ht="18" customHeight="1">
      <c r="A57" s="87" t="s">
        <v>435</v>
      </c>
      <c r="B57" s="87"/>
      <c r="C57" s="87"/>
      <c r="D57" s="87"/>
      <c r="E57" s="83">
        <f>_xlfn.IFNA(VLOOKUP(封面!B1,一般公共预算财政拨款支出决算具体情况!A:Y,25,FALSE),"")</f>
        <v>15230670.85</v>
      </c>
      <c r="F57" s="83"/>
      <c r="G57" s="7" t="s">
        <v>179</v>
      </c>
      <c r="H57" s="86" t="s">
        <v>423</v>
      </c>
      <c r="I57" s="86"/>
      <c r="J57" s="83">
        <f>_xlfn.IFNA(VLOOKUP(封面!B1,一般公共预算财政拨款支出决算具体情况!A:Z,26,FALSE),"")</f>
        <v>14389960.789999999</v>
      </c>
      <c r="K57" s="83"/>
      <c r="L57" s="11" t="s">
        <v>178</v>
      </c>
    </row>
    <row r="58" spans="1:12" ht="18" customHeight="1">
      <c r="A58" s="15"/>
      <c r="B58" s="15" t="str">
        <f>IF(E57&gt;J57,"增加","减少")</f>
        <v>增加</v>
      </c>
      <c r="C58" s="83">
        <f>ABS(E57-J57)</f>
        <v>840710.06000000052</v>
      </c>
      <c r="D58" s="83"/>
      <c r="E58" s="7" t="s">
        <v>179</v>
      </c>
      <c r="F58" s="15" t="str">
        <f>IF(E57&gt;J57,"增长","下降")</f>
        <v>增长</v>
      </c>
      <c r="G58" s="34">
        <f>IF(J57=0,IF(E57&gt;0,1,""),C58/J57)</f>
        <v>5.8423373924982085E-2</v>
      </c>
      <c r="H58" s="7" t="s">
        <v>317</v>
      </c>
    </row>
    <row r="59" spans="1:12" ht="36" customHeight="1">
      <c r="B59" s="84" t="s">
        <v>484</v>
      </c>
      <c r="C59" s="84"/>
      <c r="D59" s="84"/>
      <c r="E59" s="84"/>
      <c r="F59" s="84"/>
      <c r="G59" s="84"/>
      <c r="H59" s="84"/>
      <c r="I59" s="84"/>
      <c r="J59" s="84"/>
      <c r="K59" s="84"/>
      <c r="L59" s="84"/>
    </row>
    <row r="60" spans="1:12" ht="18" customHeight="1">
      <c r="A60" s="87" t="s">
        <v>436</v>
      </c>
      <c r="B60" s="87"/>
      <c r="C60" s="87"/>
      <c r="D60" s="87"/>
      <c r="E60" s="83">
        <f>_xlfn.IFNA(VLOOKUP(封面!B1,一般公共预算财政拨款支出决算具体情况!A:AA,27,FALSE),"")</f>
        <v>253348</v>
      </c>
      <c r="F60" s="83"/>
      <c r="G60" s="7" t="s">
        <v>179</v>
      </c>
      <c r="H60" s="86" t="s">
        <v>433</v>
      </c>
      <c r="I60" s="86"/>
      <c r="J60" s="83"/>
      <c r="K60" s="83"/>
      <c r="L60" s="11"/>
    </row>
    <row r="61" spans="1:12" ht="36" customHeight="1">
      <c r="B61" s="84" t="s">
        <v>485</v>
      </c>
      <c r="C61" s="84"/>
      <c r="D61" s="84"/>
      <c r="E61" s="84"/>
      <c r="F61" s="84"/>
      <c r="G61" s="84"/>
      <c r="H61" s="84"/>
      <c r="I61" s="84"/>
      <c r="J61" s="84"/>
      <c r="K61" s="84"/>
      <c r="L61" s="84"/>
    </row>
    <row r="62" spans="1:12" ht="18" customHeight="1">
      <c r="A62" s="89" t="s">
        <v>437</v>
      </c>
      <c r="B62" s="89"/>
      <c r="C62" s="89"/>
      <c r="D62" s="89"/>
      <c r="E62" s="83">
        <f>_xlfn.IFNA(VLOOKUP(封面!B1,一般公共预算财政拨款支出决算具体情况!A:AC,29,FALSE),"")</f>
        <v>4664121.1400000006</v>
      </c>
      <c r="F62" s="83"/>
      <c r="G62" s="7" t="s">
        <v>179</v>
      </c>
      <c r="H62" s="86" t="s">
        <v>423</v>
      </c>
      <c r="I62" s="86"/>
      <c r="J62" s="83">
        <f>_xlfn.IFNA(VLOOKUP(封面!B1,一般公共预算财政拨款支出决算具体情况!A:AD,30,FALSE),"")</f>
        <v>4496483.68</v>
      </c>
      <c r="K62" s="83"/>
      <c r="L62" s="11" t="s">
        <v>178</v>
      </c>
    </row>
    <row r="63" spans="1:12" ht="18" customHeight="1">
      <c r="B63" s="15" t="str">
        <f>IF(E62&gt;J62,"增加","减少")</f>
        <v>增加</v>
      </c>
      <c r="C63" s="83">
        <f>ABS(E62-J62)</f>
        <v>167637.46000000089</v>
      </c>
      <c r="D63" s="83"/>
      <c r="E63" s="7" t="s">
        <v>179</v>
      </c>
      <c r="F63" s="15" t="str">
        <f>IF(E62&gt;J62,"增长","下降")</f>
        <v>增长</v>
      </c>
      <c r="G63" s="34">
        <f>IF(J62=0,IF(E62&gt;0,1,""),C63/J62)</f>
        <v>3.7281901132131076E-2</v>
      </c>
      <c r="H63" s="7" t="s">
        <v>317</v>
      </c>
      <c r="I63" s="11" t="s">
        <v>206</v>
      </c>
    </row>
    <row r="64" spans="1:12" ht="18" customHeight="1">
      <c r="A64" s="87" t="s">
        <v>438</v>
      </c>
      <c r="B64" s="87"/>
      <c r="C64" s="87"/>
      <c r="D64" s="87"/>
      <c r="E64" s="83">
        <f>_xlfn.IFNA(VLOOKUP(封面!B1,一般公共预算财政拨款支出决算具体情况!A:AE,31,FALSE),"")</f>
        <v>4664121.1400000006</v>
      </c>
      <c r="F64" s="83"/>
      <c r="G64" s="7" t="s">
        <v>179</v>
      </c>
      <c r="H64" s="86" t="s">
        <v>423</v>
      </c>
      <c r="I64" s="86"/>
      <c r="J64" s="83">
        <f>_xlfn.IFNA(VLOOKUP(封面!B1,一般公共预算财政拨款支出决算具体情况!A:AF,32,FALSE),"")</f>
        <v>4496483.68</v>
      </c>
      <c r="K64" s="83"/>
      <c r="L64" s="11" t="s">
        <v>178</v>
      </c>
    </row>
    <row r="65" spans="1:13" ht="18" customHeight="1">
      <c r="A65" s="15"/>
      <c r="B65" s="15" t="str">
        <f>IF(E64&gt;J64,"增加","减少")</f>
        <v>增加</v>
      </c>
      <c r="C65" s="83">
        <f>ABS(E64-J64)</f>
        <v>167637.46000000089</v>
      </c>
      <c r="D65" s="83"/>
      <c r="E65" s="7" t="s">
        <v>179</v>
      </c>
      <c r="F65" s="15" t="str">
        <f>IF(E64&gt;J64,"增长","下降")</f>
        <v>增长</v>
      </c>
      <c r="G65" s="34">
        <f>IF(J64=0,IF(E64&gt;0,1,""),C65/J64)</f>
        <v>3.7281901132131076E-2</v>
      </c>
      <c r="H65" s="7" t="s">
        <v>317</v>
      </c>
    </row>
    <row r="66" spans="1:13" ht="36" customHeight="1">
      <c r="B66" s="84" t="s">
        <v>486</v>
      </c>
      <c r="C66" s="84"/>
      <c r="D66" s="84"/>
      <c r="E66" s="84"/>
      <c r="F66" s="84"/>
      <c r="G66" s="84"/>
      <c r="H66" s="84"/>
      <c r="I66" s="84"/>
      <c r="J66" s="84"/>
      <c r="K66" s="84"/>
      <c r="L66" s="84"/>
    </row>
    <row r="67" spans="1:13" ht="18" customHeight="1">
      <c r="A67" s="89" t="s">
        <v>439</v>
      </c>
      <c r="B67" s="89"/>
      <c r="C67" s="89"/>
      <c r="D67" s="89"/>
      <c r="E67" s="83">
        <f>_xlfn.IFNA(VLOOKUP(封面!B1,一般公共预算财政拨款支出决算具体情况!A:AG,33,FALSE),"")</f>
        <v>0</v>
      </c>
      <c r="F67" s="83"/>
      <c r="G67" s="7" t="s">
        <v>179</v>
      </c>
      <c r="H67" s="86" t="s">
        <v>423</v>
      </c>
      <c r="I67" s="86"/>
      <c r="J67" s="83">
        <f>_xlfn.IFNA(VLOOKUP(封面!B1,一般公共预算财政拨款支出决算具体情况!A:AH,34,FALSE),"")</f>
        <v>0</v>
      </c>
      <c r="K67" s="83"/>
      <c r="L67" s="11" t="s">
        <v>178</v>
      </c>
    </row>
    <row r="68" spans="1:13" ht="18" customHeight="1">
      <c r="B68" s="15" t="str">
        <f>IF(E67&gt;J67,"增加","减少")</f>
        <v>减少</v>
      </c>
      <c r="C68" s="83">
        <f>ABS(E67-J67)</f>
        <v>0</v>
      </c>
      <c r="D68" s="83"/>
      <c r="E68" s="7" t="s">
        <v>179</v>
      </c>
      <c r="F68" s="15" t="str">
        <f>IF(E67&gt;J67,"增长","下降")</f>
        <v>下降</v>
      </c>
      <c r="G68" s="34" t="str">
        <f>IF(J67=0,IF(E67&gt;0,1,""),C68/J67)</f>
        <v/>
      </c>
      <c r="H68" s="7" t="s">
        <v>314</v>
      </c>
      <c r="I68" s="11" t="s">
        <v>206</v>
      </c>
    </row>
    <row r="69" spans="1:13" ht="18" customHeight="1">
      <c r="A69" s="87" t="s">
        <v>440</v>
      </c>
      <c r="B69" s="87"/>
      <c r="C69" s="87"/>
      <c r="D69" s="87"/>
      <c r="E69" s="83">
        <f>_xlfn.IFNA(VLOOKUP(封面!B1,一般公共预算财政拨款支出决算具体情况!A:AI,35,FALSE),"")</f>
        <v>0</v>
      </c>
      <c r="F69" s="83"/>
      <c r="G69" s="7" t="s">
        <v>179</v>
      </c>
      <c r="H69" s="86" t="s">
        <v>423</v>
      </c>
      <c r="I69" s="86"/>
      <c r="J69" s="83">
        <f>_xlfn.IFNA(VLOOKUP(封面!B1,一般公共预算财政拨款支出决算具体情况!A:AJ,36,FALSE),"")</f>
        <v>0</v>
      </c>
      <c r="K69" s="83"/>
      <c r="L69" s="11" t="s">
        <v>178</v>
      </c>
    </row>
    <row r="70" spans="1:13" ht="18" customHeight="1">
      <c r="A70" s="58"/>
      <c r="B70" s="15" t="str">
        <f>IF(E69&gt;J69,"增加","减少")</f>
        <v>减少</v>
      </c>
      <c r="C70" s="83">
        <f>ABS(E69-J69)</f>
        <v>0</v>
      </c>
      <c r="D70" s="83"/>
      <c r="E70" s="7" t="s">
        <v>179</v>
      </c>
      <c r="F70" s="15" t="str">
        <f>IF(E69&gt;J69,"增长","下降")</f>
        <v>下降</v>
      </c>
      <c r="G70" s="34" t="str">
        <f>IF(J69=0,IF(E69&gt;0,1,""),C70/J69)</f>
        <v/>
      </c>
      <c r="H70" s="7" t="s">
        <v>314</v>
      </c>
      <c r="I70" s="57"/>
      <c r="J70" s="56"/>
      <c r="K70" s="56"/>
      <c r="L70" s="11"/>
    </row>
    <row r="71" spans="1:13" ht="18" customHeight="1">
      <c r="A71" s="89" t="s">
        <v>474</v>
      </c>
      <c r="B71" s="89"/>
      <c r="C71" s="89"/>
      <c r="D71" s="89"/>
      <c r="E71" s="83">
        <f>_xlfn.IFNA(VLOOKUP(封面!B1,一般公共预算财政拨款支出决算具体情况!A:AK,37,FALSE),"")</f>
        <v>6928024</v>
      </c>
      <c r="F71" s="83"/>
      <c r="G71" s="7" t="s">
        <v>179</v>
      </c>
      <c r="H71" s="86" t="s">
        <v>423</v>
      </c>
      <c r="I71" s="86"/>
      <c r="J71" s="83">
        <f>_xlfn.IFNA(VLOOKUP(封面!B1,一般公共预算财政拨款支出决算具体情况!A:AL,38,FALSE),"")</f>
        <v>6770824.3200000003</v>
      </c>
      <c r="K71" s="83"/>
      <c r="L71" s="11" t="s">
        <v>178</v>
      </c>
    </row>
    <row r="72" spans="1:13" ht="18" customHeight="1">
      <c r="B72" s="15" t="str">
        <f>IF(E71&gt;J71,"增加","减少")</f>
        <v>增加</v>
      </c>
      <c r="C72" s="83">
        <f>ABS(E71-J71)</f>
        <v>157199.6799999997</v>
      </c>
      <c r="D72" s="83"/>
      <c r="E72" s="7" t="s">
        <v>179</v>
      </c>
      <c r="F72" s="15" t="str">
        <f>IF(E71&gt;J71,"增长","下降")</f>
        <v>增长</v>
      </c>
      <c r="G72" s="34">
        <f>IF(J71=0,IF(E71&gt;0,1,""),C72/J71)</f>
        <v>2.321721441444809E-2</v>
      </c>
      <c r="H72" s="7" t="s">
        <v>317</v>
      </c>
      <c r="I72" s="11" t="s">
        <v>206</v>
      </c>
    </row>
    <row r="73" spans="1:13" ht="18" customHeight="1">
      <c r="A73" s="87" t="s">
        <v>441</v>
      </c>
      <c r="B73" s="87"/>
      <c r="C73" s="87"/>
      <c r="D73" s="87"/>
      <c r="E73" s="83">
        <f>_xlfn.IFNA(VLOOKUP(封面!B1,一般公共预算财政拨款支出决算具体情况!A:AM,39,FALSE),"")</f>
        <v>6928024</v>
      </c>
      <c r="F73" s="83"/>
      <c r="G73" s="7" t="s">
        <v>179</v>
      </c>
      <c r="H73" s="86" t="s">
        <v>423</v>
      </c>
      <c r="I73" s="86"/>
      <c r="J73" s="83">
        <f>_xlfn.IFNA(VLOOKUP(封面!B1,一般公共预算财政拨款支出决算具体情况!A:AN,40,FALSE),"")</f>
        <v>6770824.3200000003</v>
      </c>
      <c r="K73" s="83"/>
      <c r="L73" s="11" t="s">
        <v>178</v>
      </c>
    </row>
    <row r="74" spans="1:13" ht="18" customHeight="1">
      <c r="A74" s="15"/>
      <c r="B74" s="15" t="str">
        <f>IF(E73&gt;J73,"增加","减少")</f>
        <v>增加</v>
      </c>
      <c r="C74" s="83">
        <f>ABS(E73-J73)</f>
        <v>157199.6799999997</v>
      </c>
      <c r="D74" s="83"/>
      <c r="E74" s="7" t="s">
        <v>179</v>
      </c>
      <c r="F74" s="15" t="str">
        <f>IF(E73&gt;J73,"增长","下降")</f>
        <v>增长</v>
      </c>
      <c r="G74" s="34">
        <f>IF(J73=0,IF(E73&gt;0,1,""),C74/J73)</f>
        <v>2.321721441444809E-2</v>
      </c>
      <c r="H74" s="7" t="s">
        <v>317</v>
      </c>
    </row>
    <row r="75" spans="1:13" ht="36" customHeight="1">
      <c r="B75" s="84" t="s">
        <v>487</v>
      </c>
      <c r="C75" s="84"/>
      <c r="D75" s="84"/>
      <c r="E75" s="84"/>
      <c r="F75" s="84"/>
      <c r="G75" s="84"/>
      <c r="H75" s="84"/>
      <c r="I75" s="84"/>
      <c r="J75" s="84"/>
      <c r="K75" s="84"/>
      <c r="L75" s="84"/>
    </row>
    <row r="76" spans="1:13" ht="18" customHeight="1">
      <c r="A76" s="6" t="s">
        <v>207</v>
      </c>
    </row>
    <row r="77" spans="1:13" ht="18" customHeight="1">
      <c r="A77" s="7" t="str">
        <f>IF(_xlfn.IFNA(VLOOKUP(封面!B1,'2021决算导出'!A:W,23,FALSE),"")=0,"本年度无此项支出。","")</f>
        <v>本年度无此项支出。</v>
      </c>
    </row>
    <row r="78" spans="1:13" ht="18" customHeight="1">
      <c r="A78" s="7" t="s">
        <v>208</v>
      </c>
    </row>
    <row r="79" spans="1:13" ht="18" customHeight="1">
      <c r="A79" s="88" t="s">
        <v>442</v>
      </c>
      <c r="B79" s="88"/>
      <c r="C79" s="88"/>
      <c r="D79" s="88"/>
      <c r="E79" s="88"/>
      <c r="F79" s="83">
        <f>_xlfn.IFNA(VLOOKUP(封面!B1,'2021决算导出'!A:W,23,FALSE),"")</f>
        <v>0</v>
      </c>
      <c r="G79" s="83"/>
      <c r="H79" s="7" t="s">
        <v>179</v>
      </c>
      <c r="I79" s="85" t="s">
        <v>197</v>
      </c>
      <c r="J79" s="85"/>
      <c r="K79" s="85"/>
      <c r="L79" s="85"/>
      <c r="M79" s="85"/>
    </row>
    <row r="80" spans="1:13" ht="18" customHeight="1">
      <c r="A80" s="88" t="s">
        <v>209</v>
      </c>
      <c r="B80" s="88"/>
      <c r="C80" s="88"/>
      <c r="D80" s="83">
        <f>_xlfn.IFNA(VLOOKUP(封面!B1,'2021决算导出'!A:Y,25,FALSE),"")</f>
        <v>0</v>
      </c>
      <c r="E80" s="83"/>
      <c r="F80" s="7" t="s">
        <v>179</v>
      </c>
      <c r="G80" s="86" t="s">
        <v>199</v>
      </c>
      <c r="H80" s="86"/>
      <c r="I80" s="13">
        <v>100</v>
      </c>
      <c r="J80" s="7" t="s">
        <v>183</v>
      </c>
      <c r="K80" s="9"/>
      <c r="L80" s="9"/>
      <c r="M80" s="9"/>
    </row>
    <row r="81" spans="1:13" ht="18" customHeight="1">
      <c r="A81" s="7" t="s">
        <v>210</v>
      </c>
    </row>
    <row r="82" spans="1:13" ht="18" customHeight="1">
      <c r="A82" s="85" t="s">
        <v>443</v>
      </c>
      <c r="B82" s="85"/>
      <c r="C82" s="85"/>
      <c r="D82" s="85"/>
      <c r="E82" s="83">
        <f>_xlfn.IFNA(VLOOKUP(封面!B1,'2021决算导出'!A:Y,25,FALSE),"")</f>
        <v>0</v>
      </c>
      <c r="F82" s="83"/>
      <c r="G82" s="7" t="s">
        <v>179</v>
      </c>
      <c r="H82" s="86" t="s">
        <v>423</v>
      </c>
      <c r="I82" s="86"/>
      <c r="J82" s="83">
        <f>_xlfn.IFNA(VLOOKUP(封面!B1,'2021决算导出'!A:Z,26,FALSE),"")</f>
        <v>0</v>
      </c>
      <c r="K82" s="83"/>
      <c r="L82" s="11" t="s">
        <v>178</v>
      </c>
    </row>
    <row r="83" spans="1:13" ht="18" customHeight="1">
      <c r="B83" s="15" t="str">
        <f>IF(E82&gt;J82,"增加","减少")</f>
        <v>减少</v>
      </c>
      <c r="C83" s="83">
        <f>ABS(E82-J82)</f>
        <v>0</v>
      </c>
      <c r="D83" s="83"/>
      <c r="E83" s="7" t="s">
        <v>179</v>
      </c>
      <c r="F83" s="15" t="str">
        <f>IF(E82&gt;J82,"增长","下降")</f>
        <v>下降</v>
      </c>
      <c r="G83" s="34" t="str">
        <f>IF(J82=0,IF(E82&gt;0,1,""),C83/J82)</f>
        <v/>
      </c>
      <c r="H83" s="7" t="s">
        <v>317</v>
      </c>
      <c r="I83" s="11" t="s">
        <v>206</v>
      </c>
    </row>
    <row r="84" spans="1:13" ht="18" customHeight="1">
      <c r="A84" s="87" t="s">
        <v>444</v>
      </c>
      <c r="B84" s="87"/>
      <c r="C84" s="87"/>
      <c r="D84" s="87"/>
      <c r="E84" s="83">
        <f>E82</f>
        <v>0</v>
      </c>
      <c r="F84" s="83"/>
      <c r="G84" s="7" t="s">
        <v>179</v>
      </c>
      <c r="H84" s="86" t="s">
        <v>423</v>
      </c>
      <c r="I84" s="86"/>
      <c r="J84" s="83">
        <f>J82</f>
        <v>0</v>
      </c>
      <c r="K84" s="83"/>
      <c r="L84" s="11" t="s">
        <v>178</v>
      </c>
    </row>
    <row r="85" spans="1:13" ht="18" customHeight="1">
      <c r="A85" s="15"/>
      <c r="B85" s="15" t="str">
        <f>B83</f>
        <v>减少</v>
      </c>
      <c r="C85" s="83">
        <f>C83</f>
        <v>0</v>
      </c>
      <c r="D85" s="83"/>
      <c r="E85" s="7" t="s">
        <v>179</v>
      </c>
      <c r="F85" s="15" t="str">
        <f>F83</f>
        <v>下降</v>
      </c>
      <c r="G85" s="34" t="str">
        <f>IF(J84=0,IF(E84&gt;0,1,""),C85/J84)</f>
        <v/>
      </c>
      <c r="H85" s="7" t="s">
        <v>317</v>
      </c>
    </row>
    <row r="86" spans="1:13" ht="18" customHeight="1">
      <c r="A86" s="6" t="s">
        <v>211</v>
      </c>
    </row>
    <row r="87" spans="1:13" ht="18" customHeight="1">
      <c r="A87" s="7" t="s">
        <v>212</v>
      </c>
    </row>
    <row r="88" spans="1:13" ht="18" customHeight="1">
      <c r="A88" s="6" t="s">
        <v>213</v>
      </c>
    </row>
    <row r="89" spans="1:13" ht="18" customHeight="1">
      <c r="A89" s="7" t="s">
        <v>445</v>
      </c>
      <c r="G89" s="83">
        <f>_xlfn.IFNA(VLOOKUP(封面!B1,'2021决算导出'!A:AA,27,FALSE),"")</f>
        <v>59958418.130000003</v>
      </c>
      <c r="H89" s="83"/>
      <c r="I89" s="11" t="s">
        <v>179</v>
      </c>
    </row>
    <row r="90" spans="1:13" ht="130.15" customHeight="1">
      <c r="A90" s="84" t="s">
        <v>214</v>
      </c>
      <c r="B90" s="84"/>
      <c r="C90" s="84"/>
      <c r="D90" s="84"/>
      <c r="E90" s="84"/>
      <c r="F90" s="84"/>
      <c r="G90" s="84"/>
      <c r="H90" s="84"/>
      <c r="I90" s="84"/>
      <c r="J90" s="84"/>
      <c r="K90" s="84"/>
      <c r="L90" s="84"/>
      <c r="M90" s="84"/>
    </row>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sheetData>
  <mergeCells count="159">
    <mergeCell ref="E60:F60"/>
    <mergeCell ref="H60:I60"/>
    <mergeCell ref="J60:K60"/>
    <mergeCell ref="C56:D56"/>
    <mergeCell ref="A57:D57"/>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B41:L41"/>
    <mergeCell ref="A42:D42"/>
    <mergeCell ref="E42:F42"/>
    <mergeCell ref="H42:I42"/>
    <mergeCell ref="J42:K42"/>
    <mergeCell ref="B38:L38"/>
    <mergeCell ref="C35:D35"/>
    <mergeCell ref="C37:D37"/>
    <mergeCell ref="A39:D39"/>
    <mergeCell ref="E39:F39"/>
    <mergeCell ref="H39:I39"/>
    <mergeCell ref="J39:K39"/>
    <mergeCell ref="A36:D36"/>
    <mergeCell ref="E36:F36"/>
    <mergeCell ref="H36:I36"/>
    <mergeCell ref="J36:K36"/>
    <mergeCell ref="C46:D46"/>
    <mergeCell ref="A47:D47"/>
    <mergeCell ref="E47:F47"/>
    <mergeCell ref="H47:I47"/>
    <mergeCell ref="J47:K47"/>
    <mergeCell ref="C43:D43"/>
    <mergeCell ref="B44:L44"/>
    <mergeCell ref="A45:D45"/>
    <mergeCell ref="E45:F45"/>
    <mergeCell ref="H45:I45"/>
    <mergeCell ref="J45:K45"/>
    <mergeCell ref="C51:D51"/>
    <mergeCell ref="A52:D52"/>
    <mergeCell ref="E52:F52"/>
    <mergeCell ref="C48:D48"/>
    <mergeCell ref="B49:L49"/>
    <mergeCell ref="A50:D50"/>
    <mergeCell ref="E50:F50"/>
    <mergeCell ref="H50:I50"/>
    <mergeCell ref="J50:K50"/>
    <mergeCell ref="H52:K52"/>
    <mergeCell ref="A53:D53"/>
    <mergeCell ref="E53:F53"/>
    <mergeCell ref="H53:K53"/>
    <mergeCell ref="A67:D67"/>
    <mergeCell ref="E67:F67"/>
    <mergeCell ref="A69:D69"/>
    <mergeCell ref="E69:F69"/>
    <mergeCell ref="A64:D64"/>
    <mergeCell ref="E64:F64"/>
    <mergeCell ref="H64:I64"/>
    <mergeCell ref="J64:K64"/>
    <mergeCell ref="C65:D65"/>
    <mergeCell ref="B66:L66"/>
    <mergeCell ref="H67:I67"/>
    <mergeCell ref="J67:K67"/>
    <mergeCell ref="H54:K54"/>
    <mergeCell ref="A55:D55"/>
    <mergeCell ref="E55:F55"/>
    <mergeCell ref="H55:I55"/>
    <mergeCell ref="J55:K55"/>
    <mergeCell ref="A54:D54"/>
    <mergeCell ref="E54:F54"/>
    <mergeCell ref="C74:D74"/>
    <mergeCell ref="A71:D71"/>
    <mergeCell ref="E71:F71"/>
    <mergeCell ref="H71:I71"/>
    <mergeCell ref="J71:K71"/>
    <mergeCell ref="C85:D85"/>
    <mergeCell ref="E57:F57"/>
    <mergeCell ref="H57:I57"/>
    <mergeCell ref="J57:K57"/>
    <mergeCell ref="C58:D58"/>
    <mergeCell ref="C70:D70"/>
    <mergeCell ref="C68:D68"/>
    <mergeCell ref="H69:I69"/>
    <mergeCell ref="J69:K69"/>
    <mergeCell ref="B61:L61"/>
    <mergeCell ref="A62:D62"/>
    <mergeCell ref="E62:F62"/>
    <mergeCell ref="H62:I62"/>
    <mergeCell ref="J62:K62"/>
    <mergeCell ref="C63:D63"/>
    <mergeCell ref="B59:L59"/>
    <mergeCell ref="A60:D60"/>
    <mergeCell ref="G89:H89"/>
    <mergeCell ref="A90:M90"/>
    <mergeCell ref="A4:M4"/>
    <mergeCell ref="A82:D82"/>
    <mergeCell ref="E82:F82"/>
    <mergeCell ref="H82:I82"/>
    <mergeCell ref="J82:K82"/>
    <mergeCell ref="C83:D83"/>
    <mergeCell ref="A84:D84"/>
    <mergeCell ref="E84:F84"/>
    <mergeCell ref="H84:I84"/>
    <mergeCell ref="J84:K84"/>
    <mergeCell ref="B75:L75"/>
    <mergeCell ref="A79:E79"/>
    <mergeCell ref="F79:G79"/>
    <mergeCell ref="I79:M79"/>
    <mergeCell ref="A80:C80"/>
    <mergeCell ref="D80:E80"/>
    <mergeCell ref="G80:H80"/>
    <mergeCell ref="C72:D72"/>
    <mergeCell ref="A73:D73"/>
    <mergeCell ref="E73:F73"/>
    <mergeCell ref="H73:I73"/>
    <mergeCell ref="J73:K73"/>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22" workbookViewId="0">
      <selection activeCell="A14" sqref="A14:N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414</v>
      </c>
      <c r="B1" s="81"/>
      <c r="C1" s="81"/>
      <c r="D1" s="81"/>
      <c r="E1" s="81"/>
      <c r="F1" s="81"/>
      <c r="G1" s="81"/>
      <c r="H1" s="81"/>
      <c r="I1" s="81"/>
      <c r="J1" s="81"/>
      <c r="K1" s="81"/>
      <c r="L1" s="81"/>
      <c r="M1" s="81"/>
      <c r="N1" s="81"/>
    </row>
    <row r="2" spans="1:14" ht="18" customHeight="1">
      <c r="A2" s="6" t="s">
        <v>215</v>
      </c>
    </row>
    <row r="3" spans="1:14" ht="18" customHeight="1">
      <c r="A3" s="16" t="str">
        <f>IF(_xlfn.IFNA(VLOOKUP(封面!B1,'2021决算导出'!A:AB,28,FALSE),"")=0,"本年度无此项支出。","")</f>
        <v/>
      </c>
    </row>
    <row r="4" spans="1:14" ht="18" customHeight="1">
      <c r="A4" s="7" t="s">
        <v>446</v>
      </c>
      <c r="F4" s="83">
        <f>_xlfn.IFNA(VLOOKUP(封面!B1,'2021决算导出'!A:AB,28,FALSE),"")</f>
        <v>10000</v>
      </c>
      <c r="G4" s="83"/>
      <c r="H4" s="7" t="s">
        <v>179</v>
      </c>
      <c r="I4" s="7" t="s">
        <v>447</v>
      </c>
    </row>
    <row r="5" spans="1:14" ht="18" customHeight="1">
      <c r="A5" s="91">
        <f>_xlfn.IFNA(VLOOKUP(封面!B1,'2021决算导出'!A:AC,29,FALSE),"")</f>
        <v>27000</v>
      </c>
      <c r="B5" s="91"/>
      <c r="C5" s="7" t="s">
        <v>178</v>
      </c>
      <c r="D5" s="30" t="str">
        <f>IF(F4&gt;A5,"增加","减少")</f>
        <v>减少</v>
      </c>
      <c r="E5" s="91">
        <f>ABS(F4-A5)</f>
        <v>17000</v>
      </c>
      <c r="F5" s="91"/>
      <c r="G5" s="7" t="s">
        <v>217</v>
      </c>
    </row>
    <row r="6" spans="1:14" ht="18" customHeight="1">
      <c r="A6" s="7" t="s">
        <v>218</v>
      </c>
    </row>
    <row r="7" spans="1:14" ht="18" customHeight="1">
      <c r="A7" s="55" t="s">
        <v>448</v>
      </c>
      <c r="B7" s="19"/>
      <c r="C7" s="19"/>
      <c r="D7" s="19"/>
      <c r="E7" s="19"/>
      <c r="F7" s="19"/>
      <c r="G7" s="19"/>
      <c r="H7" s="19"/>
      <c r="I7" s="19"/>
      <c r="J7" s="19"/>
      <c r="K7" s="19"/>
      <c r="L7" s="19"/>
      <c r="M7" s="19"/>
      <c r="N7" s="19"/>
    </row>
    <row r="8" spans="1:14" ht="18" customHeight="1">
      <c r="A8" s="7" t="s">
        <v>219</v>
      </c>
    </row>
    <row r="9" spans="1:14" ht="39" customHeight="1">
      <c r="A9" s="92" t="s">
        <v>449</v>
      </c>
      <c r="B9" s="92"/>
      <c r="C9" s="92"/>
      <c r="D9" s="92"/>
      <c r="E9" s="92"/>
      <c r="F9" s="92"/>
      <c r="G9" s="92"/>
      <c r="H9" s="92"/>
      <c r="I9" s="92"/>
      <c r="J9" s="92"/>
      <c r="K9" s="92"/>
      <c r="L9" s="92"/>
      <c r="M9" s="92"/>
      <c r="N9" s="92"/>
    </row>
    <row r="10" spans="1:14" ht="18" customHeight="1">
      <c r="A10" s="7" t="s">
        <v>220</v>
      </c>
    </row>
    <row r="11" spans="1:14" ht="18" customHeight="1">
      <c r="A11" s="88" t="s">
        <v>450</v>
      </c>
      <c r="B11" s="88"/>
      <c r="C11" s="35">
        <f>_xlfn.IFNA(VLOOKUP(封面!B1,'2021决算导出'!A:AI,35,FALSE),"")</f>
        <v>10000</v>
      </c>
      <c r="D11" s="7" t="s">
        <v>179</v>
      </c>
      <c r="E11" s="88" t="s">
        <v>451</v>
      </c>
      <c r="F11" s="88"/>
      <c r="G11" s="88"/>
      <c r="H11" s="91">
        <f>_xlfn.IFNA(VLOOKUP(封面!B1,'2021决算导出'!A:AJ,36,FALSE),"")</f>
        <v>27000</v>
      </c>
      <c r="I11" s="91"/>
      <c r="J11" s="16" t="s">
        <v>178</v>
      </c>
      <c r="K11" s="30" t="str">
        <f>IF(C11&gt;H11,"增加","减少")</f>
        <v>减少</v>
      </c>
      <c r="L11" s="91">
        <f>ABS(C11-H11)</f>
        <v>17000</v>
      </c>
      <c r="M11" s="91"/>
      <c r="N11" s="7" t="s">
        <v>216</v>
      </c>
    </row>
    <row r="12" spans="1:14" ht="18" customHeight="1">
      <c r="A12" s="88" t="s">
        <v>452</v>
      </c>
      <c r="B12" s="88"/>
      <c r="C12" s="88"/>
      <c r="D12" s="88"/>
      <c r="E12" s="88"/>
      <c r="F12" s="91">
        <f>_xlfn.IFNA(VLOOKUP(封面!B1,'2021决算导出'!A:AK,37,FALSE),"")</f>
        <v>0</v>
      </c>
      <c r="G12" s="91"/>
      <c r="H12" s="17" t="s">
        <v>179</v>
      </c>
      <c r="I12" s="88" t="s">
        <v>451</v>
      </c>
      <c r="J12" s="88"/>
      <c r="K12" s="88"/>
      <c r="L12" s="91">
        <f>_xlfn.IFNA(VLOOKUP(封面!B1,'2021决算导出'!A:AL,38,FALSE),"")</f>
        <v>0</v>
      </c>
      <c r="M12" s="91"/>
      <c r="N12" s="7" t="s">
        <v>178</v>
      </c>
    </row>
    <row r="13" spans="1:14" ht="18" customHeight="1">
      <c r="A13" s="15" t="str">
        <f>IF(F12&gt;L12,"增加","减少")</f>
        <v>减少</v>
      </c>
      <c r="B13" s="91">
        <f>ABS(F12-L12)</f>
        <v>0</v>
      </c>
      <c r="C13" s="91"/>
      <c r="D13" s="7" t="s">
        <v>216</v>
      </c>
      <c r="H13" s="91"/>
      <c r="I13" s="91"/>
      <c r="J13" s="16"/>
    </row>
    <row r="14" spans="1:14" ht="36" customHeight="1">
      <c r="A14" s="84" t="s">
        <v>488</v>
      </c>
      <c r="B14" s="84"/>
      <c r="C14" s="84"/>
      <c r="D14" s="84"/>
      <c r="E14" s="84"/>
      <c r="F14" s="84"/>
      <c r="G14" s="84"/>
      <c r="H14" s="84"/>
      <c r="I14" s="84"/>
      <c r="J14" s="84"/>
      <c r="K14" s="84"/>
      <c r="L14" s="84"/>
      <c r="M14" s="84"/>
      <c r="N14" s="84"/>
    </row>
    <row r="15" spans="1:14" ht="18" customHeight="1">
      <c r="A15" s="88" t="s">
        <v>453</v>
      </c>
      <c r="B15" s="88"/>
      <c r="C15" s="88"/>
      <c r="D15" s="8">
        <f>_xlfn.IFNA(VLOOKUP(封面!B1,'2021决算导出'!A:AM,39,FALSE),"")</f>
        <v>0</v>
      </c>
      <c r="E15" s="7" t="s">
        <v>221</v>
      </c>
      <c r="F15" s="88" t="s">
        <v>222</v>
      </c>
      <c r="G15" s="88"/>
      <c r="H15" s="91">
        <f>IF(D15=0,0,F12/D15)</f>
        <v>0</v>
      </c>
      <c r="I15" s="91"/>
      <c r="J15" s="7" t="s">
        <v>216</v>
      </c>
    </row>
    <row r="16" spans="1:14" ht="18" customHeight="1">
      <c r="A16" s="86" t="s">
        <v>454</v>
      </c>
      <c r="B16" s="86"/>
      <c r="C16" s="86"/>
      <c r="D16" s="86"/>
      <c r="E16" s="86"/>
      <c r="F16" s="91">
        <f>_xlfn.IFNA(VLOOKUP(封面!B1,'2021决算导出'!A:AO,41,FALSE),"")</f>
        <v>10000</v>
      </c>
      <c r="G16" s="91" t="s">
        <v>179</v>
      </c>
      <c r="H16" s="7" t="s">
        <v>179</v>
      </c>
      <c r="I16" s="7" t="s">
        <v>451</v>
      </c>
      <c r="L16" s="91">
        <f>_xlfn.IFNA(VLOOKUP(封面!B1,'2021决算导出'!A:AP,42,FALSE),"")</f>
        <v>27000</v>
      </c>
      <c r="M16" s="91" t="s">
        <v>179</v>
      </c>
      <c r="N16" s="7" t="s">
        <v>179</v>
      </c>
    </row>
    <row r="17" spans="1:14" ht="18" customHeight="1">
      <c r="A17" s="15" t="str">
        <f>IF(F16&gt;L16,"增加","减少")</f>
        <v>减少</v>
      </c>
      <c r="B17" s="91">
        <f>ABS(F16-L16)</f>
        <v>17000</v>
      </c>
      <c r="C17" s="91"/>
      <c r="D17" s="7" t="s">
        <v>216</v>
      </c>
    </row>
    <row r="18" spans="1:14" ht="36" customHeight="1">
      <c r="A18" s="84" t="s">
        <v>223</v>
      </c>
      <c r="B18" s="84"/>
      <c r="C18" s="84"/>
      <c r="D18" s="84"/>
      <c r="E18" s="84"/>
      <c r="F18" s="84"/>
      <c r="G18" s="84"/>
      <c r="H18" s="84"/>
      <c r="I18" s="84"/>
      <c r="J18" s="84"/>
      <c r="K18" s="84"/>
      <c r="L18" s="84"/>
      <c r="M18" s="84"/>
      <c r="N18" s="84"/>
    </row>
    <row r="19" spans="1:14" ht="18" customHeight="1">
      <c r="A19" s="88" t="s">
        <v>455</v>
      </c>
      <c r="B19" s="88"/>
      <c r="C19" s="88"/>
      <c r="D19" s="88"/>
      <c r="E19" s="88"/>
      <c r="F19" s="88"/>
      <c r="G19" s="91">
        <f>_xlfn.IFNA(VLOOKUP(封面!B1,'2021决算导出'!A:AQ,43,FALSE),"")</f>
        <v>5756.75</v>
      </c>
      <c r="H19" s="91" t="s">
        <v>179</v>
      </c>
      <c r="I19" s="7" t="s">
        <v>179</v>
      </c>
      <c r="J19" s="7" t="s">
        <v>224</v>
      </c>
      <c r="L19" s="91">
        <f>_xlfn.IFNA(VLOOKUP(封面!B1,'2021决算导出'!A:AR,44,FALSE),"")</f>
        <v>1658.25</v>
      </c>
      <c r="M19" s="91" t="s">
        <v>179</v>
      </c>
      <c r="N19" s="7" t="s">
        <v>179</v>
      </c>
    </row>
    <row r="20" spans="1:14" ht="18" customHeight="1">
      <c r="A20" s="88" t="s">
        <v>225</v>
      </c>
      <c r="B20" s="88"/>
      <c r="C20" s="91">
        <f>_xlfn.IFNA(VLOOKUP(封面!B1,'2021决算导出'!A:AS,45,FALSE),"")</f>
        <v>0</v>
      </c>
      <c r="D20" s="91" t="s">
        <v>179</v>
      </c>
      <c r="E20" s="7" t="s">
        <v>179</v>
      </c>
      <c r="F20" s="88" t="s">
        <v>226</v>
      </c>
      <c r="G20" s="88"/>
      <c r="H20" s="88"/>
      <c r="I20" s="91">
        <f>_xlfn.IFNA(VLOOKUP(封面!B1,'2021决算导出'!A:AT,46,FALSE),"")</f>
        <v>2585</v>
      </c>
      <c r="J20" s="91" t="s">
        <v>179</v>
      </c>
      <c r="K20" s="7" t="s">
        <v>216</v>
      </c>
    </row>
    <row r="21" spans="1:14" ht="18" customHeight="1">
      <c r="A21" s="88" t="s">
        <v>456</v>
      </c>
      <c r="B21" s="88"/>
      <c r="C21" s="88"/>
      <c r="D21" s="8">
        <f>_xlfn.IFNA(VLOOKUP(封面!B1,'2021决算导出'!A:AU,47,FALSE),"")</f>
        <v>1</v>
      </c>
      <c r="E21" s="85" t="s">
        <v>408</v>
      </c>
      <c r="F21" s="85"/>
      <c r="G21" s="85"/>
      <c r="H21" s="85"/>
      <c r="I21" s="85"/>
      <c r="J21" s="85"/>
      <c r="K21" s="85"/>
      <c r="L21" s="85"/>
      <c r="M21" s="54">
        <f>F16/D21</f>
        <v>10000</v>
      </c>
      <c r="N21" s="7" t="s">
        <v>216</v>
      </c>
    </row>
    <row r="22" spans="1:14" ht="18" customHeight="1">
      <c r="A22" s="6" t="s">
        <v>227</v>
      </c>
    </row>
    <row r="23" spans="1:14" ht="18" customHeight="1">
      <c r="A23" s="7" t="s">
        <v>228</v>
      </c>
    </row>
    <row r="24" spans="1:14" ht="18" customHeight="1">
      <c r="A24" s="6" t="s">
        <v>229</v>
      </c>
    </row>
    <row r="25" spans="1:14" ht="18" customHeight="1">
      <c r="A25" s="88" t="s">
        <v>457</v>
      </c>
      <c r="B25" s="88"/>
      <c r="C25" s="88"/>
      <c r="D25" s="88"/>
      <c r="E25" s="83">
        <f>_xlfn.IFNA(VLOOKUP(封面!B1,'2021决算导出'!A:AW,49,FALSE),"")</f>
        <v>3361874</v>
      </c>
      <c r="F25" s="83"/>
      <c r="G25" s="7" t="s">
        <v>179</v>
      </c>
      <c r="H25" s="88" t="s">
        <v>230</v>
      </c>
      <c r="I25" s="88"/>
      <c r="J25" s="88"/>
      <c r="K25" s="88"/>
      <c r="L25" s="83">
        <f>_xlfn.IFNA(VLOOKUP(封面!B1,'2021决算导出'!A:AX,50,FALSE),"")</f>
        <v>2885000</v>
      </c>
      <c r="M25" s="83" t="s">
        <v>179</v>
      </c>
      <c r="N25" s="7" t="s">
        <v>179</v>
      </c>
    </row>
    <row r="26" spans="1:14" ht="18" customHeight="1">
      <c r="A26" s="88" t="s">
        <v>231</v>
      </c>
      <c r="B26" s="88"/>
      <c r="C26" s="88"/>
      <c r="D26" s="83">
        <f>_xlfn.IFNA(VLOOKUP(封面!B1,'2021决算导出'!A:AY,51,FALSE),"")</f>
        <v>0</v>
      </c>
      <c r="E26" s="83" t="s">
        <v>179</v>
      </c>
      <c r="F26" s="7" t="s">
        <v>179</v>
      </c>
      <c r="G26" s="88" t="s">
        <v>232</v>
      </c>
      <c r="H26" s="88"/>
      <c r="I26" s="88"/>
      <c r="J26" s="83">
        <f>_xlfn.IFNA(VLOOKUP(封面!B1,'2021决算导出'!A:AZ,52,FALSE),"")</f>
        <v>476874</v>
      </c>
      <c r="K26" s="83" t="s">
        <v>179</v>
      </c>
      <c r="L26" s="7" t="s">
        <v>216</v>
      </c>
    </row>
    <row r="27" spans="1:14" ht="18" customHeight="1">
      <c r="A27" s="88" t="s">
        <v>233</v>
      </c>
      <c r="B27" s="88"/>
      <c r="C27" s="88"/>
      <c r="D27" s="88"/>
      <c r="E27" s="83">
        <f>_xlfn.IFNA(VLOOKUP(封面!B1,'2021决算导出'!A:BA,53,FALSE),"")</f>
        <v>3361874</v>
      </c>
      <c r="F27" s="83" t="s">
        <v>179</v>
      </c>
      <c r="G27" s="7" t="s">
        <v>179</v>
      </c>
      <c r="H27" s="86" t="s">
        <v>234</v>
      </c>
      <c r="I27" s="86"/>
      <c r="J27" s="86"/>
      <c r="K27" s="29">
        <f>E27/$E$25</f>
        <v>1</v>
      </c>
      <c r="L27" s="18" t="s">
        <v>315</v>
      </c>
      <c r="M27" s="7" t="s">
        <v>409</v>
      </c>
    </row>
    <row r="28" spans="1:14" ht="18" customHeight="1">
      <c r="A28" s="88" t="s">
        <v>235</v>
      </c>
      <c r="B28" s="88"/>
      <c r="C28" s="88"/>
      <c r="D28" s="88"/>
      <c r="E28" s="83">
        <f>_xlfn.IFNA(VLOOKUP(封面!B1,'2021决算导出'!A:BB,54,FALSE),"")</f>
        <v>3361874</v>
      </c>
      <c r="F28" s="83" t="s">
        <v>179</v>
      </c>
      <c r="G28" s="7" t="s">
        <v>179</v>
      </c>
      <c r="H28" s="86" t="s">
        <v>234</v>
      </c>
      <c r="I28" s="86"/>
      <c r="J28" s="86"/>
      <c r="K28" s="29">
        <f>E28/$E$25</f>
        <v>1</v>
      </c>
      <c r="L28" s="18" t="s">
        <v>317</v>
      </c>
    </row>
    <row r="29" spans="1:14" ht="18" customHeight="1">
      <c r="A29" s="6" t="s">
        <v>236</v>
      </c>
    </row>
    <row r="30" spans="1:14" ht="18" customHeight="1">
      <c r="A30" s="88" t="s">
        <v>458</v>
      </c>
      <c r="B30" s="88"/>
      <c r="C30" s="8">
        <f>_xlfn.IFNA(VLOOKUP(封面!B1,'2021决算导出'!A:BC,55,FALSE),"")</f>
        <v>1</v>
      </c>
      <c r="D30" s="7" t="s">
        <v>237</v>
      </c>
      <c r="M30" s="91">
        <f>_xlfn.IFNA(VLOOKUP(封面!B1,'2021决算导出'!A:BD,56,FALSE),"")</f>
        <v>170766</v>
      </c>
      <c r="N30" s="91" t="s">
        <v>179</v>
      </c>
    </row>
    <row r="31" spans="1:14" ht="18" customHeight="1">
      <c r="A31" s="12" t="s">
        <v>238</v>
      </c>
      <c r="B31" s="88" t="s">
        <v>239</v>
      </c>
      <c r="C31" s="88"/>
      <c r="D31" s="88"/>
      <c r="E31" s="88"/>
      <c r="F31" s="88"/>
      <c r="G31" s="8">
        <f>_xlfn.IFNA(VLOOKUP(封面!B1,'2021决算导出'!A:BE,57,FALSE),"")</f>
        <v>9</v>
      </c>
      <c r="H31" s="7" t="s">
        <v>240</v>
      </c>
      <c r="J31" s="7" t="s">
        <v>241</v>
      </c>
    </row>
    <row r="32" spans="1:14" ht="18" customHeight="1">
      <c r="A32" s="12">
        <f>_xlfn.IFNA(VLOOKUP(封面!B1,'2021决算导出'!A:BF,58,FALSE),"")</f>
        <v>0</v>
      </c>
      <c r="B32" s="7" t="s">
        <v>242</v>
      </c>
    </row>
    <row r="33" spans="1:14" ht="18" customHeight="1">
      <c r="A33" s="6" t="s">
        <v>243</v>
      </c>
    </row>
    <row r="34" spans="1:14" ht="18" customHeight="1">
      <c r="A34" s="7" t="s">
        <v>244</v>
      </c>
    </row>
    <row r="35" spans="1:14" ht="18" customHeight="1">
      <c r="A35" s="6" t="s">
        <v>245</v>
      </c>
    </row>
    <row r="36" spans="1:14" ht="375.6" customHeight="1">
      <c r="A36" s="84" t="s">
        <v>475</v>
      </c>
      <c r="B36" s="84"/>
      <c r="C36" s="84"/>
      <c r="D36" s="84"/>
      <c r="E36" s="84"/>
      <c r="F36" s="84"/>
      <c r="G36" s="84"/>
      <c r="H36" s="84"/>
      <c r="I36" s="84"/>
      <c r="J36" s="84"/>
      <c r="K36" s="84"/>
      <c r="L36" s="84"/>
      <c r="M36" s="84"/>
      <c r="N36" s="84"/>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4.25"/>
  <sheetData>
    <row r="10" spans="1:14" ht="54.6" customHeight="1">
      <c r="A10" s="81" t="s">
        <v>477</v>
      </c>
      <c r="B10" s="81"/>
      <c r="C10" s="81"/>
      <c r="D10" s="81"/>
      <c r="E10" s="81"/>
      <c r="F10" s="81"/>
      <c r="G10" s="81"/>
      <c r="H10" s="81"/>
      <c r="I10" s="81"/>
      <c r="J10" s="81"/>
      <c r="K10" s="81"/>
      <c r="L10" s="81"/>
      <c r="M10" s="81"/>
      <c r="N10" s="81"/>
    </row>
    <row r="11" spans="1:14" ht="78" customHeight="1">
      <c r="A11" s="82" t="s">
        <v>478</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5" style="61" customWidth="1"/>
    <col min="3" max="3" width="5.875" style="61" customWidth="1"/>
    <col min="4" max="6" width="13.375" style="61" customWidth="1"/>
    <col min="7" max="8" width="12.5" style="61" customWidth="1"/>
    <col min="9" max="9" width="9" style="61" customWidth="1"/>
    <col min="10" max="10" width="12.25" style="61" customWidth="1"/>
    <col min="11" max="13" width="13.375" style="61" customWidth="1"/>
    <col min="14" max="14" width="12.625" style="61" customWidth="1"/>
    <col min="15" max="20" width="13.375" style="61" customWidth="1"/>
    <col min="21" max="21" width="11.5" style="61" customWidth="1"/>
    <col min="22" max="22" width="13.375" style="61" customWidth="1"/>
    <col min="23" max="23" width="11" style="61" customWidth="1"/>
    <col min="24" max="24" width="11.625" style="70" customWidth="1"/>
    <col min="25" max="25" width="10.5" style="61" customWidth="1"/>
    <col min="26" max="26" width="10.375" style="61" customWidth="1"/>
    <col min="27" max="27" width="13.375" style="61" customWidth="1"/>
    <col min="28" max="28" width="11" style="61" customWidth="1"/>
    <col min="29" max="29" width="10.875" style="61" customWidth="1"/>
    <col min="30" max="34" width="7.5" style="61" customWidth="1"/>
    <col min="35" max="35" width="13.375" style="61" customWidth="1"/>
    <col min="36" max="36" width="11.25" style="61" customWidth="1"/>
    <col min="37" max="40" width="6.875" style="61" customWidth="1"/>
    <col min="41" max="41" width="12.5" style="61" customWidth="1"/>
    <col min="42" max="42" width="11.75" style="61" customWidth="1"/>
    <col min="43" max="46" width="11.125" style="61" customWidth="1"/>
    <col min="47" max="47" width="8.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5" style="61" customWidth="1"/>
    <col min="59" max="16384" width="8.875" style="61"/>
  </cols>
  <sheetData>
    <row r="1" spans="1:58" ht="60" customHeight="1">
      <c r="A1" s="21" t="s">
        <v>459</v>
      </c>
      <c r="B1" s="22" t="s">
        <v>252</v>
      </c>
      <c r="C1" s="22" t="s">
        <v>247</v>
      </c>
      <c r="D1" s="22" t="s">
        <v>253</v>
      </c>
      <c r="E1" s="22" t="s">
        <v>254</v>
      </c>
      <c r="F1" s="22" t="s">
        <v>255</v>
      </c>
      <c r="G1" s="22" t="s">
        <v>256</v>
      </c>
      <c r="H1" s="22" t="s">
        <v>257</v>
      </c>
      <c r="I1" s="22" t="s">
        <v>258</v>
      </c>
      <c r="J1" s="22" t="s">
        <v>259</v>
      </c>
      <c r="K1" s="22" t="s">
        <v>260</v>
      </c>
      <c r="L1" s="22" t="s">
        <v>261</v>
      </c>
      <c r="M1" s="22" t="s">
        <v>262</v>
      </c>
      <c r="N1" s="22" t="s">
        <v>263</v>
      </c>
      <c r="O1" s="22" t="s">
        <v>264</v>
      </c>
      <c r="P1" s="22" t="s">
        <v>265</v>
      </c>
      <c r="Q1" s="22" t="s">
        <v>266</v>
      </c>
      <c r="R1" s="22" t="s">
        <v>267</v>
      </c>
      <c r="S1" s="22" t="s">
        <v>268</v>
      </c>
      <c r="T1" s="22" t="s">
        <v>269</v>
      </c>
      <c r="U1" s="22" t="s">
        <v>270</v>
      </c>
      <c r="V1" s="22" t="s">
        <v>272</v>
      </c>
      <c r="W1" s="22" t="s">
        <v>464</v>
      </c>
      <c r="X1" s="60" t="s">
        <v>465</v>
      </c>
      <c r="Y1" s="22" t="s">
        <v>466</v>
      </c>
      <c r="Z1" s="22" t="s">
        <v>460</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ht="11.65" customHeight="1">
      <c r="A2" s="62">
        <v>255001</v>
      </c>
      <c r="B2" s="25" t="s">
        <v>303</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6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6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6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6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6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6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6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6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6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6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6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6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6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6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6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6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6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6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6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6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6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6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6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6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6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6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6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6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6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6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6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6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6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6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6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6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6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6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6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6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6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6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6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6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6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6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6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6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6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6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6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6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6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6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6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6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6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6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6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6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6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6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6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6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6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6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6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6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6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6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6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6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6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6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6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6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6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6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6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6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6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6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6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6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65" customHeight="1">
      <c r="A87" s="62">
        <v>255108</v>
      </c>
      <c r="B87" s="25" t="s">
        <v>310</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6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6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6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6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6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6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6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6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6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6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6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6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6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6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6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6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6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6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6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6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6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6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6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6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6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6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6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6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6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6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6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6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6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6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65" customHeight="1">
      <c r="A122" s="62">
        <v>255154</v>
      </c>
      <c r="B122" s="25" t="s">
        <v>461</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6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6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6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6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6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6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6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6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6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6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6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6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6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6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6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6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65" customHeight="1">
      <c r="A139" s="62">
        <v>255172</v>
      </c>
      <c r="B139" s="25" t="s">
        <v>311</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6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6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6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6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6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6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6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6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6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6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6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6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6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6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6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6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6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6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6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6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6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6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65" customHeight="1">
      <c r="A162" s="62">
        <v>255204</v>
      </c>
      <c r="B162" s="25" t="s">
        <v>462</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65" customHeight="1">
      <c r="A163" s="62">
        <v>255205</v>
      </c>
      <c r="B163" s="25" t="s">
        <v>463</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6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398</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251</v>
      </c>
      <c r="B1" s="22" t="s">
        <v>252</v>
      </c>
      <c r="C1" s="22" t="s">
        <v>247</v>
      </c>
      <c r="D1" s="71" t="s">
        <v>253</v>
      </c>
      <c r="E1" s="71" t="s">
        <v>254</v>
      </c>
      <c r="F1" s="22" t="s">
        <v>255</v>
      </c>
      <c r="G1" s="22" t="s">
        <v>256</v>
      </c>
      <c r="H1" s="22" t="s">
        <v>257</v>
      </c>
      <c r="I1" s="22" t="s">
        <v>258</v>
      </c>
      <c r="J1" s="22" t="s">
        <v>259</v>
      </c>
      <c r="K1" s="71" t="s">
        <v>260</v>
      </c>
      <c r="L1" s="22" t="s">
        <v>261</v>
      </c>
      <c r="M1" s="22" t="s">
        <v>262</v>
      </c>
      <c r="N1" s="22" t="s">
        <v>263</v>
      </c>
      <c r="O1" s="71" t="s">
        <v>264</v>
      </c>
      <c r="P1" s="22" t="s">
        <v>265</v>
      </c>
      <c r="Q1" s="22" t="s">
        <v>266</v>
      </c>
      <c r="R1" s="22" t="s">
        <v>267</v>
      </c>
      <c r="S1" s="22" t="s">
        <v>268</v>
      </c>
      <c r="T1" s="22" t="s">
        <v>269</v>
      </c>
      <c r="U1" s="22" t="s">
        <v>270</v>
      </c>
      <c r="V1" s="22" t="s">
        <v>271</v>
      </c>
      <c r="W1" s="22" t="s">
        <v>272</v>
      </c>
      <c r="X1" s="22" t="s">
        <v>273</v>
      </c>
      <c r="Y1" s="22" t="s">
        <v>274</v>
      </c>
      <c r="Z1" s="22" t="s">
        <v>319</v>
      </c>
      <c r="AA1" s="22" t="s">
        <v>275</v>
      </c>
      <c r="AB1" s="22" t="s">
        <v>276</v>
      </c>
      <c r="AC1" s="22" t="s">
        <v>277</v>
      </c>
      <c r="AD1" s="22" t="s">
        <v>278</v>
      </c>
      <c r="AE1" s="22" t="s">
        <v>279</v>
      </c>
      <c r="AF1" s="22" t="s">
        <v>280</v>
      </c>
      <c r="AG1" s="22" t="s">
        <v>281</v>
      </c>
      <c r="AH1" s="22" t="s">
        <v>282</v>
      </c>
      <c r="AI1" s="22" t="s">
        <v>283</v>
      </c>
      <c r="AJ1" s="22" t="s">
        <v>284</v>
      </c>
      <c r="AK1" s="22" t="s">
        <v>285</v>
      </c>
      <c r="AL1" s="22" t="s">
        <v>286</v>
      </c>
      <c r="AM1" s="22" t="s">
        <v>320</v>
      </c>
      <c r="AN1" s="22" t="s">
        <v>321</v>
      </c>
      <c r="AO1" s="22" t="s">
        <v>287</v>
      </c>
      <c r="AP1" s="22" t="s">
        <v>288</v>
      </c>
      <c r="AQ1" s="22" t="s">
        <v>289</v>
      </c>
      <c r="AR1" s="22" t="s">
        <v>290</v>
      </c>
      <c r="AS1" s="22" t="s">
        <v>291</v>
      </c>
      <c r="AT1" s="22" t="s">
        <v>292</v>
      </c>
      <c r="AU1" s="22" t="s">
        <v>293</v>
      </c>
      <c r="AV1" s="22" t="s">
        <v>322</v>
      </c>
      <c r="AW1" s="22" t="s">
        <v>294</v>
      </c>
      <c r="AX1" s="22" t="s">
        <v>295</v>
      </c>
      <c r="AY1" s="22" t="s">
        <v>296</v>
      </c>
      <c r="AZ1" s="22" t="s">
        <v>297</v>
      </c>
      <c r="BA1" s="22" t="s">
        <v>298</v>
      </c>
      <c r="BB1" s="22" t="s">
        <v>299</v>
      </c>
      <c r="BC1" s="22" t="s">
        <v>300</v>
      </c>
      <c r="BD1" s="22" t="s">
        <v>410</v>
      </c>
      <c r="BE1" s="22" t="s">
        <v>301</v>
      </c>
      <c r="BF1" s="22" t="s">
        <v>302</v>
      </c>
    </row>
    <row r="2" spans="1:58">
      <c r="A2" s="24">
        <v>255001</v>
      </c>
      <c r="B2" s="25" t="s">
        <v>303</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304</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305</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251</v>
      </c>
      <c r="B1" s="22" t="s">
        <v>252</v>
      </c>
      <c r="C1" s="22" t="s">
        <v>306</v>
      </c>
      <c r="D1" s="22" t="s">
        <v>307</v>
      </c>
      <c r="E1" s="22" t="s">
        <v>308</v>
      </c>
      <c r="F1" s="22" t="s">
        <v>309</v>
      </c>
    </row>
    <row r="2" spans="1:6">
      <c r="A2" s="24">
        <v>255001</v>
      </c>
      <c r="B2" s="25" t="s">
        <v>303</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310</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311</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312</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313</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323</v>
      </c>
      <c r="B1" s="42" t="s">
        <v>360</v>
      </c>
      <c r="C1" s="75" t="s">
        <v>361</v>
      </c>
      <c r="D1" s="75" t="s">
        <v>362</v>
      </c>
      <c r="E1" s="42" t="s">
        <v>363</v>
      </c>
      <c r="F1" s="42" t="s">
        <v>364</v>
      </c>
      <c r="G1" s="42" t="s">
        <v>365</v>
      </c>
      <c r="H1" s="42" t="s">
        <v>366</v>
      </c>
      <c r="I1" s="42" t="s">
        <v>367</v>
      </c>
      <c r="J1" s="42" t="s">
        <v>368</v>
      </c>
      <c r="K1" s="42" t="s">
        <v>369</v>
      </c>
      <c r="L1" s="42" t="s">
        <v>370</v>
      </c>
      <c r="M1" s="42" t="s">
        <v>371</v>
      </c>
      <c r="N1" s="42" t="s">
        <v>372</v>
      </c>
      <c r="O1" s="42" t="s">
        <v>373</v>
      </c>
      <c r="P1" s="42" t="s">
        <v>374</v>
      </c>
      <c r="Q1" s="75" t="s">
        <v>375</v>
      </c>
      <c r="R1" s="75" t="s">
        <v>376</v>
      </c>
      <c r="S1" s="76" t="s">
        <v>471</v>
      </c>
      <c r="T1" s="76" t="s">
        <v>472</v>
      </c>
      <c r="U1" s="42" t="s">
        <v>377</v>
      </c>
      <c r="V1" s="42" t="s">
        <v>378</v>
      </c>
      <c r="W1" s="75" t="s">
        <v>379</v>
      </c>
      <c r="X1" s="75" t="s">
        <v>380</v>
      </c>
      <c r="Y1" s="42" t="s">
        <v>381</v>
      </c>
      <c r="Z1" s="42" t="s">
        <v>382</v>
      </c>
      <c r="AA1" s="42" t="s">
        <v>383</v>
      </c>
      <c r="AB1" s="42" t="s">
        <v>384</v>
      </c>
      <c r="AC1" s="75" t="s">
        <v>385</v>
      </c>
      <c r="AD1" s="75" t="s">
        <v>386</v>
      </c>
      <c r="AE1" s="42" t="s">
        <v>387</v>
      </c>
      <c r="AF1" s="42" t="s">
        <v>388</v>
      </c>
      <c r="AG1" s="75" t="s">
        <v>389</v>
      </c>
      <c r="AH1" s="75" t="s">
        <v>390</v>
      </c>
      <c r="AI1" s="42" t="s">
        <v>391</v>
      </c>
      <c r="AJ1" s="42" t="s">
        <v>392</v>
      </c>
      <c r="AK1" s="75" t="s">
        <v>393</v>
      </c>
      <c r="AL1" s="75" t="s">
        <v>394</v>
      </c>
      <c r="AM1" s="42" t="s">
        <v>395</v>
      </c>
      <c r="AN1" s="42" t="s">
        <v>396</v>
      </c>
    </row>
    <row r="2" spans="1:40">
      <c r="A2" s="43">
        <v>255001</v>
      </c>
      <c r="B2" s="44" t="s">
        <v>303</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304</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462</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463</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397</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398</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251</v>
      </c>
      <c r="B1" s="22" t="s">
        <v>252</v>
      </c>
      <c r="C1" s="37" t="s">
        <v>324</v>
      </c>
      <c r="D1" s="37" t="s">
        <v>325</v>
      </c>
      <c r="E1" s="38" t="s">
        <v>326</v>
      </c>
      <c r="F1" s="22" t="s">
        <v>327</v>
      </c>
      <c r="G1" s="22" t="s">
        <v>328</v>
      </c>
      <c r="H1" s="22" t="s">
        <v>329</v>
      </c>
    </row>
    <row r="2" spans="1:8">
      <c r="A2" s="24">
        <v>255001</v>
      </c>
      <c r="B2" s="25" t="s">
        <v>303</v>
      </c>
      <c r="C2" s="39" t="str">
        <f>LEFT(D2,3)</f>
        <v>205</v>
      </c>
      <c r="D2" s="39" t="str">
        <f>LEFT(E2,5)</f>
        <v>20502</v>
      </c>
      <c r="E2" s="39">
        <f>IF(ISNA(VLOOKUP(F2,'2021功能科目'!A:B,2,FALSE)),"",VLOOKUP(F2,'2021功能科目'!A:B,2,FALSE))</f>
        <v>2050201</v>
      </c>
      <c r="F2" s="25" t="s">
        <v>330</v>
      </c>
      <c r="G2" s="26">
        <v>84369469.799999997</v>
      </c>
      <c r="H2" s="26">
        <v>88422700</v>
      </c>
    </row>
    <row r="3" spans="1:8">
      <c r="A3" s="24">
        <v>255001</v>
      </c>
      <c r="B3" s="25" t="s">
        <v>303</v>
      </c>
      <c r="C3" s="39" t="str">
        <f t="shared" ref="C3:C66" si="0">LEFT(D3,3)</f>
        <v>205</v>
      </c>
      <c r="D3" s="39" t="str">
        <f t="shared" ref="D3:D66" si="1">LEFT(E3,5)</f>
        <v>20502</v>
      </c>
      <c r="E3" s="39">
        <f>IF(ISNA(VLOOKUP(F3,'2021功能科目'!A:B,2,FALSE)),"",VLOOKUP(F3,'2021功能科目'!A:B,2,FALSE))</f>
        <v>2050204</v>
      </c>
      <c r="F3" s="25" t="s">
        <v>332</v>
      </c>
      <c r="G3" s="26">
        <v>1817641</v>
      </c>
      <c r="H3" s="26">
        <v>410000</v>
      </c>
    </row>
    <row r="4" spans="1:8">
      <c r="A4" s="24">
        <v>255001</v>
      </c>
      <c r="B4" s="25" t="s">
        <v>303</v>
      </c>
      <c r="C4" s="39" t="str">
        <f t="shared" si="0"/>
        <v>205</v>
      </c>
      <c r="D4" s="39" t="str">
        <f t="shared" si="1"/>
        <v>20502</v>
      </c>
      <c r="E4" s="39">
        <f>IF(ISNA(VLOOKUP(F4,'2021功能科目'!A:B,2,FALSE)),"",VLOOKUP(F4,'2021功能科目'!A:B,2,FALSE))</f>
        <v>2050299</v>
      </c>
      <c r="F4" s="25" t="s">
        <v>333</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346</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332</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333</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334</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336</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337</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338</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339</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341</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342</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343</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344</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345</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346</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332</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333</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334</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336</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337</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338</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339</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341</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342</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343</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344</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345</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346</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332</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333</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334</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336</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337</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338</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339</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341</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342</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343</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344</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345</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346</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332</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333</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334</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336</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337</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338</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339</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341</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342</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343</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344</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345</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346</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332</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333</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334</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336</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337</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338</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339</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340</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341</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342</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343</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344</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345</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346</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332</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333</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334</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336</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337</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338</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339</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341</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342</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343</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344</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345</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346</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332</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333</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334</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336</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337</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338</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339</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341</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342</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343</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344</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345</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332</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333</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334</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336</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337</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338</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339</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341</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342</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343</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344</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345</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346</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332</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333</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334</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335</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336</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337</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338</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339</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341</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342</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343</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344</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345</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332</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333</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334</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336</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337</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338</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339</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341</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342</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343</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344</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345</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346</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332</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333</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334</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335</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336</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337</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338</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339</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341</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342</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343</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344</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345</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346</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332</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333</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334</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337</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338</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339</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341</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342</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343</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344</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345</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346</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332</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333</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334</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336</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337</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338</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339</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341</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342</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343</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344</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345</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346</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333</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334</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337</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338</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339</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341</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342</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343</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344</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345</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332</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334</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337</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338</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339</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341</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343</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344</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345</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346</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332</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333</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334</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336</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337</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338</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339</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341</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342</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343</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344</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345</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346</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332</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333</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334</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336</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337</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338</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339</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341</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342</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343</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344</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345</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346</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332</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333</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334</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336</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337</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338</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339</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341</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342</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343</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344</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345</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332</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333</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334</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336</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337</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338</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339</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341</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342</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343</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344</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345</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346</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333</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334</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336</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337</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338</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339</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341</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342</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343</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344</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345</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346</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332</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333</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334</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336</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337</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338</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339</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341</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342</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343</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344</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345</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346</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333</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334</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337</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338</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339</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341</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342</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343</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344</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345</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346</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333</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334</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336</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337</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338</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339</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341</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342</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343</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344</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345</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347</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334</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337</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338</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339</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340</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341</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342</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343</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344</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345</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332</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333</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347</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334</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349</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337</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338</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339</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341</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342</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343</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344</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345</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330</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331</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346</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332</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333</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334</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335</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336</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337</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338</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339</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341</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342</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343</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344</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345</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331</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333</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334</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337</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338</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339</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341</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342</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343</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344</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345</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331</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333</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334</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335</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337</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338</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339</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341</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343</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344</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345</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331</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333</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334</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336</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337</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338</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339</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341</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343</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344</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345</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331</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333</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334</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335</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336</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337</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338</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339</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341</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343</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344</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345</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331</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333</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334</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335</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336</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337</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338</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339</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341</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343</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344</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345</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331</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333</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334</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335</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337</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338</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339</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341</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343</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344</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345</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331</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333</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334</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336</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337</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338</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339</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341</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343</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344</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345</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331</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333</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334</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335</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336</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337</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338</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339</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341</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343</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344</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345</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331</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333</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334</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335</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336</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337</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338</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339</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341</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342</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343</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344</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345</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331</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333</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334</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336</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337</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338</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339</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341</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343</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344</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345</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331</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333</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334</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335</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336</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337</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338</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339</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341</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342</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343</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344</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345</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331</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333</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334</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335</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337</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338</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339</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341</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343</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344</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345</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331</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333</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334</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336</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337</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338</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339</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341</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342</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343</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344</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345</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331</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333</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334</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335</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336</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337</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338</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339</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341</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342</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343</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344</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345</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331</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333</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334</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335</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336</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337</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338</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339</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341</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343</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344</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345</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331</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333</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334</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336</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337</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338</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339</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341</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342</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343</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344</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345</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331</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333</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334</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335</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336</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337</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338</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339</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341</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343</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344</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345</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331</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333</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334</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335</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336</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337</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338</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339</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341</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343</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344</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345</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331</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333</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334</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336</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337</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338</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339</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341</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343</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344</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345</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331</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333</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334</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335</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336</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337</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338</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339</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341</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342</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343</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344</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345</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331</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333</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334</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336</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337</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338</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339</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341</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343</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344</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345</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331</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333</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334</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335</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336</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337</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338</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339</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340</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341</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342</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343</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344</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345</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331</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333</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334</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335</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337</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338</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339</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341</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343</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344</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345</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331</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333</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334</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335</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336</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350</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337</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338</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339</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341</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343</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344</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345</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331</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333</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334</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335</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336</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337</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338</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339</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341</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342</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343</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344</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345</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331</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333</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334</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335</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336</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337</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338</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339</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341</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342</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343</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344</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345</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331</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333</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334</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336</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337</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338</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339</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341</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342</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343</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344</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345</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331</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333</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334</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336</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337</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338</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339</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341</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342</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343</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344</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345</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331</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333</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334</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336</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337</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338</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339</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341</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342</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343</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344</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345</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331</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333</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334</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336</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337</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338</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339</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341</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342</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343</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344</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345</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331</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333</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334</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337</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338</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339</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341</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343</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344</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345</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331</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333</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334</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335</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336</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337</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338</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339</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341</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342</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343</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344</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345</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331</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333</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334</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337</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338</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339</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341</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342</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343</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344</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345</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330</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334</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350</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337</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338</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339</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341</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342</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343</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344</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345</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330</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334</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350</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337</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338</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339</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341</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342</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343</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344</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345</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330</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334</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350</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337</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338</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339</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341</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342</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343</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344</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345</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330</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334</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350</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337</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338</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339</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341</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343</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344</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345</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330</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334</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350</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337</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338</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339</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341</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343</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344</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345</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330</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334</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350</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337</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338</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339</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341</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342</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343</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344</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345</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330</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334</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350</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337</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338</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339</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341</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343</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344</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345</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330</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334</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350</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337</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338</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339</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341</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343</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344</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345</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337</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344</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330</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332</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333</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351</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334</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350</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337</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338</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339</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341</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343</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344</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345</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330</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346</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332</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333</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351</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334</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336</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337</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338</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339</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341</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343</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344</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345</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333</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353</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334</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337</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338</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339</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341</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343</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344</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345</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333</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334</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337</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338</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339</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341</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342</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343</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344</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345</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333</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334</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350</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354</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337</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338</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339</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341</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342</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343</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344</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345</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333</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334</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350</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337</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338</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339</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341</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343</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344</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345</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333</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334</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350</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337</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338</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339</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341</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343</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344</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345</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333</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334</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350</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337</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338</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339</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341</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343</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344</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345</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333</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334</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337</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338</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339</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341</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343</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344</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345</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333</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334</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337</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338</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339</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341</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343</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344</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345</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355</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334</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350</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337</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338</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339</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341</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342</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343</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344</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345</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333</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334</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337</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338</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339</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341</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343</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344</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345</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333</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334</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350</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337</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338</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339</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341</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343</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344</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345</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355</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334</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337</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338</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339</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341</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343</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344</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345</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333</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334</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337</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338</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339</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341</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343</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344</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345</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333</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334</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337</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338</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339</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341</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343</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344</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345</v>
      </c>
      <c r="G975" s="26">
        <v>279288</v>
      </c>
      <c r="H975" s="26">
        <v>279288</v>
      </c>
    </row>
    <row r="976" spans="1:8">
      <c r="A976" s="24">
        <v>255108</v>
      </c>
      <c r="B976" s="25" t="s">
        <v>310</v>
      </c>
      <c r="C976" s="39" t="str">
        <f t="shared" si="30"/>
        <v>205</v>
      </c>
      <c r="D976" s="39" t="str">
        <f t="shared" si="31"/>
        <v>20502</v>
      </c>
      <c r="E976" s="39">
        <f>IF(ISNA(VLOOKUP(F976,'2021功能科目'!A:B,2,FALSE)),"",VLOOKUP(F976,'2021功能科目'!A:B,2,FALSE))</f>
        <v>2050299</v>
      </c>
      <c r="F976" s="25" t="s">
        <v>333</v>
      </c>
      <c r="G976" s="26">
        <v>2062299.14</v>
      </c>
      <c r="H976" s="26">
        <v>1861343.69</v>
      </c>
    </row>
    <row r="977" spans="1:8">
      <c r="A977" s="24">
        <v>255108</v>
      </c>
      <c r="B977" s="25" t="s">
        <v>310</v>
      </c>
      <c r="C977" s="39" t="str">
        <f t="shared" si="30"/>
        <v>205</v>
      </c>
      <c r="D977" s="39" t="str">
        <f t="shared" si="31"/>
        <v>20508</v>
      </c>
      <c r="E977" s="39">
        <f>IF(ISNA(VLOOKUP(F977,'2021功能科目'!A:B,2,FALSE)),"",VLOOKUP(F977,'2021功能科目'!A:B,2,FALSE))</f>
        <v>2050803</v>
      </c>
      <c r="F977" s="25" t="s">
        <v>334</v>
      </c>
      <c r="G977" s="26">
        <v>0</v>
      </c>
      <c r="H977" s="26">
        <v>6120</v>
      </c>
    </row>
    <row r="978" spans="1:8">
      <c r="A978" s="24">
        <v>255108</v>
      </c>
      <c r="B978" s="25" t="s">
        <v>310</v>
      </c>
      <c r="C978" s="39" t="str">
        <f t="shared" si="30"/>
        <v>208</v>
      </c>
      <c r="D978" s="39" t="str">
        <f t="shared" si="31"/>
        <v>20805</v>
      </c>
      <c r="E978" s="39">
        <f>IF(ISNA(VLOOKUP(F978,'2021功能科目'!A:B,2,FALSE)),"",VLOOKUP(F978,'2021功能科目'!A:B,2,FALSE))</f>
        <v>2080505</v>
      </c>
      <c r="F978" s="25" t="s">
        <v>338</v>
      </c>
      <c r="G978" s="26">
        <v>227009.92000000001</v>
      </c>
      <c r="H978" s="26">
        <v>233242.54</v>
      </c>
    </row>
    <row r="979" spans="1:8">
      <c r="A979" s="24">
        <v>255108</v>
      </c>
      <c r="B979" s="25" t="s">
        <v>310</v>
      </c>
      <c r="C979" s="39" t="str">
        <f t="shared" si="30"/>
        <v>208</v>
      </c>
      <c r="D979" s="39" t="str">
        <f t="shared" si="31"/>
        <v>20805</v>
      </c>
      <c r="E979" s="39">
        <f>IF(ISNA(VLOOKUP(F979,'2021功能科目'!A:B,2,FALSE)),"",VLOOKUP(F979,'2021功能科目'!A:B,2,FALSE))</f>
        <v>2080506</v>
      </c>
      <c r="F979" s="25" t="s">
        <v>339</v>
      </c>
      <c r="G979" s="26">
        <v>113504.96000000001</v>
      </c>
      <c r="H979" s="26">
        <v>116621.27</v>
      </c>
    </row>
    <row r="980" spans="1:8">
      <c r="A980" s="24">
        <v>255108</v>
      </c>
      <c r="B980" s="25" t="s">
        <v>310</v>
      </c>
      <c r="C980" s="39" t="str">
        <f t="shared" si="30"/>
        <v>210</v>
      </c>
      <c r="D980" s="39" t="str">
        <f t="shared" si="31"/>
        <v>21011</v>
      </c>
      <c r="E980" s="39">
        <f>IF(ISNA(VLOOKUP(F980,'2021功能科目'!A:B,2,FALSE)),"",VLOOKUP(F980,'2021功能科目'!A:B,2,FALSE))</f>
        <v>2101102</v>
      </c>
      <c r="F980" s="25" t="s">
        <v>341</v>
      </c>
      <c r="G980" s="26">
        <v>227782.67</v>
      </c>
      <c r="H980" s="26">
        <v>189509.56</v>
      </c>
    </row>
    <row r="981" spans="1:8">
      <c r="A981" s="24">
        <v>255108</v>
      </c>
      <c r="B981" s="25" t="s">
        <v>310</v>
      </c>
      <c r="C981" s="39" t="str">
        <f t="shared" si="30"/>
        <v>221</v>
      </c>
      <c r="D981" s="39" t="str">
        <f t="shared" si="31"/>
        <v>22102</v>
      </c>
      <c r="E981" s="39">
        <f>IF(ISNA(VLOOKUP(F981,'2021功能科目'!A:B,2,FALSE)),"",VLOOKUP(F981,'2021功能科目'!A:B,2,FALSE))</f>
        <v>2210201</v>
      </c>
      <c r="F981" s="25" t="s">
        <v>343</v>
      </c>
      <c r="G981" s="26">
        <v>220664</v>
      </c>
      <c r="H981" s="26">
        <v>194371.91</v>
      </c>
    </row>
    <row r="982" spans="1:8">
      <c r="A982" s="24">
        <v>255108</v>
      </c>
      <c r="B982" s="25" t="s">
        <v>310</v>
      </c>
      <c r="C982" s="39" t="str">
        <f t="shared" si="30"/>
        <v>221</v>
      </c>
      <c r="D982" s="39" t="str">
        <f t="shared" si="31"/>
        <v>22102</v>
      </c>
      <c r="E982" s="39">
        <f>IF(ISNA(VLOOKUP(F982,'2021功能科目'!A:B,2,FALSE)),"",VLOOKUP(F982,'2021功能科目'!A:B,2,FALSE))</f>
        <v>2210203</v>
      </c>
      <c r="F982" s="25" t="s">
        <v>345</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333</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334</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350</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337</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338</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339</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341</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343</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344</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345</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333</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334</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337</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338</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339</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341</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343</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344</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345</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330</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334</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350</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337</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338</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339</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341</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343</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344</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345</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331</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333</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334</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336</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337</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338</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339</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341</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343</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344</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345</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333</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334</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337</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338</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339</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341</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343</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344</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345</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331</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346</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332</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333</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334</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336</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337</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338</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339</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341</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342</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343</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344</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345</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346</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332</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333</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334</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335</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336</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467</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337</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338</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339</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340</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341</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342</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343</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344</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345</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332</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333</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334</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336</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467</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337</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338</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339</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341</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342</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343</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344</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345</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332</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334</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336</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337</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338</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339</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341</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342</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343</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344</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345</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346</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332</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333</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334</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336</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337</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338</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339</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341</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342</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343</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344</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345</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333</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347</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334</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337</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338</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339</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341</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342</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343</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344</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345</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332</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334</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337</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338</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339</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341</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342</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343</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344</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345</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346</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332</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333</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334</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336</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337</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338</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339</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341</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342</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343</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344</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345</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346</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332</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333</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334</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336</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337</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338</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339</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340</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341</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342</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343</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344</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345</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346</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332</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333</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334</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336</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337</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338</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339</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341</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342</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343</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344</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345</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331</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333</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334</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335</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336</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337</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338</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339</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341</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342</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343</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344</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345</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331</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333</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334</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336</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337</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338</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339</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341</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342</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343</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344</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345</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331</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333</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334</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335</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336</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337</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338</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339</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341</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343</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344</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345</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331</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333</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334</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336</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337</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338</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339</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341</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342</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343</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344</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345</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331</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333</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334</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335</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336</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337</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338</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339</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341</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342</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343</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344</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345</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331</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333</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334</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336</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337</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338</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339</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341</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343</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344</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345</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331</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333</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334</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336</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337</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338</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339</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341</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343</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344</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345</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331</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333</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334</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336</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337</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338</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339</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341</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343</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344</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345</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331</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333</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334</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335</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337</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338</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339</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341</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342</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343</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344</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345</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331</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333</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334</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335</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336</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337</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338</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339</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340</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341</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342</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343</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344</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345</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331</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333</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334</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336</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337</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338</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339</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341</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342</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343</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344</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345</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331</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333</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334</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336</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337</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338</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339</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341</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343</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344</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345</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331</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333</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334</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335</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337</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338</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339</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341</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342</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343</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344</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345</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331</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333</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334</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335</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337</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338</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339</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341</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343</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344</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345</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331</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333</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334</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336</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337</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338</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339</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341</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342</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343</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344</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345</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331</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333</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334</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335</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336</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337</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338</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339</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341</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343</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344</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345</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331</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333</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334</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336</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337</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338</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339</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341</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342</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343</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344</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345</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331</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333</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334</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335</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337</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338</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339</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341</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343</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344</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345</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331</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333</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334</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336</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337</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338</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339</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341</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343</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344</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345</v>
      </c>
      <c r="G1384" s="26">
        <v>1027932</v>
      </c>
      <c r="H1384" s="26">
        <v>1027932</v>
      </c>
    </row>
    <row r="1385" spans="1:8">
      <c r="A1385" s="24">
        <v>255154</v>
      </c>
      <c r="B1385" s="25" t="s">
        <v>461</v>
      </c>
      <c r="C1385" s="39" t="str">
        <f t="shared" si="42"/>
        <v>205</v>
      </c>
      <c r="D1385" s="39" t="str">
        <f t="shared" si="43"/>
        <v>20502</v>
      </c>
      <c r="E1385" s="39">
        <f>IF(ISNA(VLOOKUP(F1385,'2021功能科目'!A:B,2,FALSE)),"",VLOOKUP(F1385,'2021功能科目'!A:B,2,FALSE))</f>
        <v>2050202</v>
      </c>
      <c r="F1385" s="25" t="s">
        <v>331</v>
      </c>
      <c r="G1385" s="26">
        <v>20179239.84</v>
      </c>
      <c r="H1385" s="26">
        <v>17536632.91</v>
      </c>
    </row>
    <row r="1386" spans="1:8">
      <c r="A1386" s="24">
        <v>255154</v>
      </c>
      <c r="B1386" s="25" t="s">
        <v>461</v>
      </c>
      <c r="C1386" s="39" t="str">
        <f t="shared" si="42"/>
        <v>205</v>
      </c>
      <c r="D1386" s="39" t="str">
        <f t="shared" si="43"/>
        <v>20502</v>
      </c>
      <c r="E1386" s="39">
        <f>IF(ISNA(VLOOKUP(F1386,'2021功能科目'!A:B,2,FALSE)),"",VLOOKUP(F1386,'2021功能科目'!A:B,2,FALSE))</f>
        <v>2050299</v>
      </c>
      <c r="F1386" s="25" t="s">
        <v>333</v>
      </c>
      <c r="G1386" s="26">
        <v>825091.53</v>
      </c>
      <c r="H1386" s="26">
        <v>797250</v>
      </c>
    </row>
    <row r="1387" spans="1:8">
      <c r="A1387" s="24">
        <v>255154</v>
      </c>
      <c r="B1387" s="25" t="s">
        <v>461</v>
      </c>
      <c r="C1387" s="39" t="str">
        <f t="shared" si="42"/>
        <v>205</v>
      </c>
      <c r="D1387" s="39" t="str">
        <f t="shared" si="43"/>
        <v>20508</v>
      </c>
      <c r="E1387" s="39">
        <f>IF(ISNA(VLOOKUP(F1387,'2021功能科目'!A:B,2,FALSE)),"",VLOOKUP(F1387,'2021功能科目'!A:B,2,FALSE))</f>
        <v>2050803</v>
      </c>
      <c r="F1387" s="25" t="s">
        <v>334</v>
      </c>
      <c r="G1387" s="26">
        <v>42840</v>
      </c>
      <c r="H1387" s="26">
        <v>42840</v>
      </c>
    </row>
    <row r="1388" spans="1:8">
      <c r="A1388" s="24">
        <v>255154</v>
      </c>
      <c r="B1388" s="25" t="s">
        <v>461</v>
      </c>
      <c r="C1388" s="39" t="str">
        <f t="shared" si="42"/>
        <v>205</v>
      </c>
      <c r="D1388" s="39" t="str">
        <f t="shared" si="43"/>
        <v>20509</v>
      </c>
      <c r="E1388" s="39">
        <f>IF(ISNA(VLOOKUP(F1388,'2021功能科目'!A:B,2,FALSE)),"",VLOOKUP(F1388,'2021功能科目'!A:B,2,FALSE))</f>
        <v>2050904</v>
      </c>
      <c r="F1388" s="25" t="s">
        <v>336</v>
      </c>
      <c r="G1388" s="26">
        <v>7282</v>
      </c>
      <c r="H1388" s="26">
        <v>7282</v>
      </c>
    </row>
    <row r="1389" spans="1:8">
      <c r="A1389" s="24">
        <v>255154</v>
      </c>
      <c r="B1389" s="25" t="s">
        <v>461</v>
      </c>
      <c r="C1389" s="39" t="str">
        <f t="shared" si="42"/>
        <v>208</v>
      </c>
      <c r="D1389" s="39" t="str">
        <f t="shared" si="43"/>
        <v>20805</v>
      </c>
      <c r="E1389" s="39">
        <f>IF(ISNA(VLOOKUP(F1389,'2021功能科目'!A:B,2,FALSE)),"",VLOOKUP(F1389,'2021功能科目'!A:B,2,FALSE))</f>
        <v>2080502</v>
      </c>
      <c r="F1389" s="25" t="s">
        <v>337</v>
      </c>
      <c r="G1389" s="26">
        <v>408722.56</v>
      </c>
      <c r="H1389" s="26">
        <v>408726</v>
      </c>
    </row>
    <row r="1390" spans="1:8">
      <c r="A1390" s="24">
        <v>255154</v>
      </c>
      <c r="B1390" s="25" t="s">
        <v>461</v>
      </c>
      <c r="C1390" s="39" t="str">
        <f t="shared" si="42"/>
        <v>208</v>
      </c>
      <c r="D1390" s="39" t="str">
        <f t="shared" si="43"/>
        <v>20805</v>
      </c>
      <c r="E1390" s="39">
        <f>IF(ISNA(VLOOKUP(F1390,'2021功能科目'!A:B,2,FALSE)),"",VLOOKUP(F1390,'2021功能科目'!A:B,2,FALSE))</f>
        <v>2080505</v>
      </c>
      <c r="F1390" s="25" t="s">
        <v>338</v>
      </c>
      <c r="G1390" s="26">
        <v>1909234.88</v>
      </c>
      <c r="H1390" s="26">
        <v>2017116.26</v>
      </c>
    </row>
    <row r="1391" spans="1:8">
      <c r="A1391" s="24">
        <v>255154</v>
      </c>
      <c r="B1391" s="25" t="s">
        <v>461</v>
      </c>
      <c r="C1391" s="39" t="str">
        <f t="shared" si="42"/>
        <v>208</v>
      </c>
      <c r="D1391" s="39" t="str">
        <f t="shared" si="43"/>
        <v>20805</v>
      </c>
      <c r="E1391" s="39">
        <f>IF(ISNA(VLOOKUP(F1391,'2021功能科目'!A:B,2,FALSE)),"",VLOOKUP(F1391,'2021功能科目'!A:B,2,FALSE))</f>
        <v>2080506</v>
      </c>
      <c r="F1391" s="25" t="s">
        <v>339</v>
      </c>
      <c r="G1391" s="26">
        <v>954617.44</v>
      </c>
      <c r="H1391" s="26">
        <v>1008558.13</v>
      </c>
    </row>
    <row r="1392" spans="1:8">
      <c r="A1392" s="24">
        <v>255154</v>
      </c>
      <c r="B1392" s="25" t="s">
        <v>461</v>
      </c>
      <c r="C1392" s="39" t="str">
        <f t="shared" si="42"/>
        <v>210</v>
      </c>
      <c r="D1392" s="39" t="str">
        <f t="shared" si="43"/>
        <v>21011</v>
      </c>
      <c r="E1392" s="39">
        <f>IF(ISNA(VLOOKUP(F1392,'2021功能科目'!A:B,2,FALSE)),"",VLOOKUP(F1392,'2021功能科目'!A:B,2,FALSE))</f>
        <v>2101102</v>
      </c>
      <c r="F1392" s="25" t="s">
        <v>341</v>
      </c>
      <c r="G1392" s="26">
        <v>1645115.15</v>
      </c>
      <c r="H1392" s="26">
        <v>1638906.96</v>
      </c>
    </row>
    <row r="1393" spans="1:8">
      <c r="A1393" s="24">
        <v>255154</v>
      </c>
      <c r="B1393" s="25" t="s">
        <v>461</v>
      </c>
      <c r="C1393" s="39" t="str">
        <f t="shared" si="42"/>
        <v>221</v>
      </c>
      <c r="D1393" s="39" t="str">
        <f t="shared" si="43"/>
        <v>22102</v>
      </c>
      <c r="E1393" s="39">
        <f>IF(ISNA(VLOOKUP(F1393,'2021功能科目'!A:B,2,FALSE)),"",VLOOKUP(F1393,'2021功能科目'!A:B,2,FALSE))</f>
        <v>2210201</v>
      </c>
      <c r="F1393" s="25" t="s">
        <v>343</v>
      </c>
      <c r="G1393" s="26">
        <v>1703381</v>
      </c>
      <c r="H1393" s="26">
        <v>1648917.2</v>
      </c>
    </row>
    <row r="1394" spans="1:8">
      <c r="A1394" s="24">
        <v>255154</v>
      </c>
      <c r="B1394" s="25" t="s">
        <v>461</v>
      </c>
      <c r="C1394" s="39" t="str">
        <f t="shared" si="42"/>
        <v>221</v>
      </c>
      <c r="D1394" s="39" t="str">
        <f t="shared" si="43"/>
        <v>22102</v>
      </c>
      <c r="E1394" s="39">
        <f>IF(ISNA(VLOOKUP(F1394,'2021功能科目'!A:B,2,FALSE)),"",VLOOKUP(F1394,'2021功能科目'!A:B,2,FALSE))</f>
        <v>2210202</v>
      </c>
      <c r="F1394" s="25" t="s">
        <v>344</v>
      </c>
      <c r="G1394" s="26">
        <v>36120</v>
      </c>
      <c r="H1394" s="26">
        <v>36240</v>
      </c>
    </row>
    <row r="1395" spans="1:8">
      <c r="A1395" s="24">
        <v>255154</v>
      </c>
      <c r="B1395" s="25" t="s">
        <v>461</v>
      </c>
      <c r="C1395" s="39" t="str">
        <f t="shared" si="42"/>
        <v>221</v>
      </c>
      <c r="D1395" s="39" t="str">
        <f t="shared" si="43"/>
        <v>22102</v>
      </c>
      <c r="E1395" s="39">
        <f>IF(ISNA(VLOOKUP(F1395,'2021功能科目'!A:B,2,FALSE)),"",VLOOKUP(F1395,'2021功能科目'!A:B,2,FALSE))</f>
        <v>2210203</v>
      </c>
      <c r="F1395" s="25" t="s">
        <v>345</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331</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333</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334</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336</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337</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338</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339</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341</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343</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344</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345</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331</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333</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334</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335</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336</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337</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338</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339</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341</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343</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344</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345</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330</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334</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350</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337</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338</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339</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341</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343</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344</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345</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330</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334</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350</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337</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338</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339</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341</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342</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343</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344</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345</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330</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334</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337</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338</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339</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341</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343</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344</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345</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330</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334</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467</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337</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338</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339</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341</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343</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344</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345</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330</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350</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337</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338</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339</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341</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343</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344</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345</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330</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334</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350</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337</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338</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339</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341</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343</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344</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345</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330</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334</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350</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337</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338</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339</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341</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343</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344</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345</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330</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334</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350</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337</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338</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339</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341</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343</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344</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345</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330</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334</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350</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337</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338</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339</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341</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343</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344</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345</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330</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334</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337</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338</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339</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341</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342</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343</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344</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345</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330</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334</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337</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338</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339</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341</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343</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344</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345</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330</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334</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350</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337</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338</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339</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341</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343</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344</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345</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330</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334</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350</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337</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338</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339</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341</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343</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344</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345</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357</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334</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350</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337</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338</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339</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341</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342</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343</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344</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345</v>
      </c>
      <c r="G1557" s="26">
        <v>1342028</v>
      </c>
      <c r="H1557" s="26">
        <v>1328208</v>
      </c>
    </row>
    <row r="1558" spans="1:8">
      <c r="A1558" s="24">
        <v>255172</v>
      </c>
      <c r="B1558" s="25" t="s">
        <v>311</v>
      </c>
      <c r="C1558" s="39" t="str">
        <f t="shared" si="48"/>
        <v>205</v>
      </c>
      <c r="D1558" s="39" t="str">
        <f t="shared" si="49"/>
        <v>20504</v>
      </c>
      <c r="E1558" s="39">
        <f>IF(ISNA(VLOOKUP(F1558,'2021功能科目'!A:B,2,FALSE)),"",VLOOKUP(F1558,'2021功能科目'!A:B,2,FALSE))</f>
        <v>2050404</v>
      </c>
      <c r="F1558" s="25" t="s">
        <v>358</v>
      </c>
      <c r="G1558" s="26">
        <v>6645811.0700000003</v>
      </c>
      <c r="H1558" s="26">
        <v>6446171.9800000004</v>
      </c>
    </row>
    <row r="1559" spans="1:8">
      <c r="A1559" s="24">
        <v>255172</v>
      </c>
      <c r="B1559" s="25" t="s">
        <v>311</v>
      </c>
      <c r="C1559" s="39" t="str">
        <f t="shared" si="48"/>
        <v>205</v>
      </c>
      <c r="D1559" s="39" t="str">
        <f t="shared" si="49"/>
        <v>20508</v>
      </c>
      <c r="E1559" s="39">
        <f>IF(ISNA(VLOOKUP(F1559,'2021功能科目'!A:B,2,FALSE)),"",VLOOKUP(F1559,'2021功能科目'!A:B,2,FALSE))</f>
        <v>2050803</v>
      </c>
      <c r="F1559" s="25" t="s">
        <v>334</v>
      </c>
      <c r="G1559" s="26">
        <v>5119</v>
      </c>
      <c r="H1559" s="26">
        <v>17000</v>
      </c>
    </row>
    <row r="1560" spans="1:8">
      <c r="A1560" s="24">
        <v>255172</v>
      </c>
      <c r="B1560" s="25" t="s">
        <v>311</v>
      </c>
      <c r="C1560" s="39" t="str">
        <f t="shared" si="48"/>
        <v>208</v>
      </c>
      <c r="D1560" s="39" t="str">
        <f t="shared" si="49"/>
        <v>20805</v>
      </c>
      <c r="E1560" s="39">
        <f>IF(ISNA(VLOOKUP(F1560,'2021功能科目'!A:B,2,FALSE)),"",VLOOKUP(F1560,'2021功能科目'!A:B,2,FALSE))</f>
        <v>2080502</v>
      </c>
      <c r="F1560" s="25" t="s">
        <v>337</v>
      </c>
      <c r="G1560" s="26">
        <v>230917</v>
      </c>
      <c r="H1560" s="26">
        <v>224842</v>
      </c>
    </row>
    <row r="1561" spans="1:8">
      <c r="A1561" s="24">
        <v>255172</v>
      </c>
      <c r="B1561" s="25" t="s">
        <v>311</v>
      </c>
      <c r="C1561" s="39" t="str">
        <f t="shared" si="48"/>
        <v>208</v>
      </c>
      <c r="D1561" s="39" t="str">
        <f t="shared" si="49"/>
        <v>20805</v>
      </c>
      <c r="E1561" s="39">
        <f>IF(ISNA(VLOOKUP(F1561,'2021功能科目'!A:B,2,FALSE)),"",VLOOKUP(F1561,'2021功能科目'!A:B,2,FALSE))</f>
        <v>2080505</v>
      </c>
      <c r="F1561" s="25" t="s">
        <v>338</v>
      </c>
      <c r="G1561" s="26">
        <v>710000</v>
      </c>
      <c r="H1561" s="26">
        <v>728315.2</v>
      </c>
    </row>
    <row r="1562" spans="1:8">
      <c r="A1562" s="24">
        <v>255172</v>
      </c>
      <c r="B1562" s="25" t="s">
        <v>311</v>
      </c>
      <c r="C1562" s="39" t="str">
        <f t="shared" si="48"/>
        <v>208</v>
      </c>
      <c r="D1562" s="39" t="str">
        <f t="shared" si="49"/>
        <v>20805</v>
      </c>
      <c r="E1562" s="39">
        <f>IF(ISNA(VLOOKUP(F1562,'2021功能科目'!A:B,2,FALSE)),"",VLOOKUP(F1562,'2021功能科目'!A:B,2,FALSE))</f>
        <v>2080506</v>
      </c>
      <c r="F1562" s="25" t="s">
        <v>339</v>
      </c>
      <c r="G1562" s="26">
        <v>340000</v>
      </c>
      <c r="H1562" s="26">
        <v>364157.6</v>
      </c>
    </row>
    <row r="1563" spans="1:8">
      <c r="A1563" s="24">
        <v>255172</v>
      </c>
      <c r="B1563" s="25" t="s">
        <v>311</v>
      </c>
      <c r="C1563" s="39" t="str">
        <f t="shared" si="48"/>
        <v>210</v>
      </c>
      <c r="D1563" s="39" t="str">
        <f t="shared" si="49"/>
        <v>21011</v>
      </c>
      <c r="E1563" s="39">
        <f>IF(ISNA(VLOOKUP(F1563,'2021功能科目'!A:B,2,FALSE)),"",VLOOKUP(F1563,'2021功能科目'!A:B,2,FALSE))</f>
        <v>2101102</v>
      </c>
      <c r="F1563" s="25" t="s">
        <v>341</v>
      </c>
      <c r="G1563" s="26">
        <v>550000</v>
      </c>
      <c r="H1563" s="26">
        <v>591756.1</v>
      </c>
    </row>
    <row r="1564" spans="1:8">
      <c r="A1564" s="24">
        <v>255172</v>
      </c>
      <c r="B1564" s="25" t="s">
        <v>311</v>
      </c>
      <c r="C1564" s="39" t="str">
        <f t="shared" si="48"/>
        <v>221</v>
      </c>
      <c r="D1564" s="39" t="str">
        <f t="shared" si="49"/>
        <v>22102</v>
      </c>
      <c r="E1564" s="39">
        <f>IF(ISNA(VLOOKUP(F1564,'2021功能科目'!A:B,2,FALSE)),"",VLOOKUP(F1564,'2021功能科目'!A:B,2,FALSE))</f>
        <v>2210201</v>
      </c>
      <c r="F1564" s="25" t="s">
        <v>343</v>
      </c>
      <c r="G1564" s="26">
        <v>608112.4</v>
      </c>
      <c r="H1564" s="26">
        <v>600236.4</v>
      </c>
    </row>
    <row r="1565" spans="1:8">
      <c r="A1565" s="24">
        <v>255172</v>
      </c>
      <c r="B1565" s="25" t="s">
        <v>311</v>
      </c>
      <c r="C1565" s="39" t="str">
        <f t="shared" si="48"/>
        <v>221</v>
      </c>
      <c r="D1565" s="39" t="str">
        <f t="shared" si="49"/>
        <v>22102</v>
      </c>
      <c r="E1565" s="39">
        <f>IF(ISNA(VLOOKUP(F1565,'2021功能科目'!A:B,2,FALSE)),"",VLOOKUP(F1565,'2021功能科目'!A:B,2,FALSE))</f>
        <v>2210202</v>
      </c>
      <c r="F1565" s="25" t="s">
        <v>344</v>
      </c>
      <c r="G1565" s="26">
        <v>20370</v>
      </c>
      <c r="H1565" s="26">
        <v>19920</v>
      </c>
    </row>
    <row r="1566" spans="1:8">
      <c r="A1566" s="24">
        <v>255172</v>
      </c>
      <c r="B1566" s="25" t="s">
        <v>311</v>
      </c>
      <c r="C1566" s="39" t="str">
        <f t="shared" si="48"/>
        <v>221</v>
      </c>
      <c r="D1566" s="39" t="str">
        <f t="shared" si="49"/>
        <v>22102</v>
      </c>
      <c r="E1566" s="39">
        <f>IF(ISNA(VLOOKUP(F1566,'2021功能科目'!A:B,2,FALSE)),"",VLOOKUP(F1566,'2021功能科目'!A:B,2,FALSE))</f>
        <v>2210203</v>
      </c>
      <c r="F1566" s="25" t="s">
        <v>345</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355</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334</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350</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337</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338</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339</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341</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342</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343</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344</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345</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333</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334</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337</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338</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339</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341</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342</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343</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344</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345</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333</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334</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350</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467</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354</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337</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338</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339</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341</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343</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344</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345</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333</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334</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350</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337</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338</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339</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341</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343</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344</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345</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333</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334</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350</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337</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338</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339</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341</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343</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344</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345</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330</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331</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346</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332</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333</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352</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334</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350</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337</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338</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339</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341</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342</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359</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343</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344</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345</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347</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334</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349</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337</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338</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339</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341</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342</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343</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344</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345</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332</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333</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334</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336</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337</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338</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339</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341</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342</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343</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344</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345</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332</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333</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334</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336</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337</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338</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339</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341</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343</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344</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345</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333</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334</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350</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337</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338</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339</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341</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343</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344</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345</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330</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334</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337</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338</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339</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341</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343</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344</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345</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330</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334</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350</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338</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339</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341</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343</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345</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331</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333</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334</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335</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350</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338</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339</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341</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343</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345</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330</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334</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337</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338</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339</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341</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343</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344</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345</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330</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334</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350</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338</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339</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341</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343</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345</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330</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334</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350</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338</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339</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341</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343</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345</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330</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334</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350</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338</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339</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341</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343</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345</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330</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334</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350</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338</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339</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341</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343</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345</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333</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334</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338</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339</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341</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343</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345</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333</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334</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350</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338</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339</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341</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343</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345</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333</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334</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350</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338</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339</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341</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343</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345</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331</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333</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334</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350</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338</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339</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341</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343</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345</v>
      </c>
      <c r="G1780" s="26">
        <v>106262</v>
      </c>
      <c r="H1780" s="26">
        <v>92328</v>
      </c>
    </row>
    <row r="1781" spans="1:8">
      <c r="A1781" s="24">
        <v>255204</v>
      </c>
      <c r="B1781" s="25" t="s">
        <v>462</v>
      </c>
      <c r="C1781" s="39" t="str">
        <f t="shared" si="54"/>
        <v>205</v>
      </c>
      <c r="D1781" s="39" t="str">
        <f t="shared" si="55"/>
        <v>20502</v>
      </c>
      <c r="E1781" s="39">
        <f>IF(ISNA(VLOOKUP(F1781,'2021功能科目'!A:B,2,FALSE)),"",VLOOKUP(F1781,'2021功能科目'!A:B,2,FALSE))</f>
        <v>2050203</v>
      </c>
      <c r="F1781" s="25" t="s">
        <v>346</v>
      </c>
      <c r="G1781" s="26">
        <v>18918585.870000001</v>
      </c>
      <c r="H1781" s="26">
        <v>0</v>
      </c>
    </row>
    <row r="1782" spans="1:8">
      <c r="A1782" s="24">
        <v>255204</v>
      </c>
      <c r="B1782" s="25" t="s">
        <v>462</v>
      </c>
      <c r="C1782" s="39" t="str">
        <f t="shared" si="54"/>
        <v>205</v>
      </c>
      <c r="D1782" s="39" t="str">
        <f t="shared" si="55"/>
        <v>20508</v>
      </c>
      <c r="E1782" s="39">
        <f>IF(ISNA(VLOOKUP(F1782,'2021功能科目'!A:B,2,FALSE)),"",VLOOKUP(F1782,'2021功能科目'!A:B,2,FALSE))</f>
        <v>2050803</v>
      </c>
      <c r="F1782" s="25" t="s">
        <v>334</v>
      </c>
      <c r="G1782" s="26">
        <v>6667</v>
      </c>
      <c r="H1782" s="26">
        <v>0</v>
      </c>
    </row>
    <row r="1783" spans="1:8">
      <c r="A1783" s="24">
        <v>255204</v>
      </c>
      <c r="B1783" s="25" t="s">
        <v>462</v>
      </c>
      <c r="C1783" s="39" t="str">
        <f t="shared" si="54"/>
        <v>208</v>
      </c>
      <c r="D1783" s="39" t="str">
        <f t="shared" si="55"/>
        <v>20805</v>
      </c>
      <c r="E1783" s="39">
        <f>IF(ISNA(VLOOKUP(F1783,'2021功能科目'!A:B,2,FALSE)),"",VLOOKUP(F1783,'2021功能科目'!A:B,2,FALSE))</f>
        <v>2080505</v>
      </c>
      <c r="F1783" s="25" t="s">
        <v>338</v>
      </c>
      <c r="G1783" s="26">
        <v>206471.84</v>
      </c>
      <c r="H1783" s="26">
        <v>0</v>
      </c>
    </row>
    <row r="1784" spans="1:8">
      <c r="A1784" s="24">
        <v>255204</v>
      </c>
      <c r="B1784" s="25" t="s">
        <v>462</v>
      </c>
      <c r="C1784" s="39" t="str">
        <f t="shared" si="54"/>
        <v>208</v>
      </c>
      <c r="D1784" s="39" t="str">
        <f t="shared" si="55"/>
        <v>20805</v>
      </c>
      <c r="E1784" s="39">
        <f>IF(ISNA(VLOOKUP(F1784,'2021功能科目'!A:B,2,FALSE)),"",VLOOKUP(F1784,'2021功能科目'!A:B,2,FALSE))</f>
        <v>2080506</v>
      </c>
      <c r="F1784" s="25" t="s">
        <v>339</v>
      </c>
      <c r="G1784" s="26">
        <v>103235.92</v>
      </c>
      <c r="H1784" s="26">
        <v>0</v>
      </c>
    </row>
    <row r="1785" spans="1:8">
      <c r="A1785" s="24">
        <v>255204</v>
      </c>
      <c r="B1785" s="25" t="s">
        <v>462</v>
      </c>
      <c r="C1785" s="39" t="str">
        <f t="shared" si="54"/>
        <v>210</v>
      </c>
      <c r="D1785" s="39" t="str">
        <f t="shared" si="55"/>
        <v>21011</v>
      </c>
      <c r="E1785" s="39">
        <f>IF(ISNA(VLOOKUP(F1785,'2021功能科目'!A:B,2,FALSE)),"",VLOOKUP(F1785,'2021功能科目'!A:B,2,FALSE))</f>
        <v>2101102</v>
      </c>
      <c r="F1785" s="25" t="s">
        <v>341</v>
      </c>
      <c r="G1785" s="26">
        <v>180051.17</v>
      </c>
      <c r="H1785" s="26">
        <v>0</v>
      </c>
    </row>
    <row r="1786" spans="1:8">
      <c r="A1786" s="24">
        <v>255204</v>
      </c>
      <c r="B1786" s="25" t="s">
        <v>462</v>
      </c>
      <c r="C1786" s="39" t="str">
        <f t="shared" si="54"/>
        <v>221</v>
      </c>
      <c r="D1786" s="39" t="str">
        <f t="shared" si="55"/>
        <v>22102</v>
      </c>
      <c r="E1786" s="39">
        <f>IF(ISNA(VLOOKUP(F1786,'2021功能科目'!A:B,2,FALSE)),"",VLOOKUP(F1786,'2021功能科目'!A:B,2,FALSE))</f>
        <v>2210201</v>
      </c>
      <c r="F1786" s="25" t="s">
        <v>343</v>
      </c>
      <c r="G1786" s="26">
        <v>210697</v>
      </c>
      <c r="H1786" s="26">
        <v>0</v>
      </c>
    </row>
    <row r="1787" spans="1:8">
      <c r="A1787" s="24">
        <v>255205</v>
      </c>
      <c r="B1787" s="25" t="s">
        <v>463</v>
      </c>
      <c r="C1787" s="39" t="str">
        <f t="shared" si="54"/>
        <v>205</v>
      </c>
      <c r="D1787" s="39" t="str">
        <f t="shared" si="55"/>
        <v>20502</v>
      </c>
      <c r="E1787" s="39">
        <f>IF(ISNA(VLOOKUP(F1787,'2021功能科目'!A:B,2,FALSE)),"",VLOOKUP(F1787,'2021功能科目'!A:B,2,FALSE))</f>
        <v>2050202</v>
      </c>
      <c r="F1787" s="25" t="s">
        <v>331</v>
      </c>
      <c r="G1787" s="26">
        <v>2769500.69</v>
      </c>
      <c r="H1787" s="26">
        <v>0</v>
      </c>
    </row>
    <row r="1788" spans="1:8">
      <c r="A1788" s="24">
        <v>255205</v>
      </c>
      <c r="B1788" s="25" t="s">
        <v>463</v>
      </c>
      <c r="C1788" s="39" t="str">
        <f t="shared" si="54"/>
        <v>205</v>
      </c>
      <c r="D1788" s="39" t="str">
        <f t="shared" si="55"/>
        <v>20508</v>
      </c>
      <c r="E1788" s="39">
        <f>IF(ISNA(VLOOKUP(F1788,'2021功能科目'!A:B,2,FALSE)),"",VLOOKUP(F1788,'2021功能科目'!A:B,2,FALSE))</f>
        <v>2050803</v>
      </c>
      <c r="F1788" s="25" t="s">
        <v>334</v>
      </c>
      <c r="G1788" s="26">
        <v>5300</v>
      </c>
      <c r="H1788" s="26">
        <v>0</v>
      </c>
    </row>
    <row r="1789" spans="1:8">
      <c r="A1789" s="24">
        <v>255205</v>
      </c>
      <c r="B1789" s="25" t="s">
        <v>463</v>
      </c>
      <c r="C1789" s="39" t="str">
        <f t="shared" si="54"/>
        <v>208</v>
      </c>
      <c r="D1789" s="39" t="str">
        <f t="shared" si="55"/>
        <v>20805</v>
      </c>
      <c r="E1789" s="39">
        <f>IF(ISNA(VLOOKUP(F1789,'2021功能科目'!A:B,2,FALSE)),"",VLOOKUP(F1789,'2021功能科目'!A:B,2,FALSE))</f>
        <v>2080505</v>
      </c>
      <c r="F1789" s="25" t="s">
        <v>338</v>
      </c>
      <c r="G1789" s="26">
        <v>258556.79999999999</v>
      </c>
      <c r="H1789" s="26">
        <v>0</v>
      </c>
    </row>
    <row r="1790" spans="1:8">
      <c r="A1790" s="24">
        <v>255205</v>
      </c>
      <c r="B1790" s="25" t="s">
        <v>463</v>
      </c>
      <c r="C1790" s="39" t="str">
        <f t="shared" si="54"/>
        <v>208</v>
      </c>
      <c r="D1790" s="39" t="str">
        <f t="shared" si="55"/>
        <v>20805</v>
      </c>
      <c r="E1790" s="39">
        <f>IF(ISNA(VLOOKUP(F1790,'2021功能科目'!A:B,2,FALSE)),"",VLOOKUP(F1790,'2021功能科目'!A:B,2,FALSE))</f>
        <v>2080506</v>
      </c>
      <c r="F1790" s="25" t="s">
        <v>339</v>
      </c>
      <c r="G1790" s="26">
        <v>103422.72</v>
      </c>
      <c r="H1790" s="26">
        <v>0</v>
      </c>
    </row>
    <row r="1791" spans="1:8">
      <c r="A1791" s="24">
        <v>255205</v>
      </c>
      <c r="B1791" s="25" t="s">
        <v>463</v>
      </c>
      <c r="C1791" s="39" t="str">
        <f t="shared" si="54"/>
        <v>210</v>
      </c>
      <c r="D1791" s="39" t="str">
        <f t="shared" si="55"/>
        <v>21011</v>
      </c>
      <c r="E1791" s="39">
        <f>IF(ISNA(VLOOKUP(F1791,'2021功能科目'!A:B,2,FALSE)),"",VLOOKUP(F1791,'2021功能科目'!A:B,2,FALSE))</f>
        <v>2101102</v>
      </c>
      <c r="F1791" s="25" t="s">
        <v>341</v>
      </c>
      <c r="G1791" s="26">
        <v>168061.92</v>
      </c>
      <c r="H1791" s="26">
        <v>0</v>
      </c>
    </row>
    <row r="1792" spans="1:8">
      <c r="A1792" s="24">
        <v>255205</v>
      </c>
      <c r="B1792" s="25" t="s">
        <v>463</v>
      </c>
      <c r="C1792" s="39" t="str">
        <f t="shared" si="54"/>
        <v>221</v>
      </c>
      <c r="D1792" s="39" t="str">
        <f t="shared" si="55"/>
        <v>22102</v>
      </c>
      <c r="E1792" s="39">
        <f>IF(ISNA(VLOOKUP(F1792,'2021功能科目'!A:B,2,FALSE)),"",VLOOKUP(F1792,'2021功能科目'!A:B,2,FALSE))</f>
        <v>2210201</v>
      </c>
      <c r="F1792" s="25" t="s">
        <v>343</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330</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331</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346</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332</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333</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347</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357</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358</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351</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353</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352</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355</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334</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335</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336</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349</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350</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467</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354</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337</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338</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339</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340</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341</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342</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359</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343</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344</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345</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399</v>
      </c>
      <c r="B1" s="52" t="s">
        <v>400</v>
      </c>
    </row>
    <row r="2" spans="1:6">
      <c r="A2" s="74" t="s">
        <v>401</v>
      </c>
      <c r="B2" s="74">
        <v>2050101</v>
      </c>
      <c r="C2" s="74"/>
      <c r="D2" s="74"/>
      <c r="E2" s="74"/>
      <c r="F2" s="74">
        <v>205</v>
      </c>
    </row>
    <row r="3" spans="1:6">
      <c r="A3" s="74" t="s">
        <v>402</v>
      </c>
      <c r="B3" s="74">
        <v>2050102</v>
      </c>
      <c r="C3" s="74"/>
      <c r="D3" s="74"/>
      <c r="E3" s="74"/>
      <c r="F3" s="74">
        <v>206</v>
      </c>
    </row>
    <row r="4" spans="1:6">
      <c r="A4" s="74" t="s">
        <v>330</v>
      </c>
      <c r="B4" s="74">
        <v>2050201</v>
      </c>
      <c r="C4" s="74"/>
      <c r="D4" s="74"/>
      <c r="E4" s="74"/>
      <c r="F4" s="74">
        <v>208</v>
      </c>
    </row>
    <row r="5" spans="1:6">
      <c r="A5" s="74" t="s">
        <v>331</v>
      </c>
      <c r="B5" s="74">
        <v>2050202</v>
      </c>
      <c r="C5" s="74"/>
      <c r="D5" s="74"/>
      <c r="E5" s="74"/>
      <c r="F5" s="74">
        <v>210</v>
      </c>
    </row>
    <row r="6" spans="1:6">
      <c r="A6" s="74" t="s">
        <v>346</v>
      </c>
      <c r="B6" s="74">
        <v>2050203</v>
      </c>
      <c r="C6" s="74"/>
      <c r="D6" s="74"/>
      <c r="E6" s="74"/>
      <c r="F6" s="74">
        <v>212</v>
      </c>
    </row>
    <row r="7" spans="1:6">
      <c r="A7" s="74" t="s">
        <v>332</v>
      </c>
      <c r="B7" s="74">
        <v>2050204</v>
      </c>
      <c r="C7" s="74"/>
      <c r="D7" s="74"/>
      <c r="E7" s="74"/>
      <c r="F7" s="74">
        <v>221</v>
      </c>
    </row>
    <row r="8" spans="1:6">
      <c r="A8" s="74" t="s">
        <v>333</v>
      </c>
      <c r="B8" s="74">
        <v>2050299</v>
      </c>
      <c r="C8" s="74"/>
      <c r="D8" s="74"/>
      <c r="E8" s="74"/>
      <c r="F8" s="74">
        <v>229</v>
      </c>
    </row>
    <row r="9" spans="1:6">
      <c r="A9" s="74" t="s">
        <v>347</v>
      </c>
      <c r="B9" s="74">
        <v>2050302</v>
      </c>
      <c r="C9" s="74"/>
      <c r="D9" s="74"/>
      <c r="E9" s="74"/>
      <c r="F9" s="74">
        <v>234</v>
      </c>
    </row>
    <row r="10" spans="1:6">
      <c r="A10" s="74" t="s">
        <v>403</v>
      </c>
      <c r="B10" s="74">
        <v>2050304</v>
      </c>
      <c r="C10" s="74"/>
      <c r="D10" s="74"/>
      <c r="E10" s="74"/>
      <c r="F10" s="74">
        <v>213</v>
      </c>
    </row>
    <row r="11" spans="1:6">
      <c r="A11" s="74" t="s">
        <v>348</v>
      </c>
      <c r="B11" s="74">
        <v>2050399</v>
      </c>
      <c r="C11" s="74"/>
      <c r="D11" s="74"/>
      <c r="E11" s="74"/>
      <c r="F11" s="74"/>
    </row>
    <row r="12" spans="1:6">
      <c r="A12" s="74" t="s">
        <v>357</v>
      </c>
      <c r="B12" s="74">
        <v>2050403</v>
      </c>
      <c r="C12" s="74"/>
      <c r="D12" s="74"/>
      <c r="E12" s="74"/>
      <c r="F12" s="74"/>
    </row>
    <row r="13" spans="1:6">
      <c r="A13" s="74" t="s">
        <v>358</v>
      </c>
      <c r="B13" s="74">
        <v>2050404</v>
      </c>
      <c r="C13" s="74"/>
      <c r="D13" s="74"/>
      <c r="E13" s="74"/>
      <c r="F13" s="74"/>
    </row>
    <row r="14" spans="1:6">
      <c r="A14" s="74" t="s">
        <v>351</v>
      </c>
      <c r="B14" s="74">
        <v>2050701</v>
      </c>
      <c r="C14" s="74"/>
      <c r="D14" s="74"/>
      <c r="E14" s="74"/>
      <c r="F14" s="74"/>
    </row>
    <row r="15" spans="1:6">
      <c r="A15" s="74" t="s">
        <v>353</v>
      </c>
      <c r="B15" s="74">
        <v>2050702</v>
      </c>
      <c r="C15" s="74"/>
      <c r="D15" s="74"/>
      <c r="E15" s="74"/>
      <c r="F15" s="74"/>
    </row>
    <row r="16" spans="1:6">
      <c r="A16" s="74" t="s">
        <v>352</v>
      </c>
      <c r="B16" s="74">
        <v>2050799</v>
      </c>
      <c r="C16" s="74"/>
      <c r="D16" s="74"/>
      <c r="E16" s="74"/>
      <c r="F16" s="74"/>
    </row>
    <row r="17" spans="1:6">
      <c r="A17" s="74" t="s">
        <v>355</v>
      </c>
      <c r="B17" s="74">
        <v>2050801</v>
      </c>
      <c r="C17" s="74"/>
      <c r="D17" s="74"/>
      <c r="E17" s="74"/>
      <c r="F17" s="74"/>
    </row>
    <row r="18" spans="1:6">
      <c r="A18" s="74" t="s">
        <v>334</v>
      </c>
      <c r="B18" s="74">
        <v>2050803</v>
      </c>
      <c r="C18" s="74"/>
      <c r="D18" s="74"/>
      <c r="E18" s="74"/>
      <c r="F18" s="74"/>
    </row>
    <row r="19" spans="1:6">
      <c r="A19" s="74" t="s">
        <v>335</v>
      </c>
      <c r="B19" s="74">
        <v>2050903</v>
      </c>
      <c r="C19" s="74"/>
      <c r="D19" s="74"/>
      <c r="E19" s="74"/>
      <c r="F19" s="74"/>
    </row>
    <row r="20" spans="1:6">
      <c r="A20" s="74" t="s">
        <v>336</v>
      </c>
      <c r="B20" s="74">
        <v>2050904</v>
      </c>
      <c r="C20" s="74"/>
      <c r="D20" s="74"/>
      <c r="E20" s="74"/>
      <c r="F20" s="74"/>
    </row>
    <row r="21" spans="1:6">
      <c r="A21" s="74" t="s">
        <v>349</v>
      </c>
      <c r="B21" s="74">
        <v>2050905</v>
      </c>
      <c r="C21" s="74"/>
      <c r="D21" s="74"/>
      <c r="E21" s="74"/>
      <c r="F21" s="74"/>
    </row>
    <row r="22" spans="1:6">
      <c r="A22" s="74" t="s">
        <v>350</v>
      </c>
      <c r="B22" s="74">
        <v>2050999</v>
      </c>
      <c r="C22" s="74"/>
      <c r="D22" s="74"/>
      <c r="E22" s="74"/>
      <c r="F22" s="74"/>
    </row>
    <row r="23" spans="1:6">
      <c r="A23" s="74" t="s">
        <v>467</v>
      </c>
      <c r="B23" s="74">
        <v>2060499</v>
      </c>
      <c r="C23" s="74" t="s">
        <v>468</v>
      </c>
      <c r="D23" s="74"/>
      <c r="E23" s="74"/>
      <c r="F23" s="74"/>
    </row>
    <row r="24" spans="1:6">
      <c r="A24" s="74" t="s">
        <v>354</v>
      </c>
      <c r="B24" s="74">
        <v>2060702</v>
      </c>
      <c r="C24" s="74"/>
      <c r="D24" s="74"/>
      <c r="E24" s="74"/>
      <c r="F24" s="74"/>
    </row>
    <row r="25" spans="1:6">
      <c r="A25" s="74" t="s">
        <v>404</v>
      </c>
      <c r="B25" s="74">
        <v>2080501</v>
      </c>
      <c r="C25" s="74"/>
      <c r="D25" s="74"/>
      <c r="E25" s="74"/>
      <c r="F25" s="74"/>
    </row>
    <row r="26" spans="1:6">
      <c r="A26" s="74" t="s">
        <v>337</v>
      </c>
      <c r="B26" s="74">
        <v>2080502</v>
      </c>
      <c r="C26" s="74"/>
      <c r="D26" s="74"/>
      <c r="E26" s="74"/>
      <c r="F26" s="74"/>
    </row>
    <row r="27" spans="1:6">
      <c r="A27" s="74" t="s">
        <v>338</v>
      </c>
      <c r="B27" s="74">
        <v>2080505</v>
      </c>
      <c r="C27" s="74"/>
      <c r="D27" s="74"/>
      <c r="E27" s="74"/>
      <c r="F27" s="74"/>
    </row>
    <row r="28" spans="1:6">
      <c r="A28" s="74" t="s">
        <v>339</v>
      </c>
      <c r="B28" s="74">
        <v>2080506</v>
      </c>
      <c r="C28" s="74"/>
      <c r="D28" s="74"/>
      <c r="E28" s="74"/>
      <c r="F28" s="74"/>
    </row>
    <row r="29" spans="1:6">
      <c r="A29" s="74" t="s">
        <v>340</v>
      </c>
      <c r="B29" s="74">
        <v>2080801</v>
      </c>
      <c r="C29" s="74"/>
      <c r="D29" s="74"/>
      <c r="E29" s="74"/>
      <c r="F29" s="74"/>
    </row>
    <row r="30" spans="1:6">
      <c r="A30" s="74" t="s">
        <v>405</v>
      </c>
      <c r="B30" s="74">
        <v>2101101</v>
      </c>
      <c r="C30" s="74"/>
      <c r="D30" s="74"/>
      <c r="E30" s="74"/>
      <c r="F30" s="74"/>
    </row>
    <row r="31" spans="1:6">
      <c r="A31" s="74" t="s">
        <v>341</v>
      </c>
      <c r="B31" s="74">
        <v>2101102</v>
      </c>
      <c r="C31" s="74"/>
      <c r="D31" s="74"/>
      <c r="E31" s="74"/>
      <c r="F31" s="74"/>
    </row>
    <row r="32" spans="1:6">
      <c r="A32" s="74" t="s">
        <v>342</v>
      </c>
      <c r="B32" s="74">
        <v>2101199</v>
      </c>
      <c r="C32" s="74"/>
      <c r="D32" s="74"/>
      <c r="E32" s="74"/>
      <c r="F32" s="74"/>
    </row>
    <row r="33" spans="1:6">
      <c r="A33" s="74" t="s">
        <v>359</v>
      </c>
      <c r="B33" s="74">
        <v>2120399</v>
      </c>
      <c r="C33" s="74"/>
      <c r="D33" s="74"/>
      <c r="E33" s="74"/>
      <c r="F33" s="74"/>
    </row>
    <row r="34" spans="1:6">
      <c r="A34" s="74" t="s">
        <v>469</v>
      </c>
      <c r="B34" s="74">
        <v>2120801</v>
      </c>
      <c r="C34" s="74" t="s">
        <v>468</v>
      </c>
      <c r="D34" s="74" t="s">
        <v>470</v>
      </c>
      <c r="E34" s="74"/>
      <c r="F34" s="74"/>
    </row>
    <row r="35" spans="1:6">
      <c r="A35" s="74" t="s">
        <v>356</v>
      </c>
      <c r="B35" s="74">
        <v>2130506</v>
      </c>
      <c r="C35" s="74">
        <v>2020</v>
      </c>
      <c r="D35" s="74"/>
      <c r="E35" s="74"/>
      <c r="F35" s="74"/>
    </row>
    <row r="36" spans="1:6">
      <c r="A36" s="74" t="s">
        <v>343</v>
      </c>
      <c r="B36" s="74">
        <v>2210201</v>
      </c>
      <c r="C36" s="74"/>
      <c r="D36" s="74"/>
      <c r="E36" s="74"/>
      <c r="F36" s="74"/>
    </row>
    <row r="37" spans="1:6">
      <c r="A37" s="74" t="s">
        <v>344</v>
      </c>
      <c r="B37" s="74">
        <v>2210202</v>
      </c>
      <c r="C37" s="74"/>
      <c r="D37" s="74"/>
      <c r="E37" s="74"/>
      <c r="F37" s="74"/>
    </row>
    <row r="38" spans="1:6">
      <c r="A38" s="74" t="s">
        <v>345</v>
      </c>
      <c r="B38" s="74">
        <v>2210203</v>
      </c>
      <c r="C38" s="74"/>
      <c r="D38" s="74"/>
      <c r="E38" s="74"/>
      <c r="F38" s="74"/>
    </row>
    <row r="39" spans="1:6">
      <c r="A39" s="74" t="s">
        <v>406</v>
      </c>
      <c r="B39" s="74">
        <v>2296003</v>
      </c>
      <c r="C39" s="74"/>
      <c r="D39" s="74"/>
      <c r="E39" s="74"/>
      <c r="F39" s="74"/>
    </row>
    <row r="40" spans="1:6">
      <c r="A40" s="74" t="s">
        <v>407</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User</cp:lastModifiedBy>
  <cp:lastPrinted>2022-08-25T04:56:47Z</cp:lastPrinted>
  <dcterms:created xsi:type="dcterms:W3CDTF">2021-08-26T09:47:38Z</dcterms:created>
  <dcterms:modified xsi:type="dcterms:W3CDTF">2022-08-27T10:58:49Z</dcterms:modified>
</cp:coreProperties>
</file>