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DELL\Desktop\2021年下发单位决算公开附件\"/>
    </mc:Choice>
  </mc:AlternateContent>
  <xr:revisionPtr revIDLastSave="0" documentId="13_ncr:1_{816E6819-5BD7-49C1-AC25-58A0FDD3961A}"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08" yWindow="-108" windowWidth="30936" windowHeight="16776" tabRatio="851" activeTab="4" xr2:uid="{5ACD2CBE-6ACE-4670-ABE0-628C2F170B8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<sst xmlns="http://schemas.openxmlformats.org/spreadsheetml/2006/main" count="4852" uniqueCount="486">
  <si>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</si>
  <si>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</si>
  <si>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</si>
  <si>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</si>
  <si>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</si>
  <si>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</si>
  <si>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</si>
  <si>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</si>
  <si>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</si>
  <si>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</si>
  <si>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</si>
  <si>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</si>
  <si>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</si>
  <si>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</si>
  <si>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</si>
  <si>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</si>
  <si>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</si>
  <si>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</si>
  <si>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</si>
  <si>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</si>
  <si>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</si>
  <si>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</si>
  <si>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</si>
  <si>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</si>
  <si>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</si>
  <si>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</si>
  <si>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</si>
  <si>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</si>
  <si>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</si>
  <si>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</si>
  <si>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</si>
  <si>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</si>
  <si>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</si>
  <si>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</si>
  <si>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</si>
  <si>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</si>
  <si>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</si>
  <si>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</si>
  <si>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</si>
  <si>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</si>
  <si>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</si>
  <si>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</si>
  <si>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</si>
  <si>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</si>
  <si>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</si>
  <si>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</si>
  <si>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</si>
  <si>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</si>
  <si>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</si>
  <si>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</si>
  <si>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</si>
  <si>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</si>
  <si>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</si>
  <si>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</si>
  <si>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</si>
  <si>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</si>
  <si>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</si>
  <si>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</si>
  <si>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</si>
  <si>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</si>
  <si>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</si>
  <si>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</si>
  <si>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</si>
  <si>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</si>
  <si>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</si>
  <si>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</si>
  <si>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</si>
  <si>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</si>
  <si>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</si>
  <si>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</si>
  <si>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</si>
  <si>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</si>
  <si>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</si>
  <si>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</si>
  <si>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</si>
  <si>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</si>
  <si>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</si>
  <si>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</si>
  <si>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</si>
  <si>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</si>
  <si>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</si>
  <si>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</si>
  <si>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</si>
  <si>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</si>
  <si>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</si>
  <si>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</si>
  <si>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</si>
  <si>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</si>
  <si>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</si>
  <si>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</si>
  <si>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</si>
  <si>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</si>
  <si>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</si>
  <si>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</si>
  <si>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</si>
  <si>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</si>
  <si>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</si>
  <si>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</si>
  <si>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</si>
  <si>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</si>
  <si>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</si>
  <si>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</si>
  <si>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</si>
  <si>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</si>
  <si>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</si>
  <si>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</si>
  <si>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</si>
  <si>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</si>
  <si>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</si>
  <si>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</si>
  <si>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</si>
  <si>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</si>
  <si>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</si>
  <si>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</si>
  <si>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</si>
  <si>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</si>
  <si>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</si>
  <si>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</si>
  <si>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</si>
  <si>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</si>
  <si>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</si>
  <si>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</si>
  <si>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</si>
  <si>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</si>
  <si>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</si>
  <si>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</si>
  <si>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</si>
  <si>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</si>
  <si>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</si>
  <si>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</si>
  <si>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</si>
  <si>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</si>
  <si>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</si>
  <si>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</si>
  <si>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</si>
  <si>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</si>
  <si>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</si>
  <si>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</si>
  <si>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</si>
  <si>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</si>
  <si>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</si>
  <si>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</si>
  <si>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</si>
  <si>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</si>
  <si>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</si>
  <si>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</si>
  <si>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</si>
  <si>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</si>
  <si>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</si>
  <si>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</si>
  <si>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</si>
  <si>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</si>
  <si>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</si>
  <si>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</si>
  <si>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</si>
  <si>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</si>
  <si>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</si>
  <si>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</si>
  <si>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</si>
  <si>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</si>
  <si>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</si>
  <si>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</si>
  <si>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</si>
  <si>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</si>
  <si>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</si>
  <si>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</si>
  <si>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</si>
  <si>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</si>
  <si>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</si>
  <si>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</si>
  <si>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</si>
  <si>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</si>
  <si>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</si>
  <si>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</si>
  <si>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</si>
  <si>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</si>
  <si>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</si>
  <si>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</si>
  <si>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</si>
  <si>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</si>
  <si>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</si>
  <si>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</si>
  <si>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</si>
  <si>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</si>
  <si>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</si>
  <si>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</si>
  <si>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</si>
  <si>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</si>
  <si>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</si>
  <si>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</si>
  <si>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</si>
  <si>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</si>
  <si>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</si>
  <si>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</si>
  <si>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</si>
  <si>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</si>
  <si>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</si>
  <si>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</si>
  <si>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</si>
  <si>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</si>
  <si>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</si>
  <si>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</si>
  <si>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</si>
  <si>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</si>
  <si>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</si>
  <si>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</si>
  <si>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</si>
  <si>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</si>
  <si>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</si>
  <si>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</si>
  <si>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</si>
  <si>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</si>
  <si>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</si>
  <si>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</si>
  <si>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</si>
  <si>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</si>
  <si>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</si>
  <si>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</si>
  <si>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</si>
  <si>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</si>
  <si>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</si>
  <si>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</si>
  <si>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</si>
  <si>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</si>
  <si>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</si>
  <si>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</si>
  <si>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</si>
  <si>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</si>
  <si>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</si>
  <si>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</si>
  <si>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</si>
  <si>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</si>
  <si>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</si>
  <si>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</si>
  <si>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</si>
  <si>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</si>
  <si>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</si>
  <si>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</si>
  <si>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</si>
  <si>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</si>
  <si>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</si>
  <si>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</si>
  <si>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</si>
  <si>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</si>
  <si>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</si>
  <si>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</si>
  <si>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</si>
  <si>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</si>
  <si>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</si>
  <si>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</si>
  <si>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</si>
  <si>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</si>
  <si>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</si>
  <si>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</si>
  <si>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</si>
  <si>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</si>
  <si>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</si>
  <si>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</si>
  <si>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</si>
  <si>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</si>
  <si>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</si>
  <si>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</si>
  <si>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</si>
  <si>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</si>
  <si>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</si>
  <si>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</si>
  <si>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</si>
  <si>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</si>
  <si>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</si>
  <si>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</si>
  <si>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</si>
  <si>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</si>
  <si>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</si>
  <si>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</si>
  <si>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</si>
  <si>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</si>
  <si>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</si>
  <si>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</si>
  <si>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</si>
  <si>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</si>
  <si>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</si>
  <si>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</si>
  <si>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</si>
  <si>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</si>
  <si>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</si>
  <si>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</si>
  <si>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</si>
  <si>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</si>
  <si>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</si>
  <si>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</si>
  <si>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</si>
  <si>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</si>
  <si>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</si>
  <si>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</si>
  <si>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</si>
  <si>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</si>
  <si>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</si>
  <si>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</si>
  <si>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</si>
  <si>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</si>
  <si>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</si>
  <si>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</si>
  <si>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</si>
  <si>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</si>
  <si>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</si>
  <si>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</si>
  <si>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</si>
  <si>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</si>
  <si>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</si>
  <si>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</si>
  <si>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</si>
  <si>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</si>
  <si>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</si>
  <si>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</si>
  <si>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</si>
  <si>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</si>
  <si>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</si>
  <si>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</si>
  <si>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</si>
  <si>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</si>
  <si>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</si>
  <si>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</si>
  <si>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</si>
  <si>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</si>
  <si>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</si>
  <si>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</si>
  <si>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</si>
  <si>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</si>
  <si>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</si>
  <si>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</si>
  <si>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</si>
  <si>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</si>
  <si>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</si>
  <si>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</si>
  <si>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</si>
  <si>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</si>
  <si>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</si>
  <si>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</si>
  <si>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</si>
  <si>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</si>
  <si>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</si>
  <si>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</si>
  <si>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</si>
  <si>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</si>
  <si>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</si>
  <si>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</si>
  <si>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</si>
  <si>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</si>
  <si>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</si>
  <si>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</si>
  <si>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</si>
  <si>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</si>
  <si>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</si>
  <si>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</si>
  <si>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</si>
  <si>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</si>
  <si>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</si>
  <si>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</si>
  <si>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</si>
  <si>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</si>
  <si>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</si>
  <si>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</si>
  <si>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</si>
  <si>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</si>
  <si>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</si>
  <si>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</si>
  <si>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</si>
  <si>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</si>
  <si>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</si>
  <si>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</si>
  <si>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</si>
  <si>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</si>
  <si>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</si>
  <si>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</si>
  <si>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</si>
  <si>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</si>
  <si>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</si>
  <si>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</si>
  <si>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</si>
  <si>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</si>
  <si>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</si>
  <si>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</si>
  <si>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</si>
  <si>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</si>
  <si>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</si>
  <si>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</si>
  <si>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</si>
  <si>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</si>
  <si>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</si>
  <si>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</si>
  <si>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</si>
  <si>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</si>
  <si>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</si>
  <si>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</si>
  <si>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</si>
  <si>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</si>
  <si>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</si>
  <si>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</si>
  <si>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</si>
  <si>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</si>
  <si>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</si>
  <si>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</si>
  <si>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</si>
  <si>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</si>
  <si>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</si>
  <si>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</si>
  <si>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</si>
  <si>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</si>
  <si>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</si>
  <si>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</si>
  <si>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</si>
  <si>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</si>
  <si>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</si>
  <si>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</si>
  <si>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</si>
  <si>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</si>
  <si>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</si>
  <si>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</si>
  <si>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</si>
  <si>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</si>
  <si>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</si>
  <si>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</si>
  <si>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</si>
  <si>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</si>
  <si>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</si>
  <si>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</si>
  <si>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</si>
  <si>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</si>
  <si>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</si>
  <si>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</si>
  <si>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</si>
  <si>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</si>
  <si>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</si>
  <si>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</si>
  <si>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</si>
  <si>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</si>
  <si>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</si>
  <si>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</si>
  <si>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</si>
  <si>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</si>
  <si>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</si>
  <si>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</si>
  <si>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</si>
  <si>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</si>
  <si>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</si>
  <si>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</si>
  <si>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</si>
  <si>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</si>
  <si>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</si>
  <si>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</si>
  <si>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</si>
  <si>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</si>
  <si>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</si>
  <si>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</si>
  <si>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</si>
  <si>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</si>
  <si>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</si>
  <si>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</si>
  <si>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</si>
  <si>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</si>
  <si>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</si>
  <si>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</si>
  <si>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</si>
  <si>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</si>
  <si>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</si>
  <si>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</si>
  <si>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</si>
  <si>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</si>
  <si>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</si>
  <si>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</si>
  <si>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</si>
  <si>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</si>
  <si>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</si>
  <si>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</si>
  <si>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</si>
  <si>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</si>
  <si>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</si>
  <si>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</si>
  <si>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本单位机构设置为北京市西城区教育委员会所属二级预算单位，机构数1个、主要职责是实施小学义务教育。</t>
    <phoneticPr fontId="4" type="noConversion"/>
  </si>
  <si>
    <t>主要原因是由于扩班的需求，相关设备和人员都有所增加。</t>
    <phoneticPr fontId="4" type="noConversion"/>
  </si>
  <si>
    <t>主要原因是2021年扩班的需求，人员及相关教育设施配备都相应增加。</t>
    <phoneticPr fontId="4" type="noConversion"/>
  </si>
  <si>
    <t>主要原因是受2021年疫情影响，本年度未开展培训和进修活动。</t>
    <phoneticPr fontId="4" type="noConversion"/>
  </si>
  <si>
    <t>主要原因是2021年去世的人数为2人，与2020年人数相比有所下降，抚恤金支出额度减少。</t>
    <phoneticPr fontId="4" type="noConversion"/>
  </si>
  <si>
    <t>主要原因是学校扩班需要，教师人数增加，造成医疗保险数额增加。</t>
    <phoneticPr fontId="4" type="noConversion"/>
  </si>
  <si>
    <t>主要原因是由于学校扩班需要，教师人数增加，造成住房公积金数额增加。</t>
    <phoneticPr fontId="4" type="noConversion"/>
  </si>
  <si>
    <t>主要原因是此项减少的金额为结余资金，由于疫情的影响，此项活动没有完全执行，故造成资金结余收回。</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</si>
</sst>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xr:uid="{93FA3CC2-6478-4622-A037-E7E7B8A2BE8E}"/>
    <cellStyle name="常规 2 2" xfId="2" xr:uid="{F357774D-4FFF-4315-A33E-04701353A587}"/>
    <cellStyle name="常规 3" xfId="3" xr:uid="{DE0C487A-40CA-464B-8500-4FB8181E0EAB}"/>
    <cellStyle name="常规 3 2" xfId="5" xr:uid="{F4CC54C8-C522-4561-82B3-BCFA6F429EAF}"/>
    <cellStyle name="常规 4" xfId="6" xr:uid="{B859A443-2519-43F0-9E25-51776BF0A6F1}"/>
    <cellStyle name="千位分隔 2" xfId="4" xr:uid="{91D0C6F5-E1F3-4AC8-99F8-8E5A46071690}"/>
    <cellStyle name="千位分隔 3" xfId="7" xr:uid="{9442E64F-C6BA-43E6-8A78-A97A0C1D7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735B-6F38-475A-AAE5-898820AD2003}">
  <sheetPr>
    <tabColor rgb="FFFFFF00"/>
  </sheetPr>
  <dimension ref="A1:N26"/>
  <sheetViews>
    <sheetView zoomScale="80" zoomScaleNormal="80" workbookViewId="0">
      <selection activeCell="B2" sqref="B2"/>
    </sheetView>
  </sheetViews>
  <sheetFormatPr defaultRowHeight="13.8"/>
  <cols>
    <col min="1" max="1" width="16.5546875" customWidth="1"/>
    <col min="2" max="2" width="12.77734375" bestFit="1" customWidth="1"/>
  </cols>
  <sheetData>
    <row r="1" spans="1:14" ht="37.799999999999997" customHeight="1">
      <c r="A1" s="27" t="s">
        <v>0</v>
      </c>
      <c r="B1" s="28">
        <v>255038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北京市西城区顺城街第一小学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4576-2992-4981-9293-0911A4715E05}">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5546875" style="47" customWidth="1"/>
    <col min="8" max="10" width="8.6640625" style="47"/>
    <col min="11" max="11" width="7.77734375" style="47" customWidth="1"/>
    <col min="12" max="12" width="8.109375" style="47" customWidth="1"/>
    <col min="13" max="18" width="8.6640625" style="47"/>
    <col min="19" max="19" width="10.77734375" style="47" customWidth="1"/>
    <col min="20" max="20" width="10.6640625" style="47" customWidth="1"/>
    <col min="21" max="21" width="8.6640625" style="47"/>
    <col min="22" max="24" width="8.77734375" style="47" customWidth="1"/>
    <col min="25" max="16384" width="8.6640625" style="47"/>
  </cols>
  <sheetData>
    <row r="1" spans="1:40" s="42" customFormat="1" ht="61.8"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8F02-B10F-489E-A593-C09CDD5541B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6"/>
    <col min="2" max="2" width="23.6640625" style="36" customWidth="1"/>
    <col min="3" max="4" width="7.21875" style="40" customWidth="1"/>
    <col min="5" max="5" width="8.5546875" style="41" customWidth="1"/>
    <col min="6" max="6" width="19.6640625" style="36" customWidth="1"/>
    <col min="7" max="8" width="13.6640625" style="36" customWidth="1"/>
    <col min="9" max="16384" width="8.88671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440F-59BF-418D-BCA6-9536B8FE923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3" bestFit="1" customWidth="1"/>
    <col min="2" max="16384" width="8.6640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6C77-C61F-46EE-8B04-8D6C6A05CC8E}">
  <dimension ref="A1:N17"/>
  <sheetViews>
    <sheetView zoomScale="90" zoomScaleNormal="90" workbookViewId="0">
      <selection sqref="A1:N1"/>
    </sheetView>
  </sheetViews>
  <sheetFormatPr defaultRowHeight="17.399999999999999"/>
  <cols>
    <col min="3" max="3" width="8.88671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264D-F289-42F9-842E-4E4F22494472}">
  <dimension ref="A10:N11"/>
  <sheetViews>
    <sheetView zoomScale="90" zoomScaleNormal="90" workbookViewId="0">
      <selection activeCell="A10" sqref="A10:N10"/>
    </sheetView>
  </sheetViews>
  <sheetFormatPr defaultRowHeight="13.8"/>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4B51B-4EB0-4C7F-910F-72CE08E94EFD}">
  <dimension ref="A1:N308"/>
  <sheetViews>
    <sheetView zoomScaleNormal="100" workbookViewId="0">
      <selection activeCell="R89" sqref="R89"/>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17.399999999999999">
      <c r="A4" s="84" t="s">
        <v>478</v>
      </c>
      <c r="B4" s="84"/>
      <c r="C4" s="84"/>
      <c r="D4" s="84"/>
      <c r="E4" s="84"/>
      <c r="F4" s="84"/>
      <c r="G4" s="84"/>
      <c r="H4" s="84"/>
      <c r="I4" s="84"/>
      <c r="J4" s="84"/>
      <c r="K4" s="84"/>
      <c r="L4" s="84"/>
      <c r="M4" s="84"/>
      <c r="N4" s="19"/>
    </row>
    <row r="5" spans="1:14" ht="18" customHeight="1">
      <c r="A5" s="7" t="s">
        <v>176</v>
      </c>
    </row>
    <row r="6" spans="1:14" ht="18" customHeight="1">
      <c r="A6" s="88" t="s">
        <v>245</v>
      </c>
      <c r="B6" s="88"/>
      <c r="C6" s="10">
        <v>79</v>
      </c>
      <c r="D6" s="10" t="s">
        <v>247</v>
      </c>
      <c r="E6" s="8">
        <f>_xlfn.IFNA(VLOOKUP(封面!B1,'2021决算导出'!A:C,3,FALSE),"")</f>
        <v>76</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31284055.760000002</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724950.90000000224</v>
      </c>
      <c r="I8" s="16" t="s">
        <v>179</v>
      </c>
      <c r="J8" s="30" t="str">
        <f>IF(ISNA(VLOOKUP(封面!B1,'2020决算导出'!A:D,4,FALSE)),"",IF(D8-VLOOKUP(封面!B1,'2020决算导出'!A:D,4,FALSE)&gt;0,"增长","下降"))</f>
        <v>增长</v>
      </c>
      <c r="K8" s="31">
        <f>IF(ISNA(VLOOKUP(封面!B1,'2020决算导出'!A:D,4,FALSE)),"",H8/VLOOKUP(封面!B1,'2020决算导出'!A:D,4,FALSE))</f>
        <v>2.3722910187363461E-2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31147799.010000002</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850639.92000000179</v>
      </c>
      <c r="I10" s="16" t="s">
        <v>179</v>
      </c>
      <c r="J10" s="30" t="str">
        <f>IF(ISNA(VLOOKUP(封面!B1,'2020决算导出'!A:E,5,FALSE)),"",IF(D10-VLOOKUP(封面!B1,'2020决算导出'!A:E,5,FALSE)&gt;0,"增长","下降"))</f>
        <v>增长</v>
      </c>
      <c r="K10" s="31">
        <f>IF(ISNA(VLOOKUP(封面!B1,'2020决算导出'!A:E,5,FALSE)),"",H10/VLOOKUP(封面!B1,'2020决算导出'!A:E,5,FALSE))</f>
        <v>2.8076557193798653E-2</v>
      </c>
      <c r="L10" s="7" t="s">
        <v>314</v>
      </c>
    </row>
    <row r="11" spans="1:14" ht="18" customHeight="1">
      <c r="A11" s="88" t="s">
        <v>181</v>
      </c>
      <c r="B11" s="88"/>
      <c r="C11" s="88"/>
      <c r="D11" s="14">
        <f>_xlfn.IFNA(VLOOKUP(封面!B1,'2021决算导出'!A:F,6,FALSE),"")</f>
        <v>31147799.010000002</v>
      </c>
      <c r="E11" s="7" t="s">
        <v>179</v>
      </c>
      <c r="F11" s="88" t="s">
        <v>182</v>
      </c>
      <c r="G11" s="88"/>
      <c r="H11" s="29">
        <f>D11/$D$10</f>
        <v>1</v>
      </c>
      <c r="I11" s="7" t="s">
        <v>315</v>
      </c>
    </row>
    <row r="12" spans="1:14" ht="18" customHeight="1">
      <c r="A12" s="88" t="s">
        <v>184</v>
      </c>
      <c r="B12" s="88"/>
      <c r="C12" s="88"/>
      <c r="D12" s="14">
        <f>_xlfn.IFNA(VLOOKUP(封面!B1,'2021决算导出'!A:G,7,FALSE),"")</f>
        <v>0</v>
      </c>
      <c r="E12" s="7" t="s">
        <v>179</v>
      </c>
      <c r="F12" s="88" t="s">
        <v>182</v>
      </c>
      <c r="G12" s="88"/>
      <c r="H12" s="29">
        <f t="shared" ref="H12:H15" si="0">D12/$D$10</f>
        <v>0</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31282664.09</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820040.48999999836</v>
      </c>
      <c r="I17" s="7" t="s">
        <v>179</v>
      </c>
      <c r="J17" s="30" t="str">
        <f>IF(ISNA(VLOOKUP(封面!B1,'2020决算导出'!A:K,11,FALSE)),"",IF(D17-VLOOKUP(封面!B1,'2020决算导出'!A:K,11,FALSE)&gt;0,"增长","下降"))</f>
        <v>增长</v>
      </c>
      <c r="K17" s="31">
        <f>IF(ISNA(VLOOKUP(封面!B1,'2020决算导出'!A:K,11,FALSE)),"",H17/VLOOKUP(封面!B1,'2020决算导出'!A:K,11,FALSE))</f>
        <v>2.6919562174546198E-2</v>
      </c>
      <c r="L17" s="7" t="s">
        <v>317</v>
      </c>
    </row>
    <row r="18" spans="1:13" ht="18" customHeight="1">
      <c r="A18" s="88" t="s">
        <v>189</v>
      </c>
      <c r="B18" s="88"/>
      <c r="C18" s="88"/>
      <c r="D18" s="14">
        <f>_xlfn.IFNA(VLOOKUP(封面!B1,'2021决算导出'!A:L,12,FALSE),"")</f>
        <v>28949983.789999999</v>
      </c>
      <c r="E18" s="7" t="s">
        <v>179</v>
      </c>
      <c r="F18" s="88" t="s">
        <v>190</v>
      </c>
      <c r="G18" s="88"/>
      <c r="H18" s="29">
        <f>D18/$D$17</f>
        <v>0.92543217248732723</v>
      </c>
      <c r="I18" s="7" t="s">
        <v>315</v>
      </c>
    </row>
    <row r="19" spans="1:13" ht="18" customHeight="1">
      <c r="A19" s="88" t="s">
        <v>191</v>
      </c>
      <c r="B19" s="88"/>
      <c r="C19" s="88"/>
      <c r="D19" s="14">
        <f>_xlfn.IFNA(VLOOKUP(封面!B1,'2021决算导出'!A:M,13,FALSE),"")</f>
        <v>2332680.2999999998</v>
      </c>
      <c r="E19" s="7" t="s">
        <v>179</v>
      </c>
      <c r="F19" s="88" t="s">
        <v>190</v>
      </c>
      <c r="G19" s="88"/>
      <c r="H19" s="29">
        <f t="shared" ref="H19:H20" si="1">D19/$D$17</f>
        <v>7.4567827512672685E-2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31226692.379999999</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667587.51999999955</v>
      </c>
      <c r="J22" s="7" t="s">
        <v>179</v>
      </c>
      <c r="K22" s="30" t="str">
        <f>IF(ISNA(VLOOKUP(封面!B1,'2020决算导出'!A:O,15,FALSE)),"",IF(E22-VLOOKUP(封面!B1,'2020决算导出'!A:O,15,FALSE)&gt;0,"增长","下降"))</f>
        <v>增长</v>
      </c>
      <c r="L22" s="31">
        <f>IF(ISNA(VLOOKUP(封面!B1,'2020决算导出'!A:O,15,FALSE)),"",I22/VLOOKUP(封面!B1,'2020决算导出'!A:O,15,FALSE))</f>
        <v>2.1845781251067693E-2</v>
      </c>
      <c r="M22" s="7" t="s">
        <v>313</v>
      </c>
    </row>
    <row r="23" spans="1:13" ht="17.399999999999999">
      <c r="B23" s="90" t="s">
        <v>479</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31192888.600000001</v>
      </c>
      <c r="G26" s="83"/>
      <c r="H26" s="7" t="s">
        <v>179</v>
      </c>
      <c r="I26" s="10" t="s">
        <v>196</v>
      </c>
      <c r="J26" s="10"/>
      <c r="K26" s="10"/>
      <c r="L26" s="10"/>
      <c r="M26" s="10"/>
    </row>
    <row r="27" spans="1:13" ht="18" customHeight="1">
      <c r="A27" s="88" t="s">
        <v>199</v>
      </c>
      <c r="B27" s="88"/>
      <c r="C27" s="88"/>
      <c r="D27" s="83">
        <f>_xlfn.IFNA(VLOOKUP(封面!B1,'2021决算导出'!A:Q,17,FALSE),"")</f>
        <v>21329573.649999999</v>
      </c>
      <c r="E27" s="83"/>
      <c r="F27" s="7" t="s">
        <v>179</v>
      </c>
      <c r="G27" s="86" t="s">
        <v>198</v>
      </c>
      <c r="H27" s="86"/>
      <c r="I27" s="29">
        <f>D27/$F$26</f>
        <v>0.68379603837010461</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4165078.96</v>
      </c>
      <c r="E29" s="83"/>
      <c r="F29" s="7" t="s">
        <v>179</v>
      </c>
      <c r="G29" s="86" t="s">
        <v>198</v>
      </c>
      <c r="H29" s="86"/>
      <c r="I29" s="29">
        <f t="shared" si="2"/>
        <v>0.13352655515206116</v>
      </c>
      <c r="J29" s="7" t="s">
        <v>315</v>
      </c>
    </row>
    <row r="30" spans="1:13" ht="18" customHeight="1">
      <c r="A30" s="88" t="s">
        <v>201</v>
      </c>
      <c r="B30" s="88"/>
      <c r="C30" s="88"/>
      <c r="D30" s="83">
        <f>_xlfn.IFNA(VLOOKUP(封面!B1,'2021决算导出'!A:T,20,FALSE),"")</f>
        <v>2151199.9900000002</v>
      </c>
      <c r="E30" s="83"/>
      <c r="F30" s="7" t="s">
        <v>179</v>
      </c>
      <c r="G30" s="86" t="s">
        <v>198</v>
      </c>
      <c r="H30" s="86"/>
      <c r="I30" s="29">
        <f t="shared" si="2"/>
        <v>6.8964436656885952E-2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3547036</v>
      </c>
      <c r="E32" s="83"/>
      <c r="F32" s="7" t="s">
        <v>179</v>
      </c>
      <c r="G32" s="86" t="s">
        <v>198</v>
      </c>
      <c r="H32" s="86"/>
      <c r="I32" s="29">
        <f t="shared" si="2"/>
        <v>0.11371296982094822</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21329573.650000002</v>
      </c>
      <c r="F34" s="83"/>
      <c r="G34" s="7" t="s">
        <v>179</v>
      </c>
      <c r="H34" s="86" t="s">
        <v>422</v>
      </c>
      <c r="I34" s="86"/>
      <c r="J34" s="83">
        <f>_xlfn.IFNA(VLOOKUP(封面!B1,一般公共预算财政拨款支出决算具体情况!A:D,4,FALSE),"")</f>
        <v>19518646.899999999</v>
      </c>
      <c r="K34" s="83"/>
      <c r="L34" s="11" t="s">
        <v>178</v>
      </c>
    </row>
    <row r="35" spans="1:12" ht="18" customHeight="1">
      <c r="B35" s="15" t="str">
        <f>IF(E34&gt;J34,"增加","减少")</f>
        <v>增加</v>
      </c>
      <c r="C35" s="83">
        <f>ABS(E34-J34)</f>
        <v>1810926.7500000037</v>
      </c>
      <c r="D35" s="83"/>
      <c r="E35" s="7" t="s">
        <v>179</v>
      </c>
      <c r="F35" s="15" t="str">
        <f>IF(E34&gt;J34,"增长","下降")</f>
        <v>增长</v>
      </c>
      <c r="G35" s="34">
        <f>IF(J34=0,IF(E34&gt;0,1,""),C35/J34)</f>
        <v>9.2779318119638909E-2</v>
      </c>
      <c r="H35" s="7" t="s">
        <v>316</v>
      </c>
      <c r="I35" s="11" t="s">
        <v>205</v>
      </c>
    </row>
    <row r="36" spans="1:12" ht="18" customHeight="1">
      <c r="A36" s="88" t="s">
        <v>423</v>
      </c>
      <c r="B36" s="88"/>
      <c r="C36" s="88"/>
      <c r="D36" s="88"/>
      <c r="E36" s="83">
        <f>_xlfn.IFNA(VLOOKUP(封面!B1,一般公共预算财政拨款支出决算具体情况!A:E,5,FALSE),"")</f>
        <v>21238373.650000002</v>
      </c>
      <c r="F36" s="83"/>
      <c r="G36" s="7" t="s">
        <v>179</v>
      </c>
      <c r="H36" s="86" t="s">
        <v>422</v>
      </c>
      <c r="I36" s="86"/>
      <c r="J36" s="83">
        <f>_xlfn.IFNA(VLOOKUP(封面!B1,一般公共预算财政拨款支出决算具体情况!A:F,6,FALSE),"")</f>
        <v>19380526.899999999</v>
      </c>
      <c r="K36" s="83"/>
      <c r="L36" s="11" t="s">
        <v>178</v>
      </c>
    </row>
    <row r="37" spans="1:12" ht="18" customHeight="1">
      <c r="A37" s="15"/>
      <c r="B37" s="15" t="str">
        <f>IF(E36&gt;J36,"增加","减少")</f>
        <v>增加</v>
      </c>
      <c r="C37" s="83">
        <f>ABS(E36-J36)</f>
        <v>1857846.7500000037</v>
      </c>
      <c r="D37" s="83"/>
      <c r="E37" s="7" t="s">
        <v>179</v>
      </c>
      <c r="F37" s="15" t="str">
        <f>IF(E36&gt;J36,"增长","下降")</f>
        <v>增长</v>
      </c>
      <c r="G37" s="34">
        <f>IF(J36=0,IF(E36&gt;0,1,""),C37/J36)</f>
        <v>9.5861519121030914E-2</v>
      </c>
      <c r="H37" s="7" t="s">
        <v>316</v>
      </c>
    </row>
    <row r="38" spans="1:12" ht="17.399999999999999">
      <c r="B38" s="84" t="s">
        <v>480</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_xlfn.IFNA(VLOOKUP(封面!B1,一般公共预算财政拨款支出决算具体情况!A:G,7,FALSE),"")</f>
        <v>0</v>
      </c>
      <c r="F39" s="83"/>
      <c r="G39" s="7" t="s">
        <v>179</v>
      </c>
      <c r="H39" s="86" t="s">
        <v>422</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7.399999999999999">
      <c r="B41" s="84"/>
      <c r="C41" s="84"/>
      <c r="D41" s="84"/>
      <c r="E41" s="84"/>
      <c r="F41" s="84"/>
      <c r="G41" s="84"/>
      <c r="H41" s="84"/>
      <c r="I41" s="84"/>
      <c r="J41" s="84"/>
      <c r="K41" s="84"/>
      <c r="L41" s="84"/>
    </row>
    <row r="42" spans="1:12" ht="18" customHeight="1">
      <c r="A42" s="88" t="s">
        <v>425</v>
      </c>
      <c r="B42" s="88"/>
      <c r="C42" s="88"/>
      <c r="D42" s="88"/>
      <c r="E42" s="83">
        <f>_xlfn.IFNA(VLOOKUP(封面!B1,一般公共预算财政拨款支出决算具体情况!A:I,9,FALSE),"")</f>
        <v>0</v>
      </c>
      <c r="F42" s="83"/>
      <c r="G42" s="7" t="s">
        <v>179</v>
      </c>
      <c r="H42" s="86" t="s">
        <v>422</v>
      </c>
      <c r="I42" s="86"/>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316</v>
      </c>
    </row>
    <row r="44" spans="1:12" ht="17.399999999999999">
      <c r="B44" s="84"/>
      <c r="C44" s="84"/>
      <c r="D44" s="84"/>
      <c r="E44" s="84"/>
      <c r="F44" s="84"/>
      <c r="G44" s="84"/>
      <c r="H44" s="84"/>
      <c r="I44" s="84"/>
      <c r="J44" s="84"/>
      <c r="K44" s="84"/>
      <c r="L44" s="84"/>
    </row>
    <row r="45" spans="1:12" ht="18" customHeight="1">
      <c r="A45" s="88" t="s">
        <v>426</v>
      </c>
      <c r="B45" s="88"/>
      <c r="C45" s="88"/>
      <c r="D45" s="88"/>
      <c r="E45" s="83">
        <f>_xlfn.IFNA(VLOOKUP(封面!B1,一般公共预算财政拨款支出决算具体情况!A:K,11,FALSE),"")</f>
        <v>0</v>
      </c>
      <c r="F45" s="83"/>
      <c r="G45" s="7" t="s">
        <v>179</v>
      </c>
      <c r="H45" s="86" t="s">
        <v>422</v>
      </c>
      <c r="I45" s="86"/>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316</v>
      </c>
    </row>
    <row r="47" spans="1:12" ht="17.399999999999999">
      <c r="B47" s="84"/>
      <c r="C47" s="84"/>
      <c r="D47" s="84"/>
      <c r="E47" s="84"/>
      <c r="F47" s="84"/>
      <c r="G47" s="84"/>
      <c r="H47" s="84"/>
      <c r="I47" s="84"/>
      <c r="J47" s="84"/>
      <c r="K47" s="84"/>
      <c r="L47" s="84"/>
    </row>
    <row r="48" spans="1:12" ht="18" customHeight="1">
      <c r="A48" s="88" t="s">
        <v>427</v>
      </c>
      <c r="B48" s="88"/>
      <c r="C48" s="88"/>
      <c r="D48" s="88"/>
      <c r="E48" s="83">
        <f>_xlfn.IFNA(VLOOKUP(封面!B1,一般公共预算财政拨款支出决算具体情况!A:M,13,FALSE),"")</f>
        <v>0</v>
      </c>
      <c r="F48" s="83"/>
      <c r="G48" s="7" t="s">
        <v>179</v>
      </c>
      <c r="H48" s="86" t="s">
        <v>422</v>
      </c>
      <c r="I48" s="86"/>
      <c r="J48" s="83">
        <f>_xlfn.IFNA(VLOOKUP(封面!B1,一般公共预算财政拨款支出决算具体情况!A:N,14,FALSE),"")</f>
        <v>46920</v>
      </c>
      <c r="K48" s="83"/>
      <c r="L48" s="11" t="s">
        <v>178</v>
      </c>
    </row>
    <row r="49" spans="1:12" ht="18" customHeight="1">
      <c r="A49" s="15"/>
      <c r="B49" s="15" t="str">
        <f>IF(E48&gt;J48,"增加","减少")</f>
        <v>减少</v>
      </c>
      <c r="C49" s="83">
        <f>ABS(E48-J48)</f>
        <v>46920</v>
      </c>
      <c r="D49" s="83"/>
      <c r="E49" s="7" t="s">
        <v>179</v>
      </c>
      <c r="F49" s="15" t="str">
        <f>IF(E48&gt;J48,"增长","下降")</f>
        <v>下降</v>
      </c>
      <c r="G49" s="34">
        <f>IF(J48=0,IF(E48&gt;0,1,""),C49/J48)</f>
        <v>1</v>
      </c>
      <c r="H49" s="7" t="s">
        <v>316</v>
      </c>
    </row>
    <row r="50" spans="1:12" ht="17.399999999999999">
      <c r="B50" s="84" t="s">
        <v>481</v>
      </c>
      <c r="C50" s="84"/>
      <c r="D50" s="84"/>
      <c r="E50" s="84"/>
      <c r="F50" s="84"/>
      <c r="G50" s="84"/>
      <c r="H50" s="84"/>
      <c r="I50" s="84"/>
      <c r="J50" s="84"/>
      <c r="K50" s="84"/>
      <c r="L50" s="84"/>
    </row>
    <row r="51" spans="1:12" ht="18" customHeight="1">
      <c r="A51" s="87" t="s">
        <v>428</v>
      </c>
      <c r="B51" s="87"/>
      <c r="C51" s="87"/>
      <c r="D51" s="87"/>
      <c r="E51" s="83">
        <f>_xlfn.IFNA(VLOOKUP(封面!B1,一般公共预算财政拨款支出决算具体情况!A:O,15,FALSE),"")</f>
        <v>91200</v>
      </c>
      <c r="F51" s="83"/>
      <c r="G51" s="7" t="s">
        <v>179</v>
      </c>
      <c r="H51" s="86" t="s">
        <v>422</v>
      </c>
      <c r="I51" s="86"/>
      <c r="J51" s="83">
        <f>_xlfn.IFNA(VLOOKUP(封面!B1,一般公共预算财政拨款支出决算具体情况!A:P,16,FALSE),"")</f>
        <v>91200</v>
      </c>
      <c r="K51" s="83"/>
      <c r="L51" s="11" t="s">
        <v>178</v>
      </c>
    </row>
    <row r="52" spans="1:12" ht="18" customHeight="1">
      <c r="A52" s="15"/>
      <c r="B52" s="15" t="str">
        <f>IF(E51&gt;J51,"增加","减少")</f>
        <v>减少</v>
      </c>
      <c r="C52" s="83">
        <f>ABS(E51-J51)</f>
        <v>0</v>
      </c>
      <c r="D52" s="83"/>
      <c r="E52" s="7" t="s">
        <v>179</v>
      </c>
      <c r="F52" s="15" t="str">
        <f>IF(E51&gt;J51,"增长","下降")</f>
        <v>下降</v>
      </c>
      <c r="G52" s="34">
        <f>IF(J51=0,IF(E51&gt;0,1,""),C52/J51)</f>
        <v>0</v>
      </c>
      <c r="H52" s="7" t="s">
        <v>316</v>
      </c>
    </row>
    <row r="53" spans="1:12" ht="17.399999999999999">
      <c r="B53" s="84"/>
      <c r="C53" s="84"/>
      <c r="D53" s="84"/>
      <c r="E53" s="84"/>
      <c r="F53" s="84"/>
      <c r="G53" s="84"/>
      <c r="H53" s="84"/>
      <c r="I53" s="84"/>
      <c r="J53" s="84"/>
      <c r="K53" s="84"/>
      <c r="L53" s="84"/>
    </row>
    <row r="54" spans="1:12" ht="18" customHeight="1">
      <c r="A54" s="89" t="s">
        <v>429</v>
      </c>
      <c r="B54" s="89"/>
      <c r="C54" s="89"/>
      <c r="D54" s="89"/>
      <c r="E54" s="83">
        <f>_xlfn.IFNA(VLOOKUP(封面!B1,一般公共预算财政拨款支出决算具体情况!A:Q,17,FALSE),"")</f>
        <v>0</v>
      </c>
      <c r="F54" s="83"/>
      <c r="G54" s="7" t="s">
        <v>179</v>
      </c>
      <c r="H54" s="85" t="s">
        <v>430</v>
      </c>
      <c r="I54" s="85"/>
      <c r="J54" s="85"/>
      <c r="K54" s="85"/>
      <c r="L54" s="11"/>
    </row>
    <row r="55" spans="1:12" ht="18" customHeight="1">
      <c r="A55" s="87" t="s">
        <v>472</v>
      </c>
      <c r="B55" s="87"/>
      <c r="C55" s="87"/>
      <c r="D55" s="87"/>
      <c r="E55" s="83">
        <f>_xlfn.IFNA(VLOOKUP(封面!B1,一般公共预算财政拨款支出决算具体情况!A:S,19,FALSE),"")</f>
        <v>0</v>
      </c>
      <c r="F55" s="83"/>
      <c r="G55" s="7" t="s">
        <v>179</v>
      </c>
      <c r="H55" s="85" t="s">
        <v>432</v>
      </c>
      <c r="I55" s="85"/>
      <c r="J55" s="85"/>
      <c r="K55" s="85"/>
      <c r="L55" s="11"/>
    </row>
    <row r="56" spans="1:12" ht="17.399999999999999">
      <c r="B56" s="84"/>
      <c r="C56" s="84"/>
      <c r="D56" s="84"/>
      <c r="E56" s="84"/>
      <c r="F56" s="84"/>
      <c r="G56" s="84"/>
      <c r="H56" s="84"/>
      <c r="I56" s="84"/>
      <c r="J56" s="84"/>
      <c r="K56" s="84"/>
      <c r="L56" s="84"/>
    </row>
    <row r="57" spans="1:12" ht="18" customHeight="1">
      <c r="A57" s="88" t="s">
        <v>431</v>
      </c>
      <c r="B57" s="88"/>
      <c r="C57" s="88"/>
      <c r="D57" s="88"/>
      <c r="E57" s="83">
        <f>_xlfn.IFNA(VLOOKUP(封面!B1,一般公共预算财政拨款支出决算具体情况!A:U,21,FALSE),"")</f>
        <v>0</v>
      </c>
      <c r="F57" s="83"/>
      <c r="G57" s="7" t="s">
        <v>179</v>
      </c>
      <c r="H57" s="85" t="s">
        <v>432</v>
      </c>
      <c r="I57" s="85"/>
      <c r="J57" s="85"/>
      <c r="K57" s="85"/>
      <c r="L57" s="11"/>
    </row>
    <row r="58" spans="1:12" ht="17.399999999999999">
      <c r="B58" s="84"/>
      <c r="C58" s="84"/>
      <c r="D58" s="84"/>
      <c r="E58" s="84"/>
      <c r="F58" s="84"/>
      <c r="G58" s="84"/>
      <c r="H58" s="84"/>
      <c r="I58" s="84"/>
      <c r="J58" s="84"/>
      <c r="K58" s="84"/>
      <c r="L58" s="84"/>
    </row>
    <row r="59" spans="1:12" ht="18" customHeight="1">
      <c r="A59" s="89" t="s">
        <v>433</v>
      </c>
      <c r="B59" s="89"/>
      <c r="C59" s="89"/>
      <c r="D59" s="89"/>
      <c r="E59" s="83">
        <f>_xlfn.IFNA(VLOOKUP(封面!B1,一般公共预算财政拨款支出决算具体情况!A:W,23,FALSE),"")</f>
        <v>4165078.9600000004</v>
      </c>
      <c r="F59" s="83"/>
      <c r="G59" s="7" t="s">
        <v>179</v>
      </c>
      <c r="H59" s="86" t="s">
        <v>422</v>
      </c>
      <c r="I59" s="86"/>
      <c r="J59" s="83">
        <f>_xlfn.IFNA(VLOOKUP(封面!B1,一般公共预算财政拨款支出决算具体情况!A:X,24,FALSE),"")</f>
        <v>4296722.4799999995</v>
      </c>
      <c r="K59" s="83"/>
      <c r="L59" s="11" t="s">
        <v>178</v>
      </c>
    </row>
    <row r="60" spans="1:12" ht="18" customHeight="1">
      <c r="B60" s="15" t="str">
        <f>IF(E59&gt;J59,"增加","减少")</f>
        <v>减少</v>
      </c>
      <c r="C60" s="83">
        <f>ABS(E59-J59)</f>
        <v>131643.51999999909</v>
      </c>
      <c r="D60" s="83"/>
      <c r="E60" s="7" t="s">
        <v>179</v>
      </c>
      <c r="F60" s="15" t="str">
        <f>IF(E59&gt;J59,"增长","下降")</f>
        <v>下降</v>
      </c>
      <c r="G60" s="34">
        <f>IF(J59=0,IF(E59&gt;0,1,""),C60/J59)</f>
        <v>3.0638124899330037E-2</v>
      </c>
      <c r="H60" s="7" t="s">
        <v>316</v>
      </c>
      <c r="I60" s="11" t="s">
        <v>205</v>
      </c>
    </row>
    <row r="61" spans="1:12" ht="18" customHeight="1">
      <c r="A61" s="87" t="s">
        <v>434</v>
      </c>
      <c r="B61" s="87"/>
      <c r="C61" s="87"/>
      <c r="D61" s="87"/>
      <c r="E61" s="83">
        <f>_xlfn.IFNA(VLOOKUP(封面!B1,一般公共预算财政拨款支出决算具体情况!A:Y,25,FALSE),"")</f>
        <v>4165078.9600000004</v>
      </c>
      <c r="F61" s="83"/>
      <c r="G61" s="7" t="s">
        <v>179</v>
      </c>
      <c r="H61" s="86" t="s">
        <v>422</v>
      </c>
      <c r="I61" s="86"/>
      <c r="J61" s="83">
        <f>_xlfn.IFNA(VLOOKUP(封面!B1,一般公共预算财政拨款支出决算具体情况!A:Z,26,FALSE),"")</f>
        <v>4296722.4799999995</v>
      </c>
      <c r="K61" s="83"/>
      <c r="L61" s="11" t="s">
        <v>178</v>
      </c>
    </row>
    <row r="62" spans="1:12" ht="18" customHeight="1">
      <c r="A62" s="15"/>
      <c r="B62" s="15" t="str">
        <f>IF(E61&gt;J61,"增加","减少")</f>
        <v>减少</v>
      </c>
      <c r="C62" s="83">
        <f>ABS(E61-J61)</f>
        <v>131643.51999999909</v>
      </c>
      <c r="D62" s="83"/>
      <c r="E62" s="7" t="s">
        <v>179</v>
      </c>
      <c r="F62" s="15" t="str">
        <f>IF(E61&gt;J61,"增长","下降")</f>
        <v>下降</v>
      </c>
      <c r="G62" s="34">
        <f>IF(J61=0,IF(E61&gt;0,1,""),C62/J61)</f>
        <v>3.0638124899330037E-2</v>
      </c>
      <c r="H62" s="7" t="s">
        <v>316</v>
      </c>
    </row>
    <row r="63" spans="1:12" ht="17.399999999999999">
      <c r="B63" s="84" t="s">
        <v>482</v>
      </c>
      <c r="C63" s="84"/>
      <c r="D63" s="84"/>
      <c r="E63" s="84"/>
      <c r="F63" s="84"/>
      <c r="G63" s="84"/>
      <c r="H63" s="84"/>
      <c r="I63" s="84"/>
      <c r="J63" s="84"/>
      <c r="K63" s="84"/>
      <c r="L63" s="84"/>
    </row>
    <row r="64" spans="1:12" ht="18" customHeight="1">
      <c r="A64" s="87" t="s">
        <v>435</v>
      </c>
      <c r="B64" s="87"/>
      <c r="C64" s="87"/>
      <c r="D64" s="87"/>
      <c r="E64" s="83">
        <f>_xlfn.IFNA(VLOOKUP(封面!B1,一般公共预算财政拨款支出决算具体情况!A:AA,27,FALSE),"")</f>
        <v>0</v>
      </c>
      <c r="F64" s="83"/>
      <c r="G64" s="7" t="s">
        <v>179</v>
      </c>
      <c r="H64" s="86" t="s">
        <v>432</v>
      </c>
      <c r="I64" s="86"/>
      <c r="J64" s="83"/>
      <c r="K64" s="83"/>
      <c r="L64" s="11"/>
    </row>
    <row r="65" spans="1:12" ht="17.399999999999999">
      <c r="B65" s="84"/>
      <c r="C65" s="84"/>
      <c r="D65" s="84"/>
      <c r="E65" s="84"/>
      <c r="F65" s="84"/>
      <c r="G65" s="84"/>
      <c r="H65" s="84"/>
      <c r="I65" s="84"/>
      <c r="J65" s="84"/>
      <c r="K65" s="84"/>
      <c r="L65" s="84"/>
    </row>
    <row r="66" spans="1:12" ht="18" customHeight="1">
      <c r="A66" s="89" t="s">
        <v>436</v>
      </c>
      <c r="B66" s="89"/>
      <c r="C66" s="89"/>
      <c r="D66" s="89"/>
      <c r="E66" s="83">
        <f>_xlfn.IFNA(VLOOKUP(封面!B1,一般公共预算财政拨款支出决算具体情况!A:AC,29,FALSE),"")</f>
        <v>2151199.9900000002</v>
      </c>
      <c r="F66" s="83"/>
      <c r="G66" s="7" t="s">
        <v>179</v>
      </c>
      <c r="H66" s="86" t="s">
        <v>422</v>
      </c>
      <c r="I66" s="86"/>
      <c r="J66" s="83">
        <f>_xlfn.IFNA(VLOOKUP(封面!B1,一般公共预算财政拨款支出决算具体情况!A:AD,30,FALSE),"")</f>
        <v>1787630.26</v>
      </c>
      <c r="K66" s="83"/>
      <c r="L66" s="11" t="s">
        <v>178</v>
      </c>
    </row>
    <row r="67" spans="1:12" ht="18" customHeight="1">
      <c r="B67" s="15" t="str">
        <f>IF(E66&gt;J66,"增加","减少")</f>
        <v>增加</v>
      </c>
      <c r="C67" s="83">
        <f>ABS(E66-J66)</f>
        <v>363569.73000000021</v>
      </c>
      <c r="D67" s="83"/>
      <c r="E67" s="7" t="s">
        <v>179</v>
      </c>
      <c r="F67" s="15" t="str">
        <f>IF(E66&gt;J66,"增长","下降")</f>
        <v>增长</v>
      </c>
      <c r="G67" s="34">
        <f>IF(J66=0,IF(E66&gt;0,1,""),C67/J66)</f>
        <v>0.20338083223093359</v>
      </c>
      <c r="H67" s="7" t="s">
        <v>316</v>
      </c>
      <c r="I67" s="11" t="s">
        <v>205</v>
      </c>
    </row>
    <row r="68" spans="1:12" ht="18" customHeight="1">
      <c r="A68" s="87" t="s">
        <v>437</v>
      </c>
      <c r="B68" s="87"/>
      <c r="C68" s="87"/>
      <c r="D68" s="87"/>
      <c r="E68" s="83">
        <f>_xlfn.IFNA(VLOOKUP(封面!B1,一般公共预算财政拨款支出决算具体情况!A:AE,31,FALSE),"")</f>
        <v>2151199.9900000002</v>
      </c>
      <c r="F68" s="83"/>
      <c r="G68" s="7" t="s">
        <v>179</v>
      </c>
      <c r="H68" s="86" t="s">
        <v>422</v>
      </c>
      <c r="I68" s="86"/>
      <c r="J68" s="83">
        <f>_xlfn.IFNA(VLOOKUP(封面!B1,一般公共预算财政拨款支出决算具体情况!A:AF,32,FALSE),"")</f>
        <v>1787630.26</v>
      </c>
      <c r="K68" s="83"/>
      <c r="L68" s="11" t="s">
        <v>178</v>
      </c>
    </row>
    <row r="69" spans="1:12" ht="18" customHeight="1">
      <c r="A69" s="15"/>
      <c r="B69" s="15" t="str">
        <f>IF(E68&gt;J68,"增加","减少")</f>
        <v>增加</v>
      </c>
      <c r="C69" s="83">
        <f>ABS(E68-J68)</f>
        <v>363569.73000000021</v>
      </c>
      <c r="D69" s="83"/>
      <c r="E69" s="7" t="s">
        <v>179</v>
      </c>
      <c r="F69" s="15" t="str">
        <f>IF(E68&gt;J68,"增长","下降")</f>
        <v>增长</v>
      </c>
      <c r="G69" s="34">
        <f>IF(J68=0,IF(E68&gt;0,1,""),C69/J68)</f>
        <v>0.20338083223093359</v>
      </c>
      <c r="H69" s="7" t="s">
        <v>316</v>
      </c>
    </row>
    <row r="70" spans="1:12" ht="17.399999999999999">
      <c r="B70" s="84" t="s">
        <v>483</v>
      </c>
      <c r="C70" s="84"/>
      <c r="D70" s="84"/>
      <c r="E70" s="84"/>
      <c r="F70" s="84"/>
      <c r="G70" s="84"/>
      <c r="H70" s="84"/>
      <c r="I70" s="84"/>
      <c r="J70" s="84"/>
      <c r="K70" s="84"/>
      <c r="L70" s="84"/>
    </row>
    <row r="71" spans="1:12" ht="18" customHeight="1">
      <c r="A71" s="89" t="s">
        <v>438</v>
      </c>
      <c r="B71" s="89"/>
      <c r="C71" s="89"/>
      <c r="D71" s="89"/>
      <c r="E71" s="83">
        <f>_xlfn.IFNA(VLOOKUP(封面!B1,一般公共预算财政拨款支出决算具体情况!A:AG,33,FALSE),"")</f>
        <v>0</v>
      </c>
      <c r="F71" s="83"/>
      <c r="G71" s="7" t="s">
        <v>179</v>
      </c>
      <c r="H71" s="86" t="s">
        <v>422</v>
      </c>
      <c r="I71" s="86"/>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313</v>
      </c>
      <c r="I72" s="11" t="s">
        <v>205</v>
      </c>
    </row>
    <row r="73" spans="1:12" ht="18" customHeight="1">
      <c r="A73" s="87" t="s">
        <v>439</v>
      </c>
      <c r="B73" s="87"/>
      <c r="C73" s="87"/>
      <c r="D73" s="87"/>
      <c r="E73" s="83">
        <f>_xlfn.IFNA(VLOOKUP(封面!B1,一般公共预算财政拨款支出决算具体情况!A:AI,35,FALSE),"")</f>
        <v>0</v>
      </c>
      <c r="F73" s="83"/>
      <c r="G73" s="7" t="s">
        <v>179</v>
      </c>
      <c r="H73" s="86" t="s">
        <v>422</v>
      </c>
      <c r="I73" s="86"/>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313</v>
      </c>
      <c r="I74" s="57"/>
      <c r="J74" s="56"/>
      <c r="K74" s="56"/>
      <c r="L74" s="11"/>
    </row>
    <row r="75" spans="1:12" ht="17.399999999999999">
      <c r="B75" s="84"/>
      <c r="C75" s="84"/>
      <c r="D75" s="84"/>
      <c r="E75" s="84"/>
      <c r="F75" s="84"/>
      <c r="G75" s="84"/>
      <c r="H75" s="84"/>
      <c r="I75" s="84"/>
      <c r="J75" s="84"/>
      <c r="K75" s="84"/>
      <c r="L75" s="84"/>
    </row>
    <row r="76" spans="1:12" ht="18" customHeight="1">
      <c r="A76" s="89" t="s">
        <v>473</v>
      </c>
      <c r="B76" s="89"/>
      <c r="C76" s="89"/>
      <c r="D76" s="89"/>
      <c r="E76" s="83">
        <f>_xlfn.IFNA(VLOOKUP(封面!B1,一般公共预算财政拨款支出决算具体情况!A:AK,37,FALSE),"")</f>
        <v>3547036</v>
      </c>
      <c r="F76" s="83"/>
      <c r="G76" s="7" t="s">
        <v>179</v>
      </c>
      <c r="H76" s="86" t="s">
        <v>422</v>
      </c>
      <c r="I76" s="86"/>
      <c r="J76" s="83">
        <f>_xlfn.IFNA(VLOOKUP(封面!B1,一般公共预算财政拨款支出决算具体情况!A:AL,38,FALSE),"")</f>
        <v>3314700.24</v>
      </c>
      <c r="K76" s="83"/>
      <c r="L76" s="11" t="s">
        <v>178</v>
      </c>
    </row>
    <row r="77" spans="1:12" ht="18" customHeight="1">
      <c r="B77" s="15" t="str">
        <f>IF(E76&gt;J76,"增加","减少")</f>
        <v>增加</v>
      </c>
      <c r="C77" s="83">
        <f>ABS(E76-J76)</f>
        <v>232335.75999999978</v>
      </c>
      <c r="D77" s="83"/>
      <c r="E77" s="7" t="s">
        <v>179</v>
      </c>
      <c r="F77" s="15" t="str">
        <f>IF(E76&gt;J76,"增长","下降")</f>
        <v>增长</v>
      </c>
      <c r="G77" s="34">
        <f>IF(J76=0,IF(E76&gt;0,1,""),C77/J76)</f>
        <v>7.0092540253353278E-2</v>
      </c>
      <c r="H77" s="7" t="s">
        <v>316</v>
      </c>
      <c r="I77" s="11" t="s">
        <v>205</v>
      </c>
    </row>
    <row r="78" spans="1:12" ht="18" customHeight="1">
      <c r="A78" s="87" t="s">
        <v>440</v>
      </c>
      <c r="B78" s="87"/>
      <c r="C78" s="87"/>
      <c r="D78" s="87"/>
      <c r="E78" s="83">
        <f>_xlfn.IFNA(VLOOKUP(封面!B1,一般公共预算财政拨款支出决算具体情况!A:AM,39,FALSE),"")</f>
        <v>3547036</v>
      </c>
      <c r="F78" s="83"/>
      <c r="G78" s="7" t="s">
        <v>179</v>
      </c>
      <c r="H78" s="86" t="s">
        <v>422</v>
      </c>
      <c r="I78" s="86"/>
      <c r="J78" s="83">
        <f>_xlfn.IFNA(VLOOKUP(封面!B1,一般公共预算财政拨款支出决算具体情况!A:AN,40,FALSE),"")</f>
        <v>3314700.24</v>
      </c>
      <c r="K78" s="83"/>
      <c r="L78" s="11" t="s">
        <v>178</v>
      </c>
    </row>
    <row r="79" spans="1:12" ht="18" customHeight="1">
      <c r="A79" s="15"/>
      <c r="B79" s="15" t="str">
        <f>IF(E78&gt;J78,"增加","减少")</f>
        <v>增加</v>
      </c>
      <c r="C79" s="83">
        <f>ABS(E78-J78)</f>
        <v>232335.75999999978</v>
      </c>
      <c r="D79" s="83"/>
      <c r="E79" s="7" t="s">
        <v>179</v>
      </c>
      <c r="F79" s="15" t="str">
        <f>IF(E78&gt;J78,"增长","下降")</f>
        <v>增长</v>
      </c>
      <c r="G79" s="34">
        <f>IF(J78=0,IF(E78&gt;0,1,""),C79/J78)</f>
        <v>7.0092540253353278E-2</v>
      </c>
      <c r="H79" s="7" t="s">
        <v>316</v>
      </c>
    </row>
    <row r="80" spans="1:12" ht="17.399999999999999">
      <c r="B80" s="84" t="s">
        <v>484</v>
      </c>
      <c r="C80" s="84"/>
      <c r="D80" s="84"/>
      <c r="E80" s="84"/>
      <c r="F80" s="84"/>
      <c r="G80" s="84"/>
      <c r="H80" s="84"/>
      <c r="I80" s="84"/>
      <c r="J80" s="84"/>
      <c r="K80" s="84"/>
      <c r="L80" s="84"/>
    </row>
    <row r="81" spans="1:13" ht="18" customHeight="1">
      <c r="A81" s="6" t="s">
        <v>206</v>
      </c>
    </row>
    <row r="82" spans="1:13" ht="18" customHeight="1">
      <c r="A82" s="7" t="str">
        <f>IF(_xlfn.IFNA(VLOOKUP(封面!B1,'2021决算导出'!A:W,23,FALSE),"")=0,"本年度无此项支出。","")</f>
        <v/>
      </c>
    </row>
    <row r="83" spans="1:13" ht="18" customHeight="1">
      <c r="A83" s="7" t="s">
        <v>207</v>
      </c>
    </row>
    <row r="84" spans="1:13" ht="18" customHeight="1">
      <c r="A84" s="88" t="s">
        <v>441</v>
      </c>
      <c r="B84" s="88"/>
      <c r="C84" s="88"/>
      <c r="D84" s="88"/>
      <c r="E84" s="88"/>
      <c r="F84" s="83">
        <f>_xlfn.IFNA(VLOOKUP(封面!B1,'2021决算导出'!A:W,23,FALSE),"")</f>
        <v>32412.11</v>
      </c>
      <c r="G84" s="83"/>
      <c r="H84" s="7" t="s">
        <v>179</v>
      </c>
      <c r="I84" s="85" t="s">
        <v>196</v>
      </c>
      <c r="J84" s="85"/>
      <c r="K84" s="85"/>
      <c r="L84" s="85"/>
      <c r="M84" s="85"/>
    </row>
    <row r="85" spans="1:13" ht="18" customHeight="1">
      <c r="A85" s="88" t="s">
        <v>208</v>
      </c>
      <c r="B85" s="88"/>
      <c r="C85" s="88"/>
      <c r="D85" s="83">
        <f>_xlfn.IFNA(VLOOKUP(封面!B1,'2021决算导出'!A:Y,25,FALSE),"")</f>
        <v>32412.11</v>
      </c>
      <c r="E85" s="83"/>
      <c r="F85" s="7" t="s">
        <v>179</v>
      </c>
      <c r="G85" s="86" t="s">
        <v>198</v>
      </c>
      <c r="H85" s="86"/>
      <c r="I85" s="13">
        <v>100</v>
      </c>
      <c r="J85" s="7" t="s">
        <v>183</v>
      </c>
      <c r="K85" s="9"/>
      <c r="L85" s="9"/>
      <c r="M85" s="9"/>
    </row>
    <row r="86" spans="1:13" ht="18" customHeight="1">
      <c r="A86" s="7" t="s">
        <v>209</v>
      </c>
    </row>
    <row r="87" spans="1:13" ht="18" customHeight="1">
      <c r="A87" s="85" t="s">
        <v>442</v>
      </c>
      <c r="B87" s="85"/>
      <c r="C87" s="85"/>
      <c r="D87" s="85"/>
      <c r="E87" s="83">
        <f>_xlfn.IFNA(VLOOKUP(封面!B1,'2021决算导出'!A:Y,25,FALSE),"")</f>
        <v>32412.11</v>
      </c>
      <c r="F87" s="83"/>
      <c r="G87" s="7" t="s">
        <v>179</v>
      </c>
      <c r="H87" s="86" t="s">
        <v>422</v>
      </c>
      <c r="I87" s="86"/>
      <c r="J87" s="83">
        <f>_xlfn.IFNA(VLOOKUP(封面!B1,'2021决算导出'!A:Z,26,FALSE),"")</f>
        <v>50000</v>
      </c>
      <c r="K87" s="83"/>
      <c r="L87" s="11" t="s">
        <v>178</v>
      </c>
    </row>
    <row r="88" spans="1:13" ht="18" customHeight="1">
      <c r="B88" s="15" t="str">
        <f>IF(E87&gt;J87,"增加","减少")</f>
        <v>减少</v>
      </c>
      <c r="C88" s="83">
        <f>ABS(E87-J87)</f>
        <v>17587.89</v>
      </c>
      <c r="D88" s="83"/>
      <c r="E88" s="7" t="s">
        <v>179</v>
      </c>
      <c r="F88" s="15" t="str">
        <f>IF(E87&gt;J87,"增长","下降")</f>
        <v>下降</v>
      </c>
      <c r="G88" s="34">
        <f>IF(J87=0,IF(E87&gt;0,1,""),C88/J87)</f>
        <v>0.35175780000000001</v>
      </c>
      <c r="H88" s="7" t="s">
        <v>316</v>
      </c>
      <c r="I88" s="11" t="s">
        <v>205</v>
      </c>
    </row>
    <row r="89" spans="1:13" ht="18" customHeight="1">
      <c r="A89" s="87" t="s">
        <v>443</v>
      </c>
      <c r="B89" s="87"/>
      <c r="C89" s="87"/>
      <c r="D89" s="87"/>
      <c r="E89" s="83">
        <f>E87</f>
        <v>32412.11</v>
      </c>
      <c r="F89" s="83"/>
      <c r="G89" s="7" t="s">
        <v>179</v>
      </c>
      <c r="H89" s="86" t="s">
        <v>422</v>
      </c>
      <c r="I89" s="86"/>
      <c r="J89" s="83">
        <f>J87</f>
        <v>50000</v>
      </c>
      <c r="K89" s="83"/>
      <c r="L89" s="11" t="s">
        <v>178</v>
      </c>
    </row>
    <row r="90" spans="1:13" ht="18" customHeight="1">
      <c r="A90" s="15"/>
      <c r="B90" s="15" t="str">
        <f>B88</f>
        <v>减少</v>
      </c>
      <c r="C90" s="83">
        <f>C88</f>
        <v>17587.89</v>
      </c>
      <c r="D90" s="83"/>
      <c r="E90" s="7" t="s">
        <v>179</v>
      </c>
      <c r="F90" s="15" t="str">
        <f>F88</f>
        <v>下降</v>
      </c>
      <c r="G90" s="34">
        <f>IF(J89=0,IF(E89&gt;0,1,""),C90/J89)</f>
        <v>0.35175780000000001</v>
      </c>
      <c r="H90" s="7" t="s">
        <v>316</v>
      </c>
    </row>
    <row r="91" spans="1:13" ht="36" customHeight="1">
      <c r="B91" s="84" t="s">
        <v>485</v>
      </c>
      <c r="C91" s="84"/>
      <c r="D91" s="84"/>
      <c r="E91" s="84"/>
      <c r="F91" s="84"/>
      <c r="G91" s="84"/>
      <c r="H91" s="84"/>
      <c r="I91" s="84"/>
      <c r="J91" s="84"/>
      <c r="K91" s="84"/>
      <c r="L91" s="84"/>
    </row>
    <row r="92" spans="1:13" ht="18" customHeight="1">
      <c r="A92" s="6" t="s">
        <v>210</v>
      </c>
    </row>
    <row r="93" spans="1:13" ht="18" customHeight="1">
      <c r="A93" s="7" t="s">
        <v>211</v>
      </c>
    </row>
    <row r="94" spans="1:13" ht="18" customHeight="1">
      <c r="A94" s="6" t="s">
        <v>212</v>
      </c>
    </row>
    <row r="95" spans="1:13" ht="18" customHeight="1">
      <c r="A95" s="7" t="s">
        <v>444</v>
      </c>
      <c r="G95" s="83">
        <f>_xlfn.IFNA(VLOOKUP(封面!B1,'2021决算导出'!A:AA,27,FALSE),"")</f>
        <v>28913920.41</v>
      </c>
      <c r="H95" s="83"/>
      <c r="I95" s="11" t="s">
        <v>179</v>
      </c>
    </row>
    <row r="96" spans="1:13" ht="130.19999999999999" customHeight="1">
      <c r="A96" s="84" t="s">
        <v>213</v>
      </c>
      <c r="B96" s="84"/>
      <c r="C96" s="84"/>
      <c r="D96" s="84"/>
      <c r="E96" s="84"/>
      <c r="F96" s="84"/>
      <c r="G96" s="84"/>
      <c r="H96" s="84"/>
      <c r="I96" s="84"/>
      <c r="J96" s="84"/>
      <c r="K96" s="84"/>
      <c r="L96" s="84"/>
      <c r="M96" s="84"/>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E64:F64"/>
    <mergeCell ref="H64:I64"/>
    <mergeCell ref="J64:K64"/>
    <mergeCell ref="C60:D60"/>
    <mergeCell ref="A61:D6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B47:L47"/>
    <mergeCell ref="A48:D48"/>
    <mergeCell ref="E48:F48"/>
    <mergeCell ref="H48:I48"/>
    <mergeCell ref="J48:K48"/>
    <mergeCell ref="C43:D43"/>
    <mergeCell ref="B44:L44"/>
    <mergeCell ref="A45:D45"/>
    <mergeCell ref="E45:F45"/>
    <mergeCell ref="H45:I45"/>
    <mergeCell ref="J45:K45"/>
    <mergeCell ref="C52:D52"/>
    <mergeCell ref="B53:L53"/>
    <mergeCell ref="A54:D54"/>
    <mergeCell ref="E54:F54"/>
    <mergeCell ref="C49:D49"/>
    <mergeCell ref="B50:L50"/>
    <mergeCell ref="A51:D51"/>
    <mergeCell ref="E51:F51"/>
    <mergeCell ref="H51:I51"/>
    <mergeCell ref="J51:K51"/>
    <mergeCell ref="H54:K5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49C7-C812-428A-BDAF-EEE2BAEBE3D5}">
  <dimension ref="A1:N36"/>
  <sheetViews>
    <sheetView tabSelected="1" workbookViewId="0">
      <selection activeCell="A14" sqref="A14:N14"/>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本年度无此项支出。</v>
      </c>
    </row>
    <row r="4" spans="1:14" ht="18" customHeight="1">
      <c r="A4" s="7" t="s">
        <v>445</v>
      </c>
      <c r="F4" s="83">
        <f>_xlfn.IFNA(VLOOKUP(封面!B1,'2021决算导出'!A:AB,28,FALSE),"")</f>
        <v>0</v>
      </c>
      <c r="G4" s="83"/>
      <c r="H4" s="7" t="s">
        <v>179</v>
      </c>
      <c r="I4" s="7" t="s">
        <v>446</v>
      </c>
    </row>
    <row r="5" spans="1:14" ht="18" customHeight="1">
      <c r="A5" s="91">
        <f>_xlfn.IFNA(VLOOKUP(封面!B1,'2021决算导出'!A:AC,29,FALSE),"")</f>
        <v>0</v>
      </c>
      <c r="B5" s="91"/>
      <c r="C5" s="7" t="s">
        <v>178</v>
      </c>
      <c r="D5" s="30" t="str">
        <f>IF(F4&gt;A5,"增加","减少")</f>
        <v>减少</v>
      </c>
      <c r="E5" s="91">
        <f>ABS(F4-A5)</f>
        <v>0</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8" t="s">
        <v>449</v>
      </c>
      <c r="B11" s="88"/>
      <c r="C11" s="35">
        <f>_xlfn.IFNA(VLOOKUP(封面!B1,'2021决算导出'!A:AI,35,FALSE),"")</f>
        <v>0</v>
      </c>
      <c r="D11" s="7" t="s">
        <v>179</v>
      </c>
      <c r="E11" s="88" t="s">
        <v>450</v>
      </c>
      <c r="F11" s="88"/>
      <c r="G11" s="88"/>
      <c r="H11" s="91">
        <f>_xlfn.IFNA(VLOOKUP(封面!B1,'2021决算导出'!A:AJ,36,FALSE),"")</f>
        <v>0</v>
      </c>
      <c r="I11" s="91"/>
      <c r="J11" s="16" t="s">
        <v>178</v>
      </c>
      <c r="K11" s="30" t="str">
        <f>IF(C11&gt;H11,"增加","减少")</f>
        <v>减少</v>
      </c>
      <c r="L11" s="91">
        <f>ABS(C11-H11)</f>
        <v>0</v>
      </c>
      <c r="M11" s="91"/>
      <c r="N11" s="7" t="s">
        <v>215</v>
      </c>
    </row>
    <row r="12" spans="1:14" ht="18" customHeight="1">
      <c r="A12" s="88" t="s">
        <v>451</v>
      </c>
      <c r="B12" s="88"/>
      <c r="C12" s="88"/>
      <c r="D12" s="88"/>
      <c r="E12" s="88"/>
      <c r="F12" s="91">
        <f>_xlfn.IFNA(VLOOKUP(封面!B1,'2021决算导出'!A:AK,37,FALSE),"")</f>
        <v>0</v>
      </c>
      <c r="G12" s="91"/>
      <c r="H12" s="17" t="s">
        <v>179</v>
      </c>
      <c r="I12" s="88" t="s">
        <v>450</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17.399999999999999">
      <c r="A14" s="84"/>
      <c r="B14" s="84"/>
      <c r="C14" s="84"/>
      <c r="D14" s="84"/>
      <c r="E14" s="84"/>
      <c r="F14" s="84"/>
      <c r="G14" s="84"/>
      <c r="H14" s="84"/>
      <c r="I14" s="84"/>
      <c r="J14" s="84"/>
      <c r="K14" s="84"/>
      <c r="L14" s="84"/>
      <c r="M14" s="84"/>
      <c r="N14" s="84"/>
    </row>
    <row r="15" spans="1:14" ht="18" customHeight="1">
      <c r="A15" s="88" t="s">
        <v>452</v>
      </c>
      <c r="B15" s="88"/>
      <c r="C15" s="88"/>
      <c r="D15" s="8">
        <f>_xlfn.IFNA(VLOOKUP(封面!B1,'2021决算导出'!A:AM,39,FALSE),"")</f>
        <v>0</v>
      </c>
      <c r="E15" s="7" t="s">
        <v>220</v>
      </c>
      <c r="F15" s="88" t="s">
        <v>221</v>
      </c>
      <c r="G15" s="88"/>
      <c r="H15" s="91">
        <f>IF(D15=0,0,F12/D15)</f>
        <v>0</v>
      </c>
      <c r="I15" s="91"/>
      <c r="J15" s="7" t="s">
        <v>215</v>
      </c>
    </row>
    <row r="16" spans="1:14" ht="18" customHeight="1">
      <c r="A16" s="86" t="s">
        <v>453</v>
      </c>
      <c r="B16" s="86"/>
      <c r="C16" s="86"/>
      <c r="D16" s="86"/>
      <c r="E16" s="86"/>
      <c r="F16" s="91">
        <f>_xlfn.IFNA(VLOOKUP(封面!B1,'2021决算导出'!A:AO,41,FALSE),"")</f>
        <v>0</v>
      </c>
      <c r="G16" s="91" t="s">
        <v>179</v>
      </c>
      <c r="H16" s="7" t="s">
        <v>179</v>
      </c>
      <c r="I16" s="7" t="s">
        <v>450</v>
      </c>
      <c r="L16" s="91">
        <f>_xlfn.IFNA(VLOOKUP(封面!B1,'2021决算导出'!A:AP,42,FALSE),"")</f>
        <v>0</v>
      </c>
      <c r="M16" s="91" t="s">
        <v>179</v>
      </c>
      <c r="N16" s="7" t="s">
        <v>179</v>
      </c>
    </row>
    <row r="17" spans="1:14" ht="18" customHeight="1">
      <c r="A17" s="15" t="str">
        <f>IF(F16&gt;L16,"增加","减少")</f>
        <v>减少</v>
      </c>
      <c r="B17" s="91">
        <f>ABS(F16-L16)</f>
        <v>0</v>
      </c>
      <c r="C17" s="91"/>
      <c r="D17" s="7" t="s">
        <v>215</v>
      </c>
    </row>
    <row r="18" spans="1:14" ht="36" customHeight="1">
      <c r="A18" s="84" t="s">
        <v>222</v>
      </c>
      <c r="B18" s="84"/>
      <c r="C18" s="84"/>
      <c r="D18" s="84"/>
      <c r="E18" s="84"/>
      <c r="F18" s="84"/>
      <c r="G18" s="84"/>
      <c r="H18" s="84"/>
      <c r="I18" s="84"/>
      <c r="J18" s="84"/>
      <c r="K18" s="84"/>
      <c r="L18" s="84"/>
      <c r="M18" s="84"/>
      <c r="N18" s="84"/>
    </row>
    <row r="19" spans="1:14" ht="18" customHeight="1">
      <c r="A19" s="88" t="s">
        <v>454</v>
      </c>
      <c r="B19" s="88"/>
      <c r="C19" s="88"/>
      <c r="D19" s="88"/>
      <c r="E19" s="88"/>
      <c r="F19" s="88"/>
      <c r="G19" s="91">
        <f>_xlfn.IFNA(VLOOKUP(封面!B1,'2021决算导出'!A:AQ,43,FALSE),"")</f>
        <v>0</v>
      </c>
      <c r="H19" s="91" t="s">
        <v>179</v>
      </c>
      <c r="I19" s="7" t="s">
        <v>179</v>
      </c>
      <c r="J19" s="7" t="s">
        <v>223</v>
      </c>
      <c r="L19" s="91">
        <f>_xlfn.IFNA(VLOOKUP(封面!B1,'2021决算导出'!A:AR,44,FALSE),"")</f>
        <v>0</v>
      </c>
      <c r="M19" s="91" t="s">
        <v>179</v>
      </c>
      <c r="N19" s="7" t="s">
        <v>179</v>
      </c>
    </row>
    <row r="20" spans="1:14" ht="18" customHeight="1">
      <c r="A20" s="88" t="s">
        <v>224</v>
      </c>
      <c r="B20" s="88"/>
      <c r="C20" s="91">
        <f>_xlfn.IFNA(VLOOKUP(封面!B1,'2021决算导出'!A:AS,45,FALSE),"")</f>
        <v>0</v>
      </c>
      <c r="D20" s="91" t="s">
        <v>179</v>
      </c>
      <c r="E20" s="7" t="s">
        <v>179</v>
      </c>
      <c r="F20" s="88" t="s">
        <v>225</v>
      </c>
      <c r="G20" s="88"/>
      <c r="H20" s="88"/>
      <c r="I20" s="91">
        <f>_xlfn.IFNA(VLOOKUP(封面!B1,'2021决算导出'!A:AT,46,FALSE),"")</f>
        <v>0</v>
      </c>
      <c r="J20" s="91" t="s">
        <v>179</v>
      </c>
      <c r="K20" s="7" t="s">
        <v>215</v>
      </c>
    </row>
    <row r="21" spans="1:14" ht="18" customHeight="1">
      <c r="A21" s="88" t="s">
        <v>455</v>
      </c>
      <c r="B21" s="88"/>
      <c r="C21" s="88"/>
      <c r="D21" s="8">
        <f>_xlfn.IFNA(VLOOKUP(封面!B1,'2021决算导出'!A:AU,47,FALSE),"")</f>
        <v>0</v>
      </c>
      <c r="E21" s="85" t="s">
        <v>407</v>
      </c>
      <c r="F21" s="85"/>
      <c r="G21" s="85"/>
      <c r="H21" s="85"/>
      <c r="I21" s="85"/>
      <c r="J21" s="85"/>
      <c r="K21" s="85"/>
      <c r="L21" s="85"/>
      <c r="M21" s="54" t="e">
        <f>F16/D21</f>
        <v>#DIV/0!</v>
      </c>
      <c r="N21" s="7" t="s">
        <v>215</v>
      </c>
    </row>
    <row r="22" spans="1:14" ht="18" customHeight="1">
      <c r="A22" s="6" t="s">
        <v>226</v>
      </c>
    </row>
    <row r="23" spans="1:14" ht="18" customHeight="1">
      <c r="A23" s="7" t="s">
        <v>227</v>
      </c>
    </row>
    <row r="24" spans="1:14" ht="18" customHeight="1">
      <c r="A24" s="6" t="s">
        <v>228</v>
      </c>
    </row>
    <row r="25" spans="1:14" ht="18" customHeight="1">
      <c r="A25" s="88" t="s">
        <v>456</v>
      </c>
      <c r="B25" s="88"/>
      <c r="C25" s="88"/>
      <c r="D25" s="88"/>
      <c r="E25" s="83">
        <f>_xlfn.IFNA(VLOOKUP(封面!B1,'2021决算导出'!A:AW,49,FALSE),"")</f>
        <v>369000</v>
      </c>
      <c r="F25" s="83"/>
      <c r="G25" s="7" t="s">
        <v>179</v>
      </c>
      <c r="H25" s="88" t="s">
        <v>229</v>
      </c>
      <c r="I25" s="88"/>
      <c r="J25" s="88"/>
      <c r="K25" s="88"/>
      <c r="L25" s="83">
        <f>_xlfn.IFNA(VLOOKUP(封面!B1,'2021决算导出'!A:AX,50,FALSE),"")</f>
        <v>369000</v>
      </c>
      <c r="M25" s="83" t="s">
        <v>179</v>
      </c>
      <c r="N25" s="7" t="s">
        <v>179</v>
      </c>
    </row>
    <row r="26" spans="1:14" ht="18" customHeight="1">
      <c r="A26" s="88" t="s">
        <v>230</v>
      </c>
      <c r="B26" s="88"/>
      <c r="C26" s="88"/>
      <c r="D26" s="83">
        <f>_xlfn.IFNA(VLOOKUP(封面!B1,'2021决算导出'!A:AY,51,FALSE),"")</f>
        <v>0</v>
      </c>
      <c r="E26" s="83" t="s">
        <v>179</v>
      </c>
      <c r="F26" s="7" t="s">
        <v>179</v>
      </c>
      <c r="G26" s="88" t="s">
        <v>231</v>
      </c>
      <c r="H26" s="88"/>
      <c r="I26" s="88"/>
      <c r="J26" s="83">
        <f>_xlfn.IFNA(VLOOKUP(封面!B1,'2021决算导出'!A:AZ,52,FALSE),"")</f>
        <v>0</v>
      </c>
      <c r="K26" s="83" t="s">
        <v>179</v>
      </c>
      <c r="L26" s="7" t="s">
        <v>215</v>
      </c>
    </row>
    <row r="27" spans="1:14" ht="18" customHeight="1">
      <c r="A27" s="88" t="s">
        <v>232</v>
      </c>
      <c r="B27" s="88"/>
      <c r="C27" s="88"/>
      <c r="D27" s="88"/>
      <c r="E27" s="83">
        <f>_xlfn.IFNA(VLOOKUP(封面!B1,'2021决算导出'!A:BA,53,FALSE),"")</f>
        <v>0</v>
      </c>
      <c r="F27" s="83" t="s">
        <v>179</v>
      </c>
      <c r="G27" s="7" t="s">
        <v>179</v>
      </c>
      <c r="H27" s="86" t="s">
        <v>233</v>
      </c>
      <c r="I27" s="86"/>
      <c r="J27" s="86"/>
      <c r="K27" s="29">
        <f>E27/$E$25</f>
        <v>0</v>
      </c>
      <c r="L27" s="18" t="s">
        <v>314</v>
      </c>
      <c r="M27" s="7" t="s">
        <v>408</v>
      </c>
    </row>
    <row r="28" spans="1:14" ht="18" customHeight="1">
      <c r="A28" s="88" t="s">
        <v>234</v>
      </c>
      <c r="B28" s="88"/>
      <c r="C28" s="88"/>
      <c r="D28" s="88"/>
      <c r="E28" s="83">
        <f>_xlfn.IFNA(VLOOKUP(封面!B1,'2021决算导出'!A:BB,54,FALSE),"")</f>
        <v>0</v>
      </c>
      <c r="F28" s="83" t="s">
        <v>179</v>
      </c>
      <c r="G28" s="7" t="s">
        <v>179</v>
      </c>
      <c r="H28" s="86" t="s">
        <v>233</v>
      </c>
      <c r="I28" s="86"/>
      <c r="J28" s="86"/>
      <c r="K28" s="29">
        <f>E28/$E$25</f>
        <v>0</v>
      </c>
      <c r="L28" s="18" t="s">
        <v>316</v>
      </c>
    </row>
    <row r="29" spans="1:14" ht="18" customHeight="1">
      <c r="A29" s="6" t="s">
        <v>235</v>
      </c>
    </row>
    <row r="30" spans="1:14" ht="18" customHeight="1">
      <c r="A30" s="88" t="s">
        <v>457</v>
      </c>
      <c r="B30" s="88"/>
      <c r="C30" s="8">
        <f>_xlfn.IFNA(VLOOKUP(封面!B1,'2021决算导出'!A:BC,55,FALSE),"")</f>
        <v>0</v>
      </c>
      <c r="D30" s="7" t="s">
        <v>236</v>
      </c>
      <c r="M30" s="91">
        <f>_xlfn.IFNA(VLOOKUP(封面!B1,'2021决算导出'!A:BD,56,FALSE),"")</f>
        <v>0</v>
      </c>
      <c r="N30" s="91" t="s">
        <v>179</v>
      </c>
    </row>
    <row r="31" spans="1:14" ht="18" customHeight="1">
      <c r="A31" s="12" t="s">
        <v>237</v>
      </c>
      <c r="B31" s="88" t="s">
        <v>238</v>
      </c>
      <c r="C31" s="88"/>
      <c r="D31" s="88"/>
      <c r="E31" s="88"/>
      <c r="F31" s="88"/>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4" t="s">
        <v>474</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0E399-9A35-4F04-9B77-69D567DBBFF4}">
  <dimension ref="A10:N11"/>
  <sheetViews>
    <sheetView topLeftCell="A22" zoomScale="90" zoomScaleNormal="90" workbookViewId="0">
      <selection activeCell="A10" sqref="A10:N10"/>
    </sheetView>
  </sheetViews>
  <sheetFormatPr defaultRowHeight="13.8"/>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BEC-2CC3-4109-B995-FDA75E71AD7F}">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7.33203125" style="69" customWidth="1"/>
    <col min="2" max="2" width="15.44140625" style="61" customWidth="1"/>
    <col min="3" max="3" width="5.88671875" style="61" customWidth="1"/>
    <col min="4" max="6" width="13.33203125" style="61" customWidth="1"/>
    <col min="7" max="8" width="12.44140625" style="61" customWidth="1"/>
    <col min="9" max="9" width="9" style="61" customWidth="1"/>
    <col min="10" max="10" width="12.21875" style="61" customWidth="1"/>
    <col min="11" max="13" width="13.33203125" style="61" customWidth="1"/>
    <col min="14" max="14" width="12.6640625" style="61" customWidth="1"/>
    <col min="15" max="20" width="13.33203125" style="61" customWidth="1"/>
    <col min="21" max="21" width="11.5546875" style="61" customWidth="1"/>
    <col min="22" max="22" width="13.33203125" style="61" customWidth="1"/>
    <col min="23" max="23" width="11" style="61" customWidth="1"/>
    <col min="24" max="24" width="11.6640625" style="70" customWidth="1"/>
    <col min="25" max="25" width="10.5546875" style="61" customWidth="1"/>
    <col min="26" max="26" width="10.33203125" style="61" customWidth="1"/>
    <col min="27" max="27" width="13.33203125" style="61" customWidth="1"/>
    <col min="28" max="28" width="11" style="61" customWidth="1"/>
    <col min="29" max="29" width="10.88671875" style="61" customWidth="1"/>
    <col min="30" max="34" width="7.5546875" style="61" customWidth="1"/>
    <col min="35" max="35" width="13.33203125" style="61" customWidth="1"/>
    <col min="36" max="36" width="11.21875" style="61" customWidth="1"/>
    <col min="37" max="40" width="6.88671875" style="61" customWidth="1"/>
    <col min="41" max="41" width="12.44140625" style="61" customWidth="1"/>
    <col min="42" max="42" width="11.77734375" style="61" customWidth="1"/>
    <col min="43" max="46" width="11.109375" style="61" customWidth="1"/>
    <col min="47" max="47" width="8.5546875" style="61" customWidth="1"/>
    <col min="48" max="51" width="13.33203125" style="61" customWidth="1"/>
    <col min="52" max="52" width="12.33203125" style="61" customWidth="1"/>
    <col min="53" max="53" width="12" style="61" customWidth="1"/>
    <col min="54" max="54" width="13.33203125" style="61" customWidth="1"/>
    <col min="55" max="55" width="10" style="61" customWidth="1"/>
    <col min="56" max="56" width="13.33203125" style="61" customWidth="1"/>
    <col min="57" max="57" width="9" style="61" customWidth="1"/>
    <col min="58" max="58" width="9.5546875" style="61" customWidth="1"/>
    <col min="59" max="16384" width="8.88671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7"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7"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7"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7"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7"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7"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7"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7"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7"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7"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7"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7"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7"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7"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7"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7"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7"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7"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7"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7"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7"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7"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7"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7"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7"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7"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7"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7"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7"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7"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7"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7"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7"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7"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7"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7"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7"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7"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7"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7"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7"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7"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7"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7"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7"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7"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7"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7"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7"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7"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7"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7"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7"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7"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7"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7"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7"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7"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7"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7"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7"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7"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7"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7"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7"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7"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7"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7"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7"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7"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7"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7"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7"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7"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7"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7"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7"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7"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7"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7"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7"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7"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7"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7"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7"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7"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7"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7"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7"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7"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7"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7"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7"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7"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7"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7"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7"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7"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7"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7"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7"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7"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7"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7"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7"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7"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7"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7"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7"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7"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7"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7"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7"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7"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7"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7"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7"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7"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7"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7"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7"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7"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7"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7"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7"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7"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7"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7"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7"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7"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7"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7"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7"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7"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7"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7"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7"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7"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7"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7"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7"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7"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7"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7"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7"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7"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7"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7"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7"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7"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7"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7"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7"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7"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7"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7"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7"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7"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7"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7"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7"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7"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7"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79D89-F3DD-419B-BF31-55136D48D4C9}">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6"/>
    <col min="2" max="2" width="18.88671875" style="36" customWidth="1"/>
    <col min="3" max="3" width="8.88671875" style="36"/>
    <col min="4" max="4" width="11.109375" style="73" customWidth="1"/>
    <col min="5" max="5" width="8.88671875" style="73"/>
    <col min="6" max="10" width="8.88671875" style="36"/>
    <col min="11" max="11" width="8.88671875" style="73"/>
    <col min="12" max="14" width="8.88671875" style="36"/>
    <col min="15" max="15" width="8.88671875" style="73"/>
    <col min="16" max="16384" width="8.88671875" style="36"/>
  </cols>
  <sheetData>
    <row r="1" spans="1:58" ht="60">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30D-8A37-497E-9CCC-8AB24FFD3851}">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6"/>
    <col min="2" max="2" width="24.21875" style="36" customWidth="1"/>
    <col min="3" max="3" width="16.5546875" style="36" customWidth="1"/>
    <col min="4" max="4" width="13.109375" style="36" customWidth="1"/>
    <col min="5" max="5" width="14.44140625" style="36" customWidth="1"/>
    <col min="6" max="6" width="15.21875" style="36" customWidth="1"/>
    <col min="7" max="16384" width="8.88671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李洁</cp:lastModifiedBy>
  <cp:lastPrinted>2022-08-25T04:56:47Z</cp:lastPrinted>
  <dcterms:created xsi:type="dcterms:W3CDTF">2021-08-26T09:47:38Z</dcterms:created>
  <dcterms:modified xsi:type="dcterms:W3CDTF">2022-08-31T07:21:04Z</dcterms:modified>
</cp:coreProperties>
</file>