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0730" windowHeight="1176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F84" i="5"/>
  <c r="A82" i="5"/>
  <c r="A11" i="1"/>
  <c r="D10" i="5"/>
  <c r="J10" i="5" s="1"/>
  <c r="H10" i="5" l="1"/>
  <c r="K10" i="5" s="1"/>
  <c r="G10" i="5"/>
  <c r="G95" i="5"/>
  <c r="J87" i="5"/>
  <c r="E87" i="5"/>
  <c r="D85"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1860" i="10" l="1"/>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E1792" i="10"/>
  <c r="D1792" i="10" s="1"/>
  <c r="C1792" i="10" s="1"/>
  <c r="E1791" i="10"/>
  <c r="D1791" i="10" s="1"/>
  <c r="E1790" i="10"/>
  <c r="D1790" i="10" s="1"/>
  <c r="C1790" i="10" s="1"/>
  <c r="E1789" i="10"/>
  <c r="D1789" i="10" s="1"/>
  <c r="C1789" i="10" s="1"/>
  <c r="E1788" i="10"/>
  <c r="D1788" i="10" s="1"/>
  <c r="C1788" i="10" s="1"/>
  <c r="E1787" i="10"/>
  <c r="D1787" i="10" s="1"/>
  <c r="E1786" i="10"/>
  <c r="D1786" i="10" s="1"/>
  <c r="C1786" i="10" s="1"/>
  <c r="E1785" i="10"/>
  <c r="D1785" i="10" s="1"/>
  <c r="C1785" i="10" s="1"/>
  <c r="E1784" i="10"/>
  <c r="D1784" i="10" s="1"/>
  <c r="C1784" i="10" s="1"/>
  <c r="E1783" i="10"/>
  <c r="D1783" i="10" s="1"/>
  <c r="C1783" i="10" s="1"/>
  <c r="E1782" i="10"/>
  <c r="D1782" i="10" s="1"/>
  <c r="E1781" i="10"/>
  <c r="D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E1748" i="10"/>
  <c r="D1748" i="10" s="1"/>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s="1"/>
  <c r="C1687" i="10" s="1"/>
  <c r="E1686" i="10"/>
  <c r="D1686" i="10" s="1"/>
  <c r="C1686" i="10" s="1"/>
  <c r="E1685" i="10"/>
  <c r="D1685" i="10" s="1"/>
  <c r="C1685" i="10" s="1"/>
  <c r="E1684" i="10"/>
  <c r="D1684" i="10" s="1"/>
  <c r="C1684" i="10" s="1"/>
  <c r="E1683" i="10"/>
  <c r="D1683" i="10" s="1"/>
  <c r="C1683" i="10" s="1"/>
  <c r="E1682" i="10"/>
  <c r="D1682" i="10" s="1"/>
  <c r="C1682" i="10" s="1"/>
  <c r="E1681" i="10"/>
  <c r="D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E1647" i="10"/>
  <c r="D1647" i="10" s="1"/>
  <c r="C1647" i="10" s="1"/>
  <c r="E1646" i="10"/>
  <c r="D1646" i="10" s="1"/>
  <c r="C1646" i="10" s="1"/>
  <c r="E1645" i="10"/>
  <c r="D1645" i="10" s="1"/>
  <c r="C1645" i="10" s="1"/>
  <c r="E1644" i="10"/>
  <c r="D1644" i="10" s="1"/>
  <c r="C1644" i="10" s="1"/>
  <c r="E1643" i="10"/>
  <c r="D1643" i="10" s="1"/>
  <c r="C1643" i="10" s="1"/>
  <c r="E1642" i="10"/>
  <c r="D1642" i="10" s="1"/>
  <c r="C1642" i="10" s="1"/>
  <c r="E1641" i="10"/>
  <c r="D1641" i="10" s="1"/>
  <c r="C1641" i="10" s="1"/>
  <c r="E1640" i="10"/>
  <c r="D1640" i="10" s="1"/>
  <c r="C1640" i="10" s="1"/>
  <c r="E1639" i="10"/>
  <c r="D1639" i="10" s="1"/>
  <c r="C1639" i="10" s="1"/>
  <c r="E1638" i="10"/>
  <c r="D1638" i="10" s="1"/>
  <c r="C1638" i="10" s="1"/>
  <c r="E1637" i="10"/>
  <c r="D1637" i="10" s="1"/>
  <c r="E1636" i="10"/>
  <c r="D1636" i="10" s="1"/>
  <c r="C1636" i="10" s="1"/>
  <c r="E1635" i="10"/>
  <c r="D1635" i="10" s="1"/>
  <c r="C1635" i="10" s="1"/>
  <c r="E1634" i="10"/>
  <c r="D1634" i="10" s="1"/>
  <c r="C1634" i="10" s="1"/>
  <c r="E1633" i="10"/>
  <c r="D1633" i="10" s="1"/>
  <c r="C1633" i="10" s="1"/>
  <c r="E1632" i="10"/>
  <c r="D1632" i="10" s="1"/>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s="1"/>
  <c r="C1612" i="10" s="1"/>
  <c r="E1611" i="10"/>
  <c r="D1611" i="10" s="1"/>
  <c r="C1611" i="10" s="1"/>
  <c r="E1610" i="10"/>
  <c r="D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s="1"/>
  <c r="C1559" i="10" s="1"/>
  <c r="E1558" i="10"/>
  <c r="D1558" i="10" s="1"/>
  <c r="E1557" i="10"/>
  <c r="D1557" i="10" s="1"/>
  <c r="C1557" i="10" s="1"/>
  <c r="E1556" i="10"/>
  <c r="D1556" i="10" s="1"/>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E1517" i="10"/>
  <c r="D1517" i="10" s="1"/>
  <c r="C1517" i="10" s="1"/>
  <c r="E1516" i="10"/>
  <c r="D1516" i="10" s="1"/>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E1497" i="10"/>
  <c r="D1497" i="10" s="1"/>
  <c r="C1497" i="10" s="1"/>
  <c r="E1496" i="10"/>
  <c r="D1496" i="10" s="1"/>
  <c r="C1496" i="10" s="1"/>
  <c r="E1495" i="10"/>
  <c r="D1495" i="10" s="1"/>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E1458" i="10"/>
  <c r="D1458" i="10" s="1"/>
  <c r="C1458" i="10" s="1"/>
  <c r="E1457" i="10"/>
  <c r="D1457" i="10" s="1"/>
  <c r="C1457" i="10" s="1"/>
  <c r="E1456" i="10"/>
  <c r="D1456" i="10" s="1"/>
  <c r="C1456" i="10" s="1"/>
  <c r="E1455" i="10"/>
  <c r="D1455" i="10" s="1"/>
  <c r="C1455" i="10" s="1"/>
  <c r="E1454" i="10"/>
  <c r="D1454" i="10" s="1"/>
  <c r="C1454" i="10" s="1"/>
  <c r="E1453" i="10"/>
  <c r="D1453" i="10" s="1"/>
  <c r="E1452" i="10"/>
  <c r="D1452" i="10" s="1"/>
  <c r="C1452" i="10" s="1"/>
  <c r="E1451" i="10"/>
  <c r="D1451" i="10" s="1"/>
  <c r="C1451" i="10" s="1"/>
  <c r="E1450" i="10"/>
  <c r="D1450" i="10" s="1"/>
  <c r="C1450" i="10" s="1"/>
  <c r="E1449" i="10"/>
  <c r="D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E1439" i="10"/>
  <c r="D1439" i="10" s="1"/>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E1428" i="10"/>
  <c r="D1428" i="10" s="1"/>
  <c r="C1428" i="10" s="1"/>
  <c r="E1427" i="10"/>
  <c r="D1427" i="10" s="1"/>
  <c r="C1427" i="10" s="1"/>
  <c r="E1426" i="10"/>
  <c r="D1426" i="10" s="1"/>
  <c r="C1426" i="10" s="1"/>
  <c r="E1425" i="10"/>
  <c r="D1425" i="10" s="1"/>
  <c r="C1425" i="10" s="1"/>
  <c r="E1424" i="10"/>
  <c r="D1424" i="10" s="1"/>
  <c r="C1424" i="10" s="1"/>
  <c r="E1423" i="10"/>
  <c r="D1423" i="10" s="1"/>
  <c r="C1423" i="10" s="1"/>
  <c r="E1422" i="10"/>
  <c r="D1422" i="10" s="1"/>
  <c r="C1422" i="10" s="1"/>
  <c r="E1421" i="10"/>
  <c r="D1421" i="10" s="1"/>
  <c r="C1421" i="10" s="1"/>
  <c r="E1420" i="10"/>
  <c r="D1420" i="10" s="1"/>
  <c r="C1420" i="10" s="1"/>
  <c r="E1419" i="10"/>
  <c r="D1419" i="10" s="1"/>
  <c r="E1418" i="10"/>
  <c r="D1418" i="10" s="1"/>
  <c r="C1418" i="10" s="1"/>
  <c r="E1417" i="10"/>
  <c r="D1417" i="10" s="1"/>
  <c r="C1417" i="10" s="1"/>
  <c r="E1416" i="10"/>
  <c r="D1416" i="10" s="1"/>
  <c r="C1416" i="10" s="1"/>
  <c r="E1415" i="10"/>
  <c r="D1415" i="10" s="1"/>
  <c r="C1415" i="10" s="1"/>
  <c r="E1414" i="10"/>
  <c r="D1414" i="10" s="1"/>
  <c r="C1414" i="10" s="1"/>
  <c r="E1413" i="10"/>
  <c r="D1413" i="10" s="1"/>
  <c r="C1413" i="10" s="1"/>
  <c r="E1412" i="10"/>
  <c r="D1412" i="10" s="1"/>
  <c r="C1412" i="10" s="1"/>
  <c r="E1411" i="10"/>
  <c r="D1411" i="10" s="1"/>
  <c r="C1411" i="10" s="1"/>
  <c r="E1410" i="10"/>
  <c r="D1410" i="10" s="1"/>
  <c r="C1410" i="10" s="1"/>
  <c r="E1409" i="10"/>
  <c r="D1409" i="10"/>
  <c r="C1409" i="10" s="1"/>
  <c r="E1408" i="10"/>
  <c r="D1408" i="10" s="1"/>
  <c r="C1408" i="10" s="1"/>
  <c r="E1407" i="10"/>
  <c r="D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s="1"/>
  <c r="C1397" i="10" s="1"/>
  <c r="E1396" i="10"/>
  <c r="D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s="1"/>
  <c r="C1386" i="10" s="1"/>
  <c r="E1385" i="10"/>
  <c r="D1385" i="10" s="1"/>
  <c r="E1384" i="10"/>
  <c r="D1384" i="10" s="1"/>
  <c r="C1384" i="10" s="1"/>
  <c r="E1383" i="10"/>
  <c r="D1383" i="10" s="1"/>
  <c r="C1383" i="10" s="1"/>
  <c r="E1382" i="10"/>
  <c r="D1382" i="10" s="1"/>
  <c r="C1382" i="10" s="1"/>
  <c r="E1381" i="10"/>
  <c r="D1381" i="10" s="1"/>
  <c r="C1381" i="10" s="1"/>
  <c r="E1380" i="10"/>
  <c r="D1380" i="10" s="1"/>
  <c r="C1380" i="10" s="1"/>
  <c r="E1379" i="10"/>
  <c r="D1379" i="10" s="1"/>
  <c r="C1379" i="10" s="1"/>
  <c r="E1378" i="10"/>
  <c r="D1378" i="10" s="1"/>
  <c r="C1378" i="10" s="1"/>
  <c r="E1377" i="10"/>
  <c r="D1377" i="10" s="1"/>
  <c r="C1377" i="10" s="1"/>
  <c r="E1376" i="10"/>
  <c r="D1376" i="10" s="1"/>
  <c r="C1376" i="10" s="1"/>
  <c r="E1375" i="10"/>
  <c r="D1375" i="10" s="1"/>
  <c r="C1375" i="10" s="1"/>
  <c r="E1374" i="10"/>
  <c r="D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E1338" i="10"/>
  <c r="D1338" i="10" s="1"/>
  <c r="C1338" i="10" s="1"/>
  <c r="E1337" i="10"/>
  <c r="D1337" i="10" s="1"/>
  <c r="C1337" i="10" s="1"/>
  <c r="E1336" i="10"/>
  <c r="D1336" i="10" s="1"/>
  <c r="C1336" i="10" s="1"/>
  <c r="E1335" i="10"/>
  <c r="D1335" i="10" s="1"/>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s="1"/>
  <c r="C1237" i="10" s="1"/>
  <c r="E1236" i="10"/>
  <c r="D1236" i="10" s="1"/>
  <c r="C1236" i="10" s="1"/>
  <c r="E1235" i="10"/>
  <c r="D1235" i="10" s="1"/>
  <c r="C1235" i="10" s="1"/>
  <c r="E1234" i="10"/>
  <c r="D1234" i="10" s="1"/>
  <c r="C1234" i="10" s="1"/>
  <c r="E1233" i="10"/>
  <c r="D1233" i="10" s="1"/>
  <c r="E1232" i="10"/>
  <c r="D1232" i="10" s="1"/>
  <c r="C1232" i="10" s="1"/>
  <c r="E1231" i="10"/>
  <c r="D1231" i="10" s="1"/>
  <c r="C1231" i="10" s="1"/>
  <c r="E1230" i="10"/>
  <c r="D1230" i="10" s="1"/>
  <c r="C1230" i="10" s="1"/>
  <c r="E1229" i="10"/>
  <c r="D1229" i="10" s="1"/>
  <c r="C1229" i="10" s="1"/>
  <c r="E1228" i="10"/>
  <c r="D1228" i="10" s="1"/>
  <c r="C1228" i="10" s="1"/>
  <c r="E1227" i="10"/>
  <c r="D1227" i="10" s="1"/>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s="1"/>
  <c r="C1178" i="10" s="1"/>
  <c r="E1177" i="10"/>
  <c r="D1177" i="10"/>
  <c r="C1177" i="10" s="1"/>
  <c r="E1176" i="10"/>
  <c r="D1176" i="10" s="1"/>
  <c r="C1176" i="10" s="1"/>
  <c r="E1175" i="10"/>
  <c r="D1175" i="10" s="1"/>
  <c r="C1175" i="10" s="1"/>
  <c r="E1174" i="10"/>
  <c r="D1174" i="10" s="1"/>
  <c r="C1174" i="10" s="1"/>
  <c r="E1173" i="10"/>
  <c r="D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s="1"/>
  <c r="C1137" i="10" s="1"/>
  <c r="E1136" i="10"/>
  <c r="D1136" i="10" s="1"/>
  <c r="E1135" i="10"/>
  <c r="D1135" i="10" s="1"/>
  <c r="C1135" i="10" s="1"/>
  <c r="E1134" i="10"/>
  <c r="D1134" i="10" s="1"/>
  <c r="C1134" i="10" s="1"/>
  <c r="E1133" i="10"/>
  <c r="D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E1119" i="10"/>
  <c r="D1119" i="10" s="1"/>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E1001" i="10"/>
  <c r="D1001" i="10"/>
  <c r="C1001" i="10" s="1"/>
  <c r="E1000" i="10"/>
  <c r="D1000" i="10" s="1"/>
  <c r="C1000" i="10" s="1"/>
  <c r="E999" i="10"/>
  <c r="D999" i="10" s="1"/>
  <c r="C999" i="10" s="1"/>
  <c r="E998" i="10"/>
  <c r="D998" i="10" s="1"/>
  <c r="C998" i="10" s="1"/>
  <c r="E997" i="10"/>
  <c r="D997" i="10" s="1"/>
  <c r="C997" i="10" s="1"/>
  <c r="E996" i="10"/>
  <c r="D996" i="10" s="1"/>
  <c r="C996" i="10" s="1"/>
  <c r="E995" i="10"/>
  <c r="D995" i="10" s="1"/>
  <c r="C995" i="10" s="1"/>
  <c r="E994" i="10"/>
  <c r="D994" i="10" s="1"/>
  <c r="C994" i="10" s="1"/>
  <c r="E993" i="10"/>
  <c r="D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E982" i="10"/>
  <c r="D982" i="10" s="1"/>
  <c r="E981" i="10"/>
  <c r="D981" i="10" s="1"/>
  <c r="C981" i="10" s="1"/>
  <c r="E980" i="10"/>
  <c r="D980" i="10" s="1"/>
  <c r="C980" i="10" s="1"/>
  <c r="E979" i="10"/>
  <c r="D979" i="10" s="1"/>
  <c r="C979" i="10" s="1"/>
  <c r="E978" i="10"/>
  <c r="D978" i="10" s="1"/>
  <c r="C978" i="10" s="1"/>
  <c r="E977" i="10"/>
  <c r="D977" i="10" s="1"/>
  <c r="C977" i="10" s="1"/>
  <c r="E976" i="10"/>
  <c r="D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s="1"/>
  <c r="C969" i="10" s="1"/>
  <c r="E968" i="10"/>
  <c r="D968" i="10" s="1"/>
  <c r="C968" i="10" s="1"/>
  <c r="E967" i="10"/>
  <c r="D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E938" i="10"/>
  <c r="D938" i="10" s="1"/>
  <c r="E937" i="10"/>
  <c r="D937" i="10"/>
  <c r="C937" i="10" s="1"/>
  <c r="E936" i="10"/>
  <c r="D936" i="10" s="1"/>
  <c r="C936" i="10" s="1"/>
  <c r="E935" i="10"/>
  <c r="D935" i="10" s="1"/>
  <c r="C935" i="10" s="1"/>
  <c r="E934" i="10"/>
  <c r="D934" i="10" s="1"/>
  <c r="C934" i="10" s="1"/>
  <c r="E933" i="10"/>
  <c r="D933" i="10" s="1"/>
  <c r="C933" i="10" s="1"/>
  <c r="E932" i="10"/>
  <c r="D932" i="10" s="1"/>
  <c r="C932" i="10" s="1"/>
  <c r="E931" i="10"/>
  <c r="D931" i="10" s="1"/>
  <c r="C931" i="10" s="1"/>
  <c r="E930" i="10"/>
  <c r="D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E909" i="10"/>
  <c r="D909" i="10" s="1"/>
  <c r="C909" i="10" s="1"/>
  <c r="E908" i="10"/>
  <c r="D908" i="10" s="1"/>
  <c r="E907" i="10"/>
  <c r="D907" i="10" s="1"/>
  <c r="C907" i="10" s="1"/>
  <c r="E906" i="10"/>
  <c r="D906" i="10" s="1"/>
  <c r="C906" i="10" s="1"/>
  <c r="E905" i="10"/>
  <c r="D905" i="10" s="1"/>
  <c r="C905" i="10" s="1"/>
  <c r="E904" i="10"/>
  <c r="D904" i="10" s="1"/>
  <c r="C904" i="10" s="1"/>
  <c r="E903" i="10"/>
  <c r="D903" i="10" s="1"/>
  <c r="C903" i="10" s="1"/>
  <c r="E902" i="10"/>
  <c r="D902" i="10" s="1"/>
  <c r="C902" i="10" s="1"/>
  <c r="E901" i="10"/>
  <c r="D901" i="10"/>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s="1"/>
  <c r="C893" i="10" s="1"/>
  <c r="E892" i="10"/>
  <c r="D892" i="10" s="1"/>
  <c r="C892" i="10" s="1"/>
  <c r="E891" i="10"/>
  <c r="D891" i="10" s="1"/>
  <c r="E890" i="10"/>
  <c r="D890" i="10" s="1"/>
  <c r="C890" i="10" s="1"/>
  <c r="E889" i="10"/>
  <c r="D889" i="10" s="1"/>
  <c r="C889" i="10" s="1"/>
  <c r="E888" i="10"/>
  <c r="D888" i="10" s="1"/>
  <c r="E887" i="10"/>
  <c r="D887" i="10" s="1"/>
  <c r="C887" i="10" s="1"/>
  <c r="E886" i="10"/>
  <c r="D886" i="10" s="1"/>
  <c r="C886" i="10" s="1"/>
  <c r="E885" i="10"/>
  <c r="D885" i="10"/>
  <c r="C885" i="10" s="1"/>
  <c r="E884" i="10"/>
  <c r="D884" i="10" s="1"/>
  <c r="C884" i="10" s="1"/>
  <c r="E883" i="10"/>
  <c r="D883" i="10" s="1"/>
  <c r="C883" i="10" s="1"/>
  <c r="E882" i="10"/>
  <c r="D882" i="10" s="1"/>
  <c r="C882" i="10" s="1"/>
  <c r="E881" i="10"/>
  <c r="D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E870" i="10"/>
  <c r="D870" i="10" s="1"/>
  <c r="C870" i="10" s="1"/>
  <c r="E869" i="10"/>
  <c r="D869" i="10" s="1"/>
  <c r="C869" i="10"/>
  <c r="E868" i="10"/>
  <c r="D868" i="10" s="1"/>
  <c r="C868" i="10" s="1"/>
  <c r="E867" i="10"/>
  <c r="D867" i="10" s="1"/>
  <c r="C867" i="10" s="1"/>
  <c r="E866" i="10"/>
  <c r="D866" i="10"/>
  <c r="C866" i="10" s="1"/>
  <c r="E865" i="10"/>
  <c r="D865" i="10" s="1"/>
  <c r="C865" i="10" s="1"/>
  <c r="E864" i="10"/>
  <c r="D864" i="10" s="1"/>
  <c r="C864" i="10" s="1"/>
  <c r="E863" i="10"/>
  <c r="D863" i="10" s="1"/>
  <c r="C863" i="10" s="1"/>
  <c r="E862" i="10"/>
  <c r="D862" i="10" s="1"/>
  <c r="C862" i="10" s="1"/>
  <c r="E861" i="10"/>
  <c r="D861" i="10" s="1"/>
  <c r="C861" i="10" s="1"/>
  <c r="E860" i="10"/>
  <c r="D860" i="10" s="1"/>
  <c r="C860" i="10" s="1"/>
  <c r="E859" i="10"/>
  <c r="D859" i="10" s="1"/>
  <c r="E858" i="10"/>
  <c r="D858" i="10" s="1"/>
  <c r="C858" i="10" s="1"/>
  <c r="E857" i="10"/>
  <c r="D857" i="10" s="1"/>
  <c r="C857" i="10" s="1"/>
  <c r="E856" i="10"/>
  <c r="D856" i="10" s="1"/>
  <c r="C856" i="10" s="1"/>
  <c r="E855" i="10"/>
  <c r="D855" i="10" s="1"/>
  <c r="C855" i="10" s="1"/>
  <c r="E854" i="10"/>
  <c r="D854" i="10" s="1"/>
  <c r="C854" i="10" s="1"/>
  <c r="E853" i="10"/>
  <c r="D853" i="10" s="1"/>
  <c r="C853" i="10" s="1"/>
  <c r="E852" i="10"/>
  <c r="D852" i="10" s="1"/>
  <c r="C852" i="10" s="1"/>
  <c r="E851" i="10"/>
  <c r="D851" i="10" s="1"/>
  <c r="C851" i="10" s="1"/>
  <c r="E850" i="10"/>
  <c r="D850" i="10" s="1"/>
  <c r="C850" i="10" s="1"/>
  <c r="E849" i="10"/>
  <c r="D849" i="10" s="1"/>
  <c r="E848" i="10"/>
  <c r="D848" i="10" s="1"/>
  <c r="C848" i="10" s="1"/>
  <c r="E847" i="10"/>
  <c r="D847" i="10" s="1"/>
  <c r="C847" i="10" s="1"/>
  <c r="E846" i="10"/>
  <c r="D846" i="10" s="1"/>
  <c r="C846" i="10" s="1"/>
  <c r="E845" i="10"/>
  <c r="D845" i="10" s="1"/>
  <c r="C845" i="10" s="1"/>
  <c r="E844" i="10"/>
  <c r="D844" i="10" s="1"/>
  <c r="C844" i="10" s="1"/>
  <c r="E843" i="10"/>
  <c r="D843" i="10" s="1"/>
  <c r="C843" i="10" s="1"/>
  <c r="E842" i="10"/>
  <c r="D842" i="10"/>
  <c r="C842" i="10" s="1"/>
  <c r="E841" i="10"/>
  <c r="D841" i="10" s="1"/>
  <c r="C841" i="10" s="1"/>
  <c r="E840" i="10"/>
  <c r="D840" i="10" s="1"/>
  <c r="C840" i="10" s="1"/>
  <c r="E839" i="10"/>
  <c r="D839" i="10"/>
  <c r="E838" i="10"/>
  <c r="D838" i="10" s="1"/>
  <c r="C838" i="10" s="1"/>
  <c r="E837" i="10"/>
  <c r="D837" i="10" s="1"/>
  <c r="C837" i="10" s="1"/>
  <c r="E836" i="10"/>
  <c r="D836" i="10" s="1"/>
  <c r="C836" i="10" s="1"/>
  <c r="E835" i="10"/>
  <c r="D835" i="10" s="1"/>
  <c r="C835" i="10" s="1"/>
  <c r="E834" i="10"/>
  <c r="D834" i="10" s="1"/>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E811" i="10"/>
  <c r="D811" i="10" s="1"/>
  <c r="C811" i="10" s="1"/>
  <c r="E810" i="10"/>
  <c r="D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s="1"/>
  <c r="C801" i="10" s="1"/>
  <c r="E800" i="10"/>
  <c r="D800" i="10" s="1"/>
  <c r="E799" i="10"/>
  <c r="D799" i="10" s="1"/>
  <c r="C799" i="10" s="1"/>
  <c r="E798" i="10"/>
  <c r="D798" i="10"/>
  <c r="C798" i="10" s="1"/>
  <c r="E797" i="10"/>
  <c r="D797" i="10" s="1"/>
  <c r="C797" i="10" s="1"/>
  <c r="E796" i="10"/>
  <c r="D796" i="10" s="1"/>
  <c r="C796" i="10" s="1"/>
  <c r="E795" i="10"/>
  <c r="D795" i="10" s="1"/>
  <c r="C795" i="10" s="1"/>
  <c r="E794" i="10"/>
  <c r="D794" i="10" s="1"/>
  <c r="C794" i="10" s="1"/>
  <c r="E793" i="10"/>
  <c r="D793" i="10" s="1"/>
  <c r="C793" i="10" s="1"/>
  <c r="E792" i="10"/>
  <c r="D792" i="10" s="1"/>
  <c r="E791" i="10"/>
  <c r="D791" i="10" s="1"/>
  <c r="C791" i="10" s="1"/>
  <c r="E790" i="10"/>
  <c r="D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E758" i="10"/>
  <c r="D758" i="10" s="1"/>
  <c r="C758" i="10" s="1"/>
  <c r="E757" i="10"/>
  <c r="D757" i="10" s="1"/>
  <c r="C757" i="10" s="1"/>
  <c r="E756" i="10"/>
  <c r="D756" i="10" s="1"/>
  <c r="C756" i="10" s="1"/>
  <c r="E755" i="10"/>
  <c r="D755" i="10" s="1"/>
  <c r="C755" i="10" s="1"/>
  <c r="E754" i="10"/>
  <c r="D754" i="10" s="1"/>
  <c r="C754" i="10" s="1"/>
  <c r="E753" i="10"/>
  <c r="D753" i="10" s="1"/>
  <c r="C753" i="10" s="1"/>
  <c r="E752" i="10"/>
  <c r="D752" i="10" s="1"/>
  <c r="C752" i="10" s="1"/>
  <c r="E751" i="10"/>
  <c r="D751" i="10" s="1"/>
  <c r="C751" i="10" s="1"/>
  <c r="E750" i="10"/>
  <c r="D750" i="10" s="1"/>
  <c r="C750" i="10" s="1"/>
  <c r="E749" i="10"/>
  <c r="D749" i="10" s="1"/>
  <c r="C749" i="10" s="1"/>
  <c r="E748" i="10"/>
  <c r="D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E736" i="10"/>
  <c r="D736" i="10" s="1"/>
  <c r="C736" i="10" s="1"/>
  <c r="E735" i="10"/>
  <c r="D735" i="10" s="1"/>
  <c r="C735" i="10" s="1"/>
  <c r="E734" i="10"/>
  <c r="D734" i="10"/>
  <c r="C734" i="10" s="1"/>
  <c r="E733" i="10"/>
  <c r="D733" i="10" s="1"/>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s="1"/>
  <c r="C719" i="10" s="1"/>
  <c r="E718" i="10"/>
  <c r="D718" i="10" s="1"/>
  <c r="C718" i="10" s="1"/>
  <c r="E717" i="10"/>
  <c r="D717" i="10" s="1"/>
  <c r="C717" i="10" s="1"/>
  <c r="E716" i="10"/>
  <c r="D716" i="10" s="1"/>
  <c r="C716" i="10" s="1"/>
  <c r="E715" i="10"/>
  <c r="D715" i="10"/>
  <c r="E714" i="10"/>
  <c r="D714" i="10" s="1"/>
  <c r="C714" i="10" s="1"/>
  <c r="E713" i="10"/>
  <c r="D713" i="10" s="1"/>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E691" i="10"/>
  <c r="D691" i="10" s="1"/>
  <c r="C691" i="10" s="1"/>
  <c r="E690" i="10"/>
  <c r="D690" i="10" s="1"/>
  <c r="C690" i="10" s="1"/>
  <c r="E689" i="10"/>
  <c r="D689" i="10" s="1"/>
  <c r="C689" i="10" s="1"/>
  <c r="E688" i="10"/>
  <c r="D688" i="10" s="1"/>
  <c r="C688" i="10" s="1"/>
  <c r="E687" i="10"/>
  <c r="D687" i="10" s="1"/>
  <c r="C687" i="10" s="1"/>
  <c r="E686" i="10"/>
  <c r="D686" i="10" s="1"/>
  <c r="C686" i="10" s="1"/>
  <c r="E685" i="10"/>
  <c r="D685" i="10" s="1"/>
  <c r="C685" i="10" s="1"/>
  <c r="E684" i="10"/>
  <c r="D684" i="10" s="1"/>
  <c r="C684" i="10" s="1"/>
  <c r="E683" i="10"/>
  <c r="D683" i="10" s="1"/>
  <c r="C683" i="10" s="1"/>
  <c r="E682" i="10"/>
  <c r="D682" i="10" s="1"/>
  <c r="C682" i="10" s="1"/>
  <c r="E681" i="10"/>
  <c r="D681" i="10" s="1"/>
  <c r="C681" i="10" s="1"/>
  <c r="E680" i="10"/>
  <c r="D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s="1"/>
  <c r="C657" i="10" s="1"/>
  <c r="E656" i="10"/>
  <c r="D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E630" i="10"/>
  <c r="D630" i="10"/>
  <c r="C630" i="10" s="1"/>
  <c r="E629" i="10"/>
  <c r="D629" i="10" s="1"/>
  <c r="C629" i="10" s="1"/>
  <c r="E628" i="10"/>
  <c r="D628" i="10" s="1"/>
  <c r="C628" i="10" s="1"/>
  <c r="E627" i="10"/>
  <c r="D627" i="10" s="1"/>
  <c r="C627" i="10" s="1"/>
  <c r="E626" i="10"/>
  <c r="D626" i="10"/>
  <c r="C626" i="10" s="1"/>
  <c r="E625" i="10"/>
  <c r="D625" i="10" s="1"/>
  <c r="C625" i="10" s="1"/>
  <c r="E624" i="10"/>
  <c r="D624" i="10" s="1"/>
  <c r="C624" i="10" s="1"/>
  <c r="E623" i="10"/>
  <c r="D623" i="10" s="1"/>
  <c r="C623" i="10" s="1"/>
  <c r="E622" i="10"/>
  <c r="D622" i="10" s="1"/>
  <c r="C622" i="10" s="1"/>
  <c r="E621" i="10"/>
  <c r="D621" i="10" s="1"/>
  <c r="C621" i="10" s="1"/>
  <c r="E620" i="10"/>
  <c r="D620" i="10" s="1"/>
  <c r="C620" i="10" s="1"/>
  <c r="E619" i="10"/>
  <c r="D619" i="10" s="1"/>
  <c r="C619" i="10" s="1"/>
  <c r="E618" i="10"/>
  <c r="D618" i="10" s="1"/>
  <c r="E617" i="10"/>
  <c r="D617" i="10" s="1"/>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s="1"/>
  <c r="C609" i="10" s="1"/>
  <c r="E608" i="10"/>
  <c r="D608" i="10" s="1"/>
  <c r="C608" i="10" s="1"/>
  <c r="E607" i="10"/>
  <c r="D607" i="10" s="1"/>
  <c r="C607" i="10" s="1"/>
  <c r="E606" i="10"/>
  <c r="D606" i="10" s="1"/>
  <c r="C606" i="10" s="1"/>
  <c r="E605" i="10"/>
  <c r="D605" i="10"/>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E593" i="10"/>
  <c r="D593" i="10" s="1"/>
  <c r="C593" i="10" s="1"/>
  <c r="E592" i="10"/>
  <c r="D592" i="10" s="1"/>
  <c r="C592" i="10" s="1"/>
  <c r="E591" i="10"/>
  <c r="D591" i="10" s="1"/>
  <c r="C591" i="10" s="1"/>
  <c r="E590" i="10"/>
  <c r="D590" i="10" s="1"/>
  <c r="C590" i="10" s="1"/>
  <c r="E589" i="10"/>
  <c r="D589" i="10" s="1"/>
  <c r="C589" i="10" s="1"/>
  <c r="E588" i="10"/>
  <c r="D588" i="10" s="1"/>
  <c r="C588" i="10" s="1"/>
  <c r="E587" i="10"/>
  <c r="D587" i="10" s="1"/>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E579" i="10"/>
  <c r="D579" i="10" s="1"/>
  <c r="C579" i="10" s="1"/>
  <c r="E578" i="10"/>
  <c r="D578" i="10" s="1"/>
  <c r="C578" i="10" s="1"/>
  <c r="E577" i="10"/>
  <c r="D577" i="10" s="1"/>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E568" i="10"/>
  <c r="D568" i="10" s="1"/>
  <c r="C568" i="10" s="1"/>
  <c r="E567" i="10"/>
  <c r="D567" i="10" s="1"/>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s="1"/>
  <c r="C535" i="10" s="1"/>
  <c r="E534" i="10"/>
  <c r="D534" i="10"/>
  <c r="C534" i="10" s="1"/>
  <c r="E533" i="10"/>
  <c r="D533" i="10" s="1"/>
  <c r="E532" i="10"/>
  <c r="D532" i="10" s="1"/>
  <c r="C532" i="10" s="1"/>
  <c r="E531" i="10"/>
  <c r="D531" i="10" s="1"/>
  <c r="C531" i="10" s="1"/>
  <c r="E530" i="10"/>
  <c r="D530" i="10"/>
  <c r="C530" i="10" s="1"/>
  <c r="E529" i="10"/>
  <c r="D529" i="10"/>
  <c r="C529" i="10" s="1"/>
  <c r="E528" i="10"/>
  <c r="D528" i="10" s="1"/>
  <c r="C528" i="10" s="1"/>
  <c r="E527" i="10"/>
  <c r="D527" i="10" s="1"/>
  <c r="C527" i="10" s="1"/>
  <c r="E526" i="10"/>
  <c r="D526" i="10" s="1"/>
  <c r="C526" i="10" s="1"/>
  <c r="E525" i="10"/>
  <c r="D525" i="10" s="1"/>
  <c r="C525" i="10" s="1"/>
  <c r="E524" i="10"/>
  <c r="D524" i="10" s="1"/>
  <c r="C524" i="10" s="1"/>
  <c r="E523" i="10"/>
  <c r="D523" i="10"/>
  <c r="C523" i="10" s="1"/>
  <c r="E522" i="10"/>
  <c r="D522" i="10" s="1"/>
  <c r="C522" i="10" s="1"/>
  <c r="E521" i="10"/>
  <c r="D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E483" i="10"/>
  <c r="D483" i="10" s="1"/>
  <c r="C483" i="10" s="1"/>
  <c r="E482" i="10"/>
  <c r="D482" i="10" s="1"/>
  <c r="C482" i="10" s="1"/>
  <c r="E481" i="10"/>
  <c r="D481" i="10"/>
  <c r="C481" i="10" s="1"/>
  <c r="E480" i="10"/>
  <c r="D480" i="10" s="1"/>
  <c r="C480" i="10" s="1"/>
  <c r="E479" i="10"/>
  <c r="D479" i="10" s="1"/>
  <c r="C479" i="10" s="1"/>
  <c r="E478" i="10"/>
  <c r="D478" i="10" s="1"/>
  <c r="C478" i="10" s="1"/>
  <c r="E477" i="10"/>
  <c r="D477" i="10"/>
  <c r="C477" i="10"/>
  <c r="E476" i="10"/>
  <c r="D476" i="10" s="1"/>
  <c r="E475" i="10"/>
  <c r="D475" i="10" s="1"/>
  <c r="C475" i="10" s="1"/>
  <c r="E474" i="10"/>
  <c r="D474" i="10" s="1"/>
  <c r="C474" i="10" s="1"/>
  <c r="E473" i="10"/>
  <c r="D473" i="10" s="1"/>
  <c r="C473" i="10" s="1"/>
  <c r="E472" i="10"/>
  <c r="D472" i="10" s="1"/>
  <c r="E471" i="10"/>
  <c r="D471" i="10" s="1"/>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s="1"/>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E447" i="10"/>
  <c r="D447" i="10"/>
  <c r="C447" i="10" s="1"/>
  <c r="E446" i="10"/>
  <c r="D446" i="10" s="1"/>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E436" i="10"/>
  <c r="D436" i="10" s="1"/>
  <c r="C436" i="10" s="1"/>
  <c r="E435" i="10"/>
  <c r="D435" i="10" s="1"/>
  <c r="C435" i="10" s="1"/>
  <c r="E434" i="10"/>
  <c r="D434" i="10" s="1"/>
  <c r="C434" i="10" s="1"/>
  <c r="E433" i="10"/>
  <c r="D433" i="10" s="1"/>
  <c r="C433" i="10" s="1"/>
  <c r="E432" i="10"/>
  <c r="D432" i="10" s="1"/>
  <c r="C432" i="10" s="1"/>
  <c r="E431" i="10"/>
  <c r="D431" i="10" s="1"/>
  <c r="C431" i="10" s="1"/>
  <c r="E430" i="10"/>
  <c r="D430" i="10" s="1"/>
  <c r="C430" i="10" s="1"/>
  <c r="E429" i="10"/>
  <c r="D429" i="10"/>
  <c r="C429" i="10" s="1"/>
  <c r="E428" i="10"/>
  <c r="D428" i="10" s="1"/>
  <c r="E427" i="10"/>
  <c r="D427" i="10" s="1"/>
  <c r="C427" i="10" s="1"/>
  <c r="E426" i="10"/>
  <c r="D426" i="10" s="1"/>
  <c r="C426" i="10" s="1"/>
  <c r="E425" i="10"/>
  <c r="D425" i="10" s="1"/>
  <c r="C425" i="10" s="1"/>
  <c r="E424" i="10"/>
  <c r="D424" i="10" s="1"/>
  <c r="E423" i="10"/>
  <c r="D423" i="10" s="1"/>
  <c r="C423" i="10" s="1"/>
  <c r="E422" i="10"/>
  <c r="D422" i="10" s="1"/>
  <c r="C422" i="10" s="1"/>
  <c r="E421" i="10"/>
  <c r="D421" i="10" s="1"/>
  <c r="C421" i="10" s="1"/>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s="1"/>
  <c r="C405" i="10" s="1"/>
  <c r="E404" i="10"/>
  <c r="D404" i="10" s="1"/>
  <c r="C404" i="10" s="1"/>
  <c r="E403" i="10"/>
  <c r="D403" i="10" s="1"/>
  <c r="C403" i="10" s="1"/>
  <c r="E402" i="10"/>
  <c r="D402" i="10" s="1"/>
  <c r="C402" i="10" s="1"/>
  <c r="E401" i="10"/>
  <c r="D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s="1"/>
  <c r="C394" i="10" s="1"/>
  <c r="E393" i="10"/>
  <c r="D393" i="10"/>
  <c r="C393" i="10" s="1"/>
  <c r="E392" i="10"/>
  <c r="D392" i="10" s="1"/>
  <c r="C392" i="10" s="1"/>
  <c r="E391" i="10"/>
  <c r="D391" i="10" s="1"/>
  <c r="C391" i="10" s="1"/>
  <c r="E390" i="10"/>
  <c r="D390" i="10"/>
  <c r="E389" i="10"/>
  <c r="D389" i="10" s="1"/>
  <c r="C389" i="10" s="1"/>
  <c r="E388" i="10"/>
  <c r="D388" i="10" s="1"/>
  <c r="C388" i="10" s="1"/>
  <c r="E387" i="10"/>
  <c r="D387" i="10" s="1"/>
  <c r="C387" i="10" s="1"/>
  <c r="E386" i="10"/>
  <c r="D386" i="10" s="1"/>
  <c r="C386" i="10" s="1"/>
  <c r="E385" i="10"/>
  <c r="D385" i="10"/>
  <c r="C385" i="10" s="1"/>
  <c r="E384" i="10"/>
  <c r="D384" i="10" s="1"/>
  <c r="C384" i="10" s="1"/>
  <c r="E383" i="10"/>
  <c r="D383" i="10" s="1"/>
  <c r="C383" i="10" s="1"/>
  <c r="E382" i="10"/>
  <c r="D382" i="10"/>
  <c r="C382" i="10" s="1"/>
  <c r="E381" i="10"/>
  <c r="D381" i="10" s="1"/>
  <c r="C381" i="10" s="1"/>
  <c r="E380" i="10"/>
  <c r="D380" i="10" s="1"/>
  <c r="C380" i="10" s="1"/>
  <c r="E379" i="10"/>
  <c r="D379" i="10" s="1"/>
  <c r="C379" i="10" s="1"/>
  <c r="E378" i="10"/>
  <c r="D378" i="10" s="1"/>
  <c r="E377" i="10"/>
  <c r="D377" i="10" s="1"/>
  <c r="C377" i="10" s="1"/>
  <c r="E376" i="10"/>
  <c r="D376" i="10" s="1"/>
  <c r="C376" i="10" s="1"/>
  <c r="E375" i="10"/>
  <c r="D375" i="10" s="1"/>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E365" i="10"/>
  <c r="D365" i="10" s="1"/>
  <c r="C365" i="10" s="1"/>
  <c r="E364" i="10"/>
  <c r="D364" i="10" s="1"/>
  <c r="C364" i="10" s="1"/>
  <c r="E363" i="10"/>
  <c r="D363" i="10"/>
  <c r="C363" i="10" s="1"/>
  <c r="E362" i="10"/>
  <c r="D362" i="10" s="1"/>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E343" i="10"/>
  <c r="D343" i="10" s="1"/>
  <c r="C343" i="10" s="1"/>
  <c r="E342" i="10"/>
  <c r="D342" i="10" s="1"/>
  <c r="C342" i="10" s="1"/>
  <c r="E341" i="10"/>
  <c r="D341" i="10"/>
  <c r="C341" i="10" s="1"/>
  <c r="E340" i="10"/>
  <c r="D340" i="10" s="1"/>
  <c r="C340" i="10" s="1"/>
  <c r="E339" i="10"/>
  <c r="D339" i="10" s="1"/>
  <c r="C339" i="10" s="1"/>
  <c r="E338" i="10"/>
  <c r="D338" i="10"/>
  <c r="C338" i="10" s="1"/>
  <c r="E337" i="10"/>
  <c r="D337" i="10" s="1"/>
  <c r="C337" i="10" s="1"/>
  <c r="E336" i="10"/>
  <c r="D336" i="10" s="1"/>
  <c r="E335" i="10"/>
  <c r="D335" i="10" s="1"/>
  <c r="C335" i="10" s="1"/>
  <c r="E334" i="10"/>
  <c r="D334" i="10" s="1"/>
  <c r="C334" i="10" s="1"/>
  <c r="E333" i="10"/>
  <c r="D333" i="10" s="1"/>
  <c r="E332" i="10"/>
  <c r="D332" i="10" s="1"/>
  <c r="C332" i="10" s="1"/>
  <c r="E331" i="10"/>
  <c r="D331" i="10" s="1"/>
  <c r="C331" i="10" s="1"/>
  <c r="E330" i="10"/>
  <c r="D330" i="10" s="1"/>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s="1"/>
  <c r="C318" i="10" s="1"/>
  <c r="E317" i="10"/>
  <c r="D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E303" i="10"/>
  <c r="D303" i="10" s="1"/>
  <c r="C303" i="10" s="1"/>
  <c r="E302" i="10"/>
  <c r="D302" i="10" s="1"/>
  <c r="C302" i="10" s="1"/>
  <c r="E301" i="10"/>
  <c r="D301" i="10" s="1"/>
  <c r="C301" i="10" s="1"/>
  <c r="E300" i="10"/>
  <c r="D300" i="10" s="1"/>
  <c r="C300" i="10" s="1"/>
  <c r="E299" i="10"/>
  <c r="D299" i="10" s="1"/>
  <c r="C299" i="10" s="1"/>
  <c r="E298" i="10"/>
  <c r="D298" i="10" s="1"/>
  <c r="C298" i="10" s="1"/>
  <c r="E297" i="10"/>
  <c r="D297" i="10" s="1"/>
  <c r="C297" i="10" s="1"/>
  <c r="E296" i="10"/>
  <c r="D296" i="10" s="1"/>
  <c r="E295" i="10"/>
  <c r="D295" i="10" s="1"/>
  <c r="C295" i="10" s="1"/>
  <c r="E294" i="10"/>
  <c r="D294" i="10" s="1"/>
  <c r="C294" i="10" s="1"/>
  <c r="E293" i="10"/>
  <c r="D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s="1"/>
  <c r="C286" i="10" s="1"/>
  <c r="E285" i="10"/>
  <c r="D285" i="10" s="1"/>
  <c r="C285" i="10" s="1"/>
  <c r="E284" i="10"/>
  <c r="D284" i="10" s="1"/>
  <c r="C284" i="10" s="1"/>
  <c r="E283" i="10"/>
  <c r="D283" i="10" s="1"/>
  <c r="C283" i="10" s="1"/>
  <c r="E282" i="10"/>
  <c r="D282" i="10" s="1"/>
  <c r="C282" i="10" s="1"/>
  <c r="E281" i="10"/>
  <c r="D281" i="10" s="1"/>
  <c r="E280" i="10"/>
  <c r="D280" i="10" s="1"/>
  <c r="C280" i="10" s="1"/>
  <c r="E279" i="10"/>
  <c r="D279" i="10" s="1"/>
  <c r="C279" i="10" s="1"/>
  <c r="E278" i="10"/>
  <c r="D278" i="10" s="1"/>
  <c r="C278" i="10" s="1"/>
  <c r="E277" i="10"/>
  <c r="D277" i="10"/>
  <c r="C277" i="10" s="1"/>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E269" i="10"/>
  <c r="D269" i="10" s="1"/>
  <c r="C269" i="10" s="1"/>
  <c r="E268" i="10"/>
  <c r="D268" i="10" s="1"/>
  <c r="C268" i="10" s="1"/>
  <c r="E267" i="10"/>
  <c r="D267" i="10" s="1"/>
  <c r="C267" i="10" s="1"/>
  <c r="E266" i="10"/>
  <c r="D266" i="10" s="1"/>
  <c r="C266" i="10" s="1"/>
  <c r="E265" i="10"/>
  <c r="D265" i="10"/>
  <c r="C265" i="10" s="1"/>
  <c r="E264" i="10"/>
  <c r="D264" i="10" s="1"/>
  <c r="C264" i="10" s="1"/>
  <c r="E263" i="10"/>
  <c r="D263" i="10" s="1"/>
  <c r="C263" i="10" s="1"/>
  <c r="E262" i="10"/>
  <c r="D262" i="10" s="1"/>
  <c r="C262" i="10" s="1"/>
  <c r="E261" i="10"/>
  <c r="D261" i="10" s="1"/>
  <c r="C261" i="10" s="1"/>
  <c r="E260" i="10"/>
  <c r="D260" i="10" s="1"/>
  <c r="C260" i="10" s="1"/>
  <c r="E259" i="10"/>
  <c r="D259" i="10" s="1"/>
  <c r="C259" i="10" s="1"/>
  <c r="E258" i="10"/>
  <c r="D258" i="10" s="1"/>
  <c r="C258" i="10" s="1"/>
  <c r="E257" i="10"/>
  <c r="D257" i="10" s="1"/>
  <c r="E256" i="10"/>
  <c r="D256" i="10" s="1"/>
  <c r="C256" i="10" s="1"/>
  <c r="E255" i="10"/>
  <c r="D255" i="10"/>
  <c r="C255" i="10" s="1"/>
  <c r="E254" i="10"/>
  <c r="D254" i="10" s="1"/>
  <c r="C254" i="10" s="1"/>
  <c r="E253" i="10"/>
  <c r="D253" i="10" s="1"/>
  <c r="C253" i="10" s="1"/>
  <c r="E252" i="10"/>
  <c r="D252" i="10" s="1"/>
  <c r="C252" i="10" s="1"/>
  <c r="E251" i="10"/>
  <c r="D251" i="10" s="1"/>
  <c r="C251" i="10" s="1"/>
  <c r="E250" i="10"/>
  <c r="D250" i="10" s="1"/>
  <c r="C250" i="10" s="1"/>
  <c r="E249" i="10"/>
  <c r="D249" i="10" s="1"/>
  <c r="C249" i="10" s="1"/>
  <c r="E248" i="10"/>
  <c r="D248" i="10" s="1"/>
  <c r="C248" i="10" s="1"/>
  <c r="E247" i="10"/>
  <c r="D247" i="10" s="1"/>
  <c r="C247" i="10" s="1"/>
  <c r="E246" i="10"/>
  <c r="D246" i="10" s="1"/>
  <c r="C246" i="10" s="1"/>
  <c r="E245" i="10"/>
  <c r="D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s="1"/>
  <c r="C237" i="10" s="1"/>
  <c r="E236" i="10"/>
  <c r="D236" i="10" s="1"/>
  <c r="C236" i="10" s="1"/>
  <c r="E235" i="10"/>
  <c r="D235" i="10" s="1"/>
  <c r="C235" i="10" s="1"/>
  <c r="E234" i="10"/>
  <c r="D234" i="10" s="1"/>
  <c r="C234" i="10" s="1"/>
  <c r="E233" i="10"/>
  <c r="D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s="1"/>
  <c r="E212" i="10"/>
  <c r="D212" i="10" s="1"/>
  <c r="C212" i="10" s="1"/>
  <c r="E211" i="10"/>
  <c r="D211" i="10" s="1"/>
  <c r="C211" i="10" s="1"/>
  <c r="E210" i="10"/>
  <c r="D210" i="10" s="1"/>
  <c r="C210" i="10" s="1"/>
  <c r="E209" i="10"/>
  <c r="D209" i="10" s="1"/>
  <c r="C209" i="10" s="1"/>
  <c r="E208" i="10"/>
  <c r="D208" i="10" s="1"/>
  <c r="C208" i="10" s="1"/>
  <c r="E207" i="10"/>
  <c r="D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E122" i="10"/>
  <c r="D122" i="10" s="1"/>
  <c r="C122" i="10" s="1"/>
  <c r="E121" i="10"/>
  <c r="D121" i="10" s="1"/>
  <c r="C121" i="10" s="1"/>
  <c r="E120" i="10"/>
  <c r="D120" i="10" s="1"/>
  <c r="C120" i="10" s="1"/>
  <c r="E119" i="10"/>
  <c r="D119" i="10" s="1"/>
  <c r="C119" i="10" s="1"/>
  <c r="E118" i="10"/>
  <c r="D118" i="10" s="1"/>
  <c r="C118" i="10" s="1"/>
  <c r="E117" i="10"/>
  <c r="D117" i="10" s="1"/>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E56" i="10"/>
  <c r="D56" i="10" s="1"/>
  <c r="C56" i="10" s="1"/>
  <c r="E55" i="10"/>
  <c r="D55" i="10" s="1"/>
  <c r="C55" i="10" s="1"/>
  <c r="E54" i="10"/>
  <c r="D54" i="10"/>
  <c r="C54" i="10" s="1"/>
  <c r="E53" i="10"/>
  <c r="D53" i="10" s="1"/>
  <c r="C53" i="10" s="1"/>
  <c r="E52" i="10"/>
  <c r="D52" i="10"/>
  <c r="C52" i="10" s="1"/>
  <c r="E51" i="10"/>
  <c r="D51" i="10" s="1"/>
  <c r="C51" i="10" s="1"/>
  <c r="E50" i="10"/>
  <c r="D50" i="10" s="1"/>
  <c r="C50" i="10" s="1"/>
  <c r="E49" i="10"/>
  <c r="D49" i="10" s="1"/>
  <c r="C49" i="10" s="1"/>
  <c r="E48" i="10"/>
  <c r="D48" i="10" s="1"/>
  <c r="C48" i="10" s="1"/>
  <c r="E47" i="10"/>
  <c r="D47" i="10" s="1"/>
  <c r="C47" i="10" s="1"/>
  <c r="E46" i="10"/>
  <c r="D46" i="10" s="1"/>
  <c r="C46" i="10" s="1"/>
  <c r="E45" i="10"/>
  <c r="D45" i="10" s="1"/>
  <c r="E44" i="10"/>
  <c r="D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E4" i="10"/>
  <c r="D4" i="10" s="1"/>
  <c r="C4" i="10" s="1"/>
  <c r="E3" i="10"/>
  <c r="D3" i="10" s="1"/>
  <c r="C3" i="10" s="1"/>
  <c r="E2" i="10"/>
  <c r="D2" i="10" s="1"/>
  <c r="C881" i="10" l="1"/>
  <c r="S77" i="11"/>
  <c r="T77" i="11"/>
  <c r="C18" i="10"/>
  <c r="S4" i="11"/>
  <c r="T4" i="11"/>
  <c r="C790" i="10"/>
  <c r="S68" i="11"/>
  <c r="T68" i="11"/>
  <c r="C702" i="10"/>
  <c r="S60" i="11"/>
  <c r="T60" i="11"/>
  <c r="C769" i="10"/>
  <c r="S66" i="11"/>
  <c r="T66" i="11"/>
  <c r="C1255" i="10"/>
  <c r="T111" i="11"/>
  <c r="S111" i="11"/>
  <c r="C1527" i="10"/>
  <c r="T136" i="11"/>
  <c r="S136" i="11"/>
  <c r="C355" i="10"/>
  <c r="S31" i="11"/>
  <c r="T31" i="11"/>
  <c r="C521" i="10"/>
  <c r="S45" i="11"/>
  <c r="T45" i="11"/>
  <c r="C1708" i="10"/>
  <c r="S153" i="11"/>
  <c r="T153" i="11"/>
  <c r="C194" i="10"/>
  <c r="S18" i="11"/>
  <c r="T18" i="11"/>
  <c r="C220" i="10"/>
  <c r="S20" i="11"/>
  <c r="T20" i="11"/>
  <c r="C412" i="10"/>
  <c r="S36" i="11"/>
  <c r="T36" i="11"/>
  <c r="C437" i="10"/>
  <c r="S38" i="11"/>
  <c r="T38" i="11"/>
  <c r="C448" i="10"/>
  <c r="S39" i="11"/>
  <c r="T39" i="11"/>
  <c r="C484" i="10"/>
  <c r="S42" i="11"/>
  <c r="T42" i="11"/>
  <c r="C533" i="10"/>
  <c r="S46" i="11"/>
  <c r="T46" i="11"/>
  <c r="C594" i="10"/>
  <c r="S51" i="11"/>
  <c r="T51" i="11"/>
  <c r="C605" i="10"/>
  <c r="S52" i="11"/>
  <c r="T52" i="11"/>
  <c r="C644" i="10"/>
  <c r="S55" i="11"/>
  <c r="T55" i="11"/>
  <c r="C680" i="10"/>
  <c r="S58" i="11"/>
  <c r="T58" i="11"/>
  <c r="C737" i="10"/>
  <c r="S63" i="11"/>
  <c r="T63" i="11"/>
  <c r="C748" i="10"/>
  <c r="S64" i="11"/>
  <c r="T64" i="11"/>
  <c r="C759" i="10"/>
  <c r="S65" i="11"/>
  <c r="T65" i="11"/>
  <c r="C800" i="10"/>
  <c r="S69" i="11"/>
  <c r="T69" i="11"/>
  <c r="C810" i="10"/>
  <c r="S70" i="11"/>
  <c r="T70" i="11"/>
  <c r="C839" i="10"/>
  <c r="S73" i="11"/>
  <c r="T73" i="11"/>
  <c r="C871" i="10"/>
  <c r="S76" i="11"/>
  <c r="T76" i="11"/>
  <c r="C891" i="10"/>
  <c r="S78" i="11"/>
  <c r="T78" i="11"/>
  <c r="C901" i="10"/>
  <c r="S79" i="11"/>
  <c r="T79" i="11"/>
  <c r="C910" i="10"/>
  <c r="S80" i="11"/>
  <c r="T80" i="11"/>
  <c r="C930" i="10"/>
  <c r="S82" i="11"/>
  <c r="T82" i="11"/>
  <c r="C967" i="10"/>
  <c r="S86" i="11"/>
  <c r="T86" i="11"/>
  <c r="C1012" i="10"/>
  <c r="S91" i="11"/>
  <c r="T91" i="11"/>
  <c r="C1032" i="10"/>
  <c r="S93" i="11"/>
  <c r="T93" i="11"/>
  <c r="C1075" i="10"/>
  <c r="S96" i="11"/>
  <c r="T96" i="11"/>
  <c r="C1173" i="10"/>
  <c r="S104" i="11"/>
  <c r="T104" i="11"/>
  <c r="C1185" i="10"/>
  <c r="S105" i="11"/>
  <c r="T105" i="11"/>
  <c r="C1197" i="10"/>
  <c r="S106" i="11"/>
  <c r="T106" i="11"/>
  <c r="C1209" i="10"/>
  <c r="S107" i="11"/>
  <c r="T107" i="11"/>
  <c r="C1351" i="10"/>
  <c r="T119" i="11"/>
  <c r="S119" i="11"/>
  <c r="C1363" i="10"/>
  <c r="S120" i="11"/>
  <c r="T120" i="11"/>
  <c r="C1429" i="10"/>
  <c r="T126" i="11"/>
  <c r="S126" i="11"/>
  <c r="C1440" i="10"/>
  <c r="S127" i="11"/>
  <c r="T127" i="11"/>
  <c r="C1459" i="10"/>
  <c r="S129" i="11"/>
  <c r="T129" i="11"/>
  <c r="C1488" i="10"/>
  <c r="T132" i="11"/>
  <c r="S132" i="11"/>
  <c r="C1610" i="10"/>
  <c r="T144" i="11"/>
  <c r="S144" i="11"/>
  <c r="C1681" i="10"/>
  <c r="T150" i="11"/>
  <c r="S150" i="11"/>
  <c r="C1717" i="10"/>
  <c r="S154" i="11"/>
  <c r="T154" i="11"/>
  <c r="S155" i="11"/>
  <c r="T155" i="11"/>
  <c r="C1733" i="10"/>
  <c r="T156" i="11"/>
  <c r="S156" i="11"/>
  <c r="C1741" i="10"/>
  <c r="S157" i="11"/>
  <c r="T157" i="11"/>
  <c r="C1756" i="10"/>
  <c r="S159" i="11"/>
  <c r="T159" i="11"/>
  <c r="C1764" i="10"/>
  <c r="T160" i="11"/>
  <c r="S160" i="11"/>
  <c r="C1772" i="10"/>
  <c r="S161" i="11"/>
  <c r="T161" i="11"/>
  <c r="C84" i="10"/>
  <c r="S9" i="11"/>
  <c r="T9" i="11"/>
  <c r="C149" i="10"/>
  <c r="S14" i="11"/>
  <c r="T14" i="11"/>
  <c r="C161" i="10"/>
  <c r="S15" i="11"/>
  <c r="T15" i="11"/>
  <c r="C207" i="10"/>
  <c r="S19" i="11"/>
  <c r="T19" i="11"/>
  <c r="C257" i="10"/>
  <c r="S23" i="11"/>
  <c r="T23" i="11"/>
  <c r="C293" i="10"/>
  <c r="S26" i="11"/>
  <c r="T26" i="11"/>
  <c r="C304" i="10"/>
  <c r="S27" i="11"/>
  <c r="T27" i="11"/>
  <c r="C366" i="10"/>
  <c r="S32" i="11"/>
  <c r="T32" i="11"/>
  <c r="C390" i="10"/>
  <c r="S34" i="11"/>
  <c r="T34" i="11"/>
  <c r="S40" i="11"/>
  <c r="T40" i="11"/>
  <c r="C509" i="10"/>
  <c r="S44" i="11"/>
  <c r="T44" i="11"/>
  <c r="C618" i="10"/>
  <c r="S53" i="11"/>
  <c r="T53" i="11"/>
  <c r="C656" i="10"/>
  <c r="S56" i="11"/>
  <c r="T56" i="11"/>
  <c r="C715" i="10"/>
  <c r="S61" i="11"/>
  <c r="T61" i="11"/>
  <c r="C825" i="10"/>
  <c r="S72" i="11"/>
  <c r="T72" i="11"/>
  <c r="C849" i="10"/>
  <c r="S74" i="11"/>
  <c r="T74" i="11"/>
  <c r="C859" i="10"/>
  <c r="S75" i="11"/>
  <c r="T75" i="11"/>
  <c r="C919" i="10"/>
  <c r="S81" i="11"/>
  <c r="T81" i="11"/>
  <c r="C949" i="10"/>
  <c r="S84" i="11"/>
  <c r="T84" i="11"/>
  <c r="C983" i="10"/>
  <c r="S88" i="11"/>
  <c r="T88" i="11"/>
  <c r="C1120" i="10"/>
  <c r="S100" i="11"/>
  <c r="T100" i="11"/>
  <c r="S108" i="11"/>
  <c r="T108" i="11"/>
  <c r="C1374" i="10"/>
  <c r="T121" i="11"/>
  <c r="S121" i="11"/>
  <c r="C1385" i="10"/>
  <c r="T122" i="11"/>
  <c r="S122" i="11"/>
  <c r="C1396" i="10"/>
  <c r="T123" i="11"/>
  <c r="S123" i="11"/>
  <c r="C1419" i="10"/>
  <c r="S125" i="11"/>
  <c r="T125" i="11"/>
  <c r="C1449" i="10"/>
  <c r="T128" i="11"/>
  <c r="S128" i="11"/>
  <c r="C1518" i="10"/>
  <c r="S135" i="11"/>
  <c r="T135" i="11"/>
  <c r="C1547" i="10"/>
  <c r="T138" i="11"/>
  <c r="S138" i="11"/>
  <c r="C1558" i="10"/>
  <c r="S139" i="11"/>
  <c r="T139" i="11"/>
  <c r="C1637" i="10"/>
  <c r="T146" i="11"/>
  <c r="S146" i="11"/>
  <c r="C1648" i="10"/>
  <c r="S147" i="11"/>
  <c r="T147" i="11"/>
  <c r="C1749" i="10"/>
  <c r="T158" i="11"/>
  <c r="S158" i="11"/>
  <c r="C1781" i="10"/>
  <c r="E162" i="11"/>
  <c r="I162" i="11"/>
  <c r="M162" i="11"/>
  <c r="U162" i="11"/>
  <c r="Y162" i="11"/>
  <c r="F162" i="11"/>
  <c r="J162" i="11"/>
  <c r="N162" i="11"/>
  <c r="V162" i="11"/>
  <c r="Z162" i="11"/>
  <c r="G162" i="11"/>
  <c r="K162" i="11"/>
  <c r="O162" i="11"/>
  <c r="S162" i="11"/>
  <c r="AA162" i="11"/>
  <c r="AE162" i="11"/>
  <c r="AI162" i="11"/>
  <c r="AM162" i="11"/>
  <c r="H162" i="11"/>
  <c r="L162" i="11"/>
  <c r="P162" i="11"/>
  <c r="T162" i="11"/>
  <c r="AB162" i="11"/>
  <c r="AF162" i="11"/>
  <c r="AJ162" i="11"/>
  <c r="AN162" i="11"/>
  <c r="C1793" i="10"/>
  <c r="S164" i="11"/>
  <c r="S165" i="11" s="1"/>
  <c r="T164" i="11"/>
  <c r="T165" i="11" s="1"/>
  <c r="C57" i="10"/>
  <c r="S7" i="11"/>
  <c r="T7" i="11"/>
  <c r="C97" i="10"/>
  <c r="S10" i="11"/>
  <c r="T10" i="11"/>
  <c r="C109" i="10"/>
  <c r="S11" i="11"/>
  <c r="T11" i="11"/>
  <c r="C123" i="10"/>
  <c r="S12" i="11"/>
  <c r="T12" i="11"/>
  <c r="C135" i="10"/>
  <c r="S13" i="11"/>
  <c r="T13" i="11"/>
  <c r="C174" i="10"/>
  <c r="S16" i="11"/>
  <c r="T16" i="11"/>
  <c r="C185" i="10"/>
  <c r="S17" i="11"/>
  <c r="T17" i="11"/>
  <c r="C233" i="10"/>
  <c r="S21" i="11"/>
  <c r="T21" i="11"/>
  <c r="C245" i="10"/>
  <c r="S22" i="11"/>
  <c r="T22" i="11"/>
  <c r="C270" i="10"/>
  <c r="S24" i="11"/>
  <c r="T24" i="11"/>
  <c r="C344" i="10"/>
  <c r="S30" i="11"/>
  <c r="T30" i="11"/>
  <c r="C472" i="10"/>
  <c r="S41" i="11"/>
  <c r="T41" i="11"/>
  <c r="C569" i="10"/>
  <c r="S49" i="11"/>
  <c r="T49" i="11"/>
  <c r="C692" i="10"/>
  <c r="S59" i="11"/>
  <c r="T59" i="11"/>
  <c r="C812" i="10"/>
  <c r="S71" i="11"/>
  <c r="T71" i="11"/>
  <c r="C958" i="10"/>
  <c r="S85" i="11"/>
  <c r="T85" i="11"/>
  <c r="C976" i="10"/>
  <c r="S87" i="11"/>
  <c r="T87" i="11"/>
  <c r="C1002" i="10"/>
  <c r="S90" i="11"/>
  <c r="T90" i="11"/>
  <c r="C1046" i="10"/>
  <c r="S94" i="11"/>
  <c r="T94" i="11"/>
  <c r="C1062" i="10"/>
  <c r="S95" i="11"/>
  <c r="T95" i="11"/>
  <c r="C1099" i="10"/>
  <c r="S98" i="11"/>
  <c r="T98" i="11"/>
  <c r="C1110" i="10"/>
  <c r="S99" i="11"/>
  <c r="T99" i="11"/>
  <c r="C1147" i="10"/>
  <c r="S102" i="11"/>
  <c r="T102" i="11"/>
  <c r="C1233" i="10"/>
  <c r="S109" i="11"/>
  <c r="T109" i="11"/>
  <c r="C1244" i="10"/>
  <c r="S110" i="11"/>
  <c r="T110" i="11"/>
  <c r="C1281" i="10"/>
  <c r="T113" i="11"/>
  <c r="S113" i="11"/>
  <c r="C1304" i="10"/>
  <c r="T115" i="11"/>
  <c r="S115" i="11"/>
  <c r="C1316" i="10"/>
  <c r="S116" i="11"/>
  <c r="T116" i="11"/>
  <c r="C1327" i="10"/>
  <c r="T117" i="11"/>
  <c r="S117" i="11"/>
  <c r="C1407" i="10"/>
  <c r="T124" i="11"/>
  <c r="S124" i="11"/>
  <c r="C1478" i="10"/>
  <c r="S131" i="11"/>
  <c r="T131" i="11"/>
  <c r="C1508" i="10"/>
  <c r="T134" i="11"/>
  <c r="S134" i="11"/>
  <c r="C1537" i="10"/>
  <c r="S137" i="11"/>
  <c r="T137" i="11"/>
  <c r="C1588" i="10"/>
  <c r="T142" i="11"/>
  <c r="S142" i="11"/>
  <c r="C1600" i="10"/>
  <c r="S143" i="11"/>
  <c r="T143" i="11"/>
  <c r="C1671" i="10"/>
  <c r="S149" i="11"/>
  <c r="T149" i="11"/>
  <c r="S151" i="11"/>
  <c r="T151" i="11"/>
  <c r="C5" i="10"/>
  <c r="S3" i="11"/>
  <c r="T3" i="11"/>
  <c r="C44" i="10"/>
  <c r="S6" i="11"/>
  <c r="T6" i="11"/>
  <c r="C2" i="10"/>
  <c r="T2" i="11"/>
  <c r="S2" i="11"/>
  <c r="C31" i="10"/>
  <c r="S5" i="11"/>
  <c r="T5" i="11"/>
  <c r="C71" i="10"/>
  <c r="S8" i="11"/>
  <c r="T8" i="11"/>
  <c r="C281" i="10"/>
  <c r="S25" i="11"/>
  <c r="T25" i="11"/>
  <c r="C317" i="10"/>
  <c r="S28" i="11"/>
  <c r="T28" i="11"/>
  <c r="C333" i="10"/>
  <c r="S29" i="11"/>
  <c r="T29" i="11"/>
  <c r="C378" i="10"/>
  <c r="S33" i="11"/>
  <c r="T33" i="11"/>
  <c r="C401" i="10"/>
  <c r="S35" i="11"/>
  <c r="T35" i="11"/>
  <c r="C424" i="10"/>
  <c r="S37" i="11"/>
  <c r="T37" i="11"/>
  <c r="C497" i="10"/>
  <c r="S43" i="11"/>
  <c r="E55" i="5" s="1"/>
  <c r="T43" i="11"/>
  <c r="C545" i="10"/>
  <c r="S47" i="11"/>
  <c r="T47" i="11"/>
  <c r="C556" i="10"/>
  <c r="S48" i="11"/>
  <c r="T48" i="11"/>
  <c r="C580" i="10"/>
  <c r="S50" i="11"/>
  <c r="T50" i="11"/>
  <c r="C631" i="10"/>
  <c r="S54" i="11"/>
  <c r="T54" i="11"/>
  <c r="C668" i="10"/>
  <c r="S57" i="11"/>
  <c r="T57" i="11"/>
  <c r="C726" i="10"/>
  <c r="S62" i="11"/>
  <c r="T62" i="11"/>
  <c r="C779" i="10"/>
  <c r="S67" i="11"/>
  <c r="T67" i="11"/>
  <c r="C939" i="10"/>
  <c r="S83" i="11"/>
  <c r="T83" i="11"/>
  <c r="C993" i="10"/>
  <c r="S89" i="11"/>
  <c r="T89" i="11"/>
  <c r="C1023" i="10"/>
  <c r="S92" i="11"/>
  <c r="T92" i="11"/>
  <c r="C1086" i="10"/>
  <c r="S97" i="11"/>
  <c r="T97" i="11"/>
  <c r="C1133" i="10"/>
  <c r="S101" i="11"/>
  <c r="T101" i="11"/>
  <c r="C1160" i="10"/>
  <c r="S103" i="11"/>
  <c r="T103" i="11"/>
  <c r="C1267" i="10"/>
  <c r="S112" i="11"/>
  <c r="T112" i="11"/>
  <c r="C1293" i="10"/>
  <c r="S114" i="11"/>
  <c r="T114" i="11"/>
  <c r="C1339" i="10"/>
  <c r="S118" i="11"/>
  <c r="T118" i="11"/>
  <c r="C1468" i="10"/>
  <c r="T130" i="11"/>
  <c r="S130" i="11"/>
  <c r="C1498" i="10"/>
  <c r="S133" i="11"/>
  <c r="T133" i="11"/>
  <c r="C1567" i="10"/>
  <c r="T140" i="11"/>
  <c r="S140" i="11"/>
  <c r="C1578" i="10"/>
  <c r="S141" i="11"/>
  <c r="T141" i="11"/>
  <c r="C1620" i="10"/>
  <c r="S145" i="11"/>
  <c r="T145" i="11"/>
  <c r="C1660" i="10"/>
  <c r="T148" i="11"/>
  <c r="S148" i="11"/>
  <c r="C1698" i="10"/>
  <c r="T152" i="11"/>
  <c r="S152" i="11"/>
  <c r="C1787" i="10"/>
  <c r="G163" i="11"/>
  <c r="K163" i="11"/>
  <c r="O163" i="11"/>
  <c r="S163" i="11"/>
  <c r="AA163" i="11"/>
  <c r="AE163" i="11"/>
  <c r="AI163" i="11"/>
  <c r="AM163" i="11"/>
  <c r="H163" i="11"/>
  <c r="L163" i="11"/>
  <c r="P163" i="11"/>
  <c r="T163" i="11"/>
  <c r="AB163" i="11"/>
  <c r="AF163" i="11"/>
  <c r="AJ163" i="11"/>
  <c r="AN163" i="11"/>
  <c r="E163" i="11"/>
  <c r="I163" i="11"/>
  <c r="M163" i="11"/>
  <c r="U163" i="11"/>
  <c r="Y163" i="11"/>
  <c r="F163" i="11"/>
  <c r="J163" i="11"/>
  <c r="N163" i="11"/>
  <c r="V163" i="11"/>
  <c r="Z163" i="11"/>
  <c r="H15" i="6"/>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AL101" i="11" s="1"/>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J71" i="5" s="1"/>
  <c r="AD43" i="11"/>
  <c r="J66" i="5" s="1"/>
  <c r="D43" i="11"/>
  <c r="J34" i="5" s="1"/>
  <c r="AG43" i="11"/>
  <c r="E71" i="5" s="1"/>
  <c r="AC43" i="11"/>
  <c r="E66" i="5" s="1"/>
  <c r="C43" i="11"/>
  <c r="E34" i="5" s="1"/>
  <c r="AL43" i="11"/>
  <c r="J76" i="5" s="1"/>
  <c r="X43" i="11"/>
  <c r="J59" i="5" s="1"/>
  <c r="R43" i="11"/>
  <c r="AK43" i="11"/>
  <c r="E76" i="5" s="1"/>
  <c r="W43" i="11"/>
  <c r="E59" i="5" s="1"/>
  <c r="Q43" i="11"/>
  <c r="E54" i="5" s="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J78" i="5" s="1"/>
  <c r="AJ43" i="11"/>
  <c r="J73" i="5" s="1"/>
  <c r="Z43" i="11"/>
  <c r="J61" i="5" s="1"/>
  <c r="V43" i="11"/>
  <c r="P43" i="11"/>
  <c r="J51" i="5" s="1"/>
  <c r="L43" i="11"/>
  <c r="J45" i="5" s="1"/>
  <c r="H43" i="11"/>
  <c r="J39" i="5" s="1"/>
  <c r="AM43" i="11"/>
  <c r="E78" i="5" s="1"/>
  <c r="Y43" i="11"/>
  <c r="E61" i="5" s="1"/>
  <c r="U43" i="11"/>
  <c r="E57" i="5" s="1"/>
  <c r="O43" i="11"/>
  <c r="E51" i="5" s="1"/>
  <c r="K43" i="11"/>
  <c r="E45" i="5" s="1"/>
  <c r="G43" i="11"/>
  <c r="E39" i="5" s="1"/>
  <c r="AF43" i="11"/>
  <c r="J68" i="5" s="1"/>
  <c r="AB43" i="11"/>
  <c r="N43" i="11"/>
  <c r="J48" i="5" s="1"/>
  <c r="J43" i="11"/>
  <c r="J42" i="5" s="1"/>
  <c r="F43" i="11"/>
  <c r="J36" i="5" s="1"/>
  <c r="AI43" i="11"/>
  <c r="E73" i="5" s="1"/>
  <c r="AE43" i="11"/>
  <c r="E68" i="5" s="1"/>
  <c r="AA43" i="11"/>
  <c r="E64" i="5" s="1"/>
  <c r="M43" i="11"/>
  <c r="E48" i="5" s="1"/>
  <c r="I43" i="11"/>
  <c r="E42" i="5" s="1"/>
  <c r="E43" i="11"/>
  <c r="E36" i="5" s="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B49" i="5" l="1"/>
  <c r="C49" i="5"/>
  <c r="G49" i="5" s="1"/>
  <c r="F49" i="5"/>
  <c r="C136" i="11"/>
  <c r="C67" i="5"/>
  <c r="G67" i="5" s="1"/>
  <c r="F67" i="5"/>
  <c r="B67" i="5"/>
  <c r="AD119" i="11"/>
  <c r="X113" i="11"/>
  <c r="F40" i="5"/>
  <c r="B40" i="5"/>
  <c r="C40" i="5"/>
  <c r="G40" i="5" s="1"/>
  <c r="C62" i="5"/>
  <c r="G62" i="5" s="1"/>
  <c r="F62" i="5"/>
  <c r="B62" i="5"/>
  <c r="C72" i="5"/>
  <c r="G72" i="5" s="1"/>
  <c r="F72" i="5"/>
  <c r="B72" i="5"/>
  <c r="Q138" i="11"/>
  <c r="C119" i="11"/>
  <c r="C163" i="11"/>
  <c r="W163" i="11"/>
  <c r="D163" i="11"/>
  <c r="X163" i="11"/>
  <c r="Q163" i="11"/>
  <c r="AC163" i="11"/>
  <c r="AG163" i="11"/>
  <c r="AK163" i="11"/>
  <c r="R163" i="11"/>
  <c r="AD163" i="11"/>
  <c r="AH163" i="11"/>
  <c r="AL163" i="11"/>
  <c r="B37" i="5"/>
  <c r="F37" i="5"/>
  <c r="C37" i="5"/>
  <c r="G37" i="5" s="1"/>
  <c r="B69" i="5"/>
  <c r="C69" i="5"/>
  <c r="G69" i="5" s="1"/>
  <c r="F69" i="5"/>
  <c r="C46" i="5"/>
  <c r="G46" i="5" s="1"/>
  <c r="F46" i="5"/>
  <c r="B46" i="5"/>
  <c r="B79" i="5"/>
  <c r="C79" i="5"/>
  <c r="G79" i="5" s="1"/>
  <c r="F79" i="5"/>
  <c r="F60" i="5"/>
  <c r="B60" i="5"/>
  <c r="C60" i="5"/>
  <c r="G60" i="5" s="1"/>
  <c r="AG130" i="11"/>
  <c r="AD87" i="11"/>
  <c r="AC101" i="11"/>
  <c r="Q162" i="11"/>
  <c r="AC162" i="11"/>
  <c r="AG162" i="11"/>
  <c r="AK162" i="11"/>
  <c r="R162" i="11"/>
  <c r="AD162" i="11"/>
  <c r="AH162" i="11"/>
  <c r="AL162" i="11"/>
  <c r="C162" i="11"/>
  <c r="W162" i="11"/>
  <c r="D162" i="11"/>
  <c r="X162" i="11"/>
  <c r="C43" i="5"/>
  <c r="G43" i="5" s="1"/>
  <c r="B43" i="5"/>
  <c r="F43" i="5"/>
  <c r="F74" i="5"/>
  <c r="B74" i="5"/>
  <c r="C74" i="5"/>
  <c r="G74" i="5" s="1"/>
  <c r="F52" i="5"/>
  <c r="C52" i="5"/>
  <c r="G52" i="5" s="1"/>
  <c r="B52" i="5"/>
  <c r="F77" i="5"/>
  <c r="C77" i="5"/>
  <c r="G77" i="5" s="1"/>
  <c r="B77" i="5"/>
  <c r="F35" i="5"/>
  <c r="C35" i="5"/>
  <c r="G35" i="5" s="1"/>
  <c r="B35" i="5"/>
  <c r="AL87" i="11"/>
  <c r="D113" i="11"/>
  <c r="Q95" i="1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89" i="5" l="1"/>
  <c r="K11" i="6" l="1"/>
  <c r="I31" i="5"/>
  <c r="L11" i="6"/>
  <c r="F88" i="5"/>
  <c r="F90" i="5" s="1"/>
  <c r="E5" i="6"/>
  <c r="D5" i="6"/>
  <c r="H12" i="5"/>
  <c r="H19" i="5"/>
  <c r="H11" i="5"/>
  <c r="H20" i="5"/>
  <c r="H14" i="5"/>
  <c r="H15" i="5"/>
  <c r="C88" i="5"/>
  <c r="G88" i="5" s="1"/>
  <c r="E89" i="5"/>
  <c r="B88" i="5"/>
  <c r="B90" i="5" s="1"/>
  <c r="H13" i="5"/>
  <c r="H18" i="5"/>
  <c r="I27" i="5"/>
  <c r="I30" i="5"/>
  <c r="I29" i="5"/>
  <c r="I32" i="5"/>
  <c r="I28" i="5"/>
  <c r="C90" i="5" l="1"/>
  <c r="G90" i="5" s="1"/>
</calcChain>
</file>

<file path=xl/sharedStrings.xml><?xml version="1.0" encoding="utf-8"?>
<sst xmlns="http://schemas.openxmlformats.org/spreadsheetml/2006/main" count="4852" uniqueCount="485">
  <si>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</si>
  <si>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</si>
  <si>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</si>
  <si>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</si>
  <si>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</si>
  <si>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</si>
  <si>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</si>
  <si>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</si>
  <si>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</si>
  <si>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</si>
  <si>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</si>
  <si>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</si>
  <si>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</si>
  <si>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</si>
  <si>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</si>
  <si>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</si>
  <si>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</si>
  <si>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</si>
  <si>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</si>
  <si>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</si>
  <si>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</si>
  <si>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</si>
  <si>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</si>
  <si>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</si>
  <si>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</si>
  <si>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</si>
  <si>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</si>
  <si>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</si>
  <si>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</si>
  <si>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</si>
  <si>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</si>
  <si>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</si>
  <si>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</si>
  <si>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</si>
  <si>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</si>
  <si>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</si>
  <si>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</si>
  <si>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</si>
  <si>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</si>
  <si>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</si>
  <si>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</si>
  <si>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</si>
  <si>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</si>
  <si>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</si>
  <si>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</si>
  <si>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</si>
  <si>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</si>
  <si>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</si>
  <si>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</si>
  <si>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</si>
  <si>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</si>
  <si>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</si>
  <si>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</si>
  <si>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</si>
  <si>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</si>
  <si>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</si>
  <si>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</si>
  <si>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</si>
  <si>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</si>
  <si>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</si>
  <si>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</si>
  <si>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</si>
  <si>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</si>
  <si>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</si>
  <si>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</si>
  <si>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</si>
  <si>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</si>
  <si>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</si>
  <si>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</si>
  <si>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</si>
  <si>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</si>
  <si>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</si>
  <si>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</si>
  <si>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</si>
  <si>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</si>
  <si>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</si>
  <si>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</si>
  <si>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</si>
  <si>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</si>
  <si>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</si>
  <si>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</si>
  <si>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</si>
  <si>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</si>
  <si>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</si>
  <si>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</si>
  <si>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</si>
  <si>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</si>
  <si>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</si>
  <si>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</si>
  <si>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</si>
  <si>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</si>
  <si>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</si>
  <si>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</si>
  <si>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</si>
  <si>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</si>
  <si>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</si>
  <si>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</si>
  <si>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</si>
  <si>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</si>
  <si>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</si>
  <si>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</si>
  <si>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</si>
  <si>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</si>
  <si>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</si>
  <si>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</si>
  <si>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</si>
  <si>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</si>
  <si>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</si>
  <si>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</si>
  <si>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</si>
  <si>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</si>
  <si>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</si>
  <si>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</si>
  <si>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</si>
  <si>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</si>
  <si>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</si>
  <si>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</si>
  <si>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</si>
  <si>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</si>
  <si>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</si>
  <si>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</si>
  <si>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</si>
  <si>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</si>
  <si>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</si>
  <si>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</si>
  <si>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</si>
  <si>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</si>
  <si>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</si>
  <si>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</si>
  <si>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</si>
  <si>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</si>
  <si>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</si>
  <si>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</si>
  <si>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</si>
  <si>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</si>
  <si>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</si>
  <si>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</si>
  <si>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</si>
  <si>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</si>
  <si>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</si>
  <si>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</si>
  <si>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</si>
  <si>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</si>
  <si>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</si>
  <si>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</si>
  <si>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</si>
  <si>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</si>
  <si>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</si>
  <si>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</si>
  <si>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</si>
  <si>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</si>
  <si>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</si>
  <si>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</si>
  <si>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</si>
  <si>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</si>
  <si>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</si>
  <si>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</si>
  <si>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</si>
  <si>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</si>
  <si>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</si>
  <si>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</si>
  <si>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</si>
  <si>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</si>
  <si>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</si>
  <si>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</si>
  <si>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</si>
  <si>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</si>
  <si>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</si>
  <si>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</si>
  <si>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</si>
  <si>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</si>
  <si>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</si>
  <si>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</si>
  <si>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</si>
  <si>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</si>
  <si>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</si>
  <si>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</si>
  <si>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</si>
  <si>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</si>
  <si>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</si>
  <si>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</si>
  <si>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</si>
  <si>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</si>
  <si>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</si>
  <si>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</si>
  <si>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</si>
  <si>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</si>
  <si>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</si>
  <si>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</si>
  <si>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</si>
  <si>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</si>
  <si>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</si>
  <si>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</si>
  <si>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</si>
  <si>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</si>
  <si>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</si>
  <si>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</si>
  <si>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</si>
  <si>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</si>
  <si>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</si>
  <si>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</si>
  <si>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</si>
  <si>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</si>
  <si>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</si>
  <si>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</si>
  <si>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</si>
  <si>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</si>
  <si>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</si>
  <si>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</si>
  <si>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</si>
  <si>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</si>
  <si>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</si>
  <si>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</si>
  <si>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</si>
  <si>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</si>
  <si>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</si>
  <si>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</si>
  <si>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</si>
  <si>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</si>
  <si>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</si>
  <si>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</si>
  <si>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</si>
  <si>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</si>
  <si>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</si>
  <si>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</si>
  <si>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</si>
  <si>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</si>
  <si>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</si>
  <si>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</si>
  <si>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</si>
  <si>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</si>
  <si>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</si>
  <si>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</si>
  <si>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</si>
  <si>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</si>
  <si>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</si>
  <si>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</si>
  <si>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</si>
  <si>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</si>
  <si>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</si>
  <si>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</si>
  <si>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</si>
  <si>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</si>
  <si>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</si>
  <si>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</si>
  <si>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</si>
  <si>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</si>
  <si>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</si>
  <si>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</si>
  <si>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</si>
  <si>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</si>
  <si>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</si>
  <si>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</si>
  <si>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</si>
  <si>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</si>
  <si>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</si>
  <si>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</si>
  <si>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</si>
  <si>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</si>
  <si>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</si>
  <si>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</si>
  <si>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</si>
  <si>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</si>
  <si>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</si>
  <si>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</si>
  <si>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</si>
  <si>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</si>
  <si>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</si>
  <si>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</si>
  <si>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</si>
  <si>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</si>
  <si>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</si>
  <si>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</si>
  <si>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</si>
  <si>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</si>
  <si>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</si>
  <si>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</si>
  <si>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</si>
  <si>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</si>
  <si>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</si>
  <si>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</si>
  <si>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</si>
  <si>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</si>
  <si>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</si>
  <si>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</si>
  <si>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</si>
  <si>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</si>
  <si>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</si>
  <si>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</si>
  <si>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</si>
  <si>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</si>
  <si>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</si>
  <si>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</si>
  <si>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</si>
  <si>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</si>
  <si>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</si>
  <si>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</si>
  <si>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</si>
  <si>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</si>
  <si>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</si>
  <si>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</si>
  <si>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</si>
  <si>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</si>
  <si>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</si>
  <si>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</si>
  <si>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</si>
  <si>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</si>
  <si>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</si>
  <si>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</si>
  <si>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</si>
  <si>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</si>
  <si>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</si>
  <si>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</si>
  <si>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</si>
  <si>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</si>
  <si>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</si>
  <si>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</si>
  <si>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</si>
  <si>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</si>
  <si>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</si>
  <si>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</si>
  <si>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</si>
  <si>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</si>
  <si>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</si>
  <si>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</si>
  <si>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</si>
  <si>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</si>
  <si>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</si>
  <si>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</si>
  <si>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</si>
  <si>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</si>
  <si>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</si>
  <si>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</si>
  <si>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</si>
  <si>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</si>
  <si>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</si>
  <si>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</si>
  <si>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</si>
  <si>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</si>
  <si>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</si>
  <si>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</si>
  <si>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</si>
  <si>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</si>
  <si>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</si>
  <si>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</si>
  <si>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</si>
  <si>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</si>
  <si>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</si>
  <si>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</si>
  <si>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</si>
  <si>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</si>
  <si>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</si>
  <si>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</si>
  <si>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</si>
  <si>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</si>
  <si>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</si>
  <si>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</si>
  <si>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</si>
  <si>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</si>
  <si>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</si>
  <si>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</si>
  <si>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</si>
  <si>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</si>
  <si>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</si>
  <si>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</si>
  <si>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</si>
  <si>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</si>
  <si>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</si>
  <si>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</si>
  <si>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</si>
  <si>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</si>
  <si>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</si>
  <si>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</si>
  <si>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</si>
  <si>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</si>
  <si>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</si>
  <si>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</si>
  <si>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</si>
  <si>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</si>
  <si>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</si>
  <si>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</si>
  <si>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</si>
  <si>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</si>
  <si>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</si>
  <si>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</si>
  <si>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</si>
  <si>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</si>
  <si>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</si>
  <si>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</si>
  <si>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</si>
  <si>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</si>
  <si>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</si>
  <si>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</si>
  <si>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</si>
  <si>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</si>
  <si>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</si>
  <si>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</si>
  <si>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</si>
  <si>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</si>
  <si>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</si>
  <si>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</si>
  <si>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</si>
  <si>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</si>
  <si>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</si>
  <si>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</si>
  <si>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</si>
  <si>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</si>
  <si>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</si>
  <si>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</si>
  <si>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</si>
  <si>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</si>
  <si>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</si>
  <si>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</si>
  <si>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</si>
  <si>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</si>
  <si>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</si>
  <si>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</si>
  <si>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</si>
  <si>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</si>
  <si>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</si>
  <si>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</si>
  <si>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</si>
  <si>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</si>
  <si>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</si>
  <si>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</si>
  <si>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</si>
  <si>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</si>
  <si>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</si>
  <si>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</si>
  <si>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</si>
  <si>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</si>
  <si>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</si>
  <si>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</si>
  <si>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</si>
  <si>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</si>
  <si>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</si>
  <si>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</si>
  <si>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</si>
  <si>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</si>
  <si>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</si>
  <si>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</si>
  <si>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</si>
  <si>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</si>
  <si>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</si>
  <si>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</si>
  <si>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</si>
  <si>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</si>
  <si>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</si>
  <si>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</si>
  <si>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</si>
  <si>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</si>
  <si>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</si>
  <si>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</si>
  <si>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</si>
  <si>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</si>
  <si>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</si>
  <si>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</si>
  <si>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</si>
  <si>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</si>
  <si>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</si>
  <si>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</si>
  <si>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</si>
  <si>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</si>
  <si>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</si>
  <si>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</si>
  <si>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</si>
  <si>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</si>
  <si>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</si>
  <si>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</si>
  <si>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</si>
  <si>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</si>
  <si>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</si>
  <si>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</si>
  <si>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</si>
  <si>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</si>
  <si>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</si>
  <si>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</si>
  <si>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</si>
  <si>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北京雷锋小学始建于1946年，1990年由北京市人民政府命名为北京雷锋小学，是北京唯一一所以“雷锋”命名的学校。学校坚持以雷锋精神建校育人，促进师生向上、向善、向美和谐发展。将好习惯养成、学科知识丰富、民族文化传承、志愿公益行为、综合能力提升融为一体的学雷锋教育。坚持用雷锋精神成就师生的共同成长，建构“精神育人 文化引领 质量立校”的雷锋办学目标，用雷锋精神影响生命、文化根植沁润生命、课程育人启迪生命、能力提升幸福生命，着力打造一所有生命、有色彩、有故事、有爱的学校。学校把雷锋精神作为校魂，一直是西城区区委和区教委确定的爱国主义教育基地，我校现有四址办学，东街校区（一、二年级低部）、鼓楼校区（三-五年级高部）、邱家校区（暂时为六年级部）、另一址（铁炉校区）现做为东街和邱家校区操场使用。有42个教学班，学生总数1519人（在读1506人，休学13人），有在职教师109人(上年年末在职教师102人)，退休教师92人(上年末94人)，领导班子成员10人。</t>
    <phoneticPr fontId="4" type="noConversion"/>
  </si>
  <si>
    <t>主要原因是项目经费减少。</t>
    <phoneticPr fontId="4" type="noConversion"/>
  </si>
  <si>
    <t>主要原因是我单位以请专家入校园的方式进行培训指导，因此培训费不需要使用。</t>
    <phoneticPr fontId="4" type="noConversion"/>
  </si>
  <si>
    <t>主要原因是扩班后，学生人数及教师人数均增加，导致追加经费。</t>
    <phoneticPr fontId="4" type="noConversion"/>
  </si>
  <si>
    <t>主要原因是大型项目部分支出结余，因此经费减少。</t>
    <phoneticPr fontId="4" type="noConversion"/>
  </si>
  <si>
    <t>主要原因是单位在职人员增加。</t>
    <phoneticPr fontId="4" type="noConversion"/>
  </si>
  <si>
    <t>主要原因是单位在职人员增加。</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</si>
</sst>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22"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left" vertical="top" wrapText="1"/>
    </xf>
    <xf numFmtId="0" fontId="11" fillId="0" borderId="0" xfId="0" applyFont="1" applyAlignment="1">
      <alignment horizontal="left" vertical="center" shrinkToFit="1"/>
    </xf>
    <xf numFmtId="0" fontId="11" fillId="0" borderId="0" xfId="0" applyFont="1" applyAlignment="1">
      <alignment horizontal="left" vertical="center" wrapText="1"/>
    </xf>
    <xf numFmtId="176" fontId="11" fillId="0" borderId="0" xfId="0" applyNumberFormat="1" applyFont="1" applyAlignment="1">
      <alignment horizontal="lef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RowHeight="14.25"/>
  <cols>
    <col min="1" max="1" width="16.5" customWidth="1"/>
    <col min="2" max="2" width="12.75" bestFit="1" customWidth="1"/>
  </cols>
  <sheetData>
    <row r="1" spans="1:14" ht="37.9" customHeight="1">
      <c r="A1" s="27" t="s">
        <v>0</v>
      </c>
      <c r="B1" s="28">
        <v>255053</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北京雷锋小学</v>
      </c>
      <c r="B11" s="79"/>
      <c r="C11" s="79"/>
      <c r="D11" s="79"/>
      <c r="E11" s="79"/>
      <c r="F11" s="79"/>
      <c r="G11" s="79"/>
      <c r="H11" s="79"/>
      <c r="I11" s="79"/>
      <c r="J11" s="79"/>
      <c r="K11" s="79"/>
      <c r="L11" s="79"/>
      <c r="M11" s="79"/>
      <c r="N11" s="1"/>
    </row>
    <row r="12" spans="1:14" ht="72" customHeight="1">
      <c r="A12" s="79" t="s">
        <v>410</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c r="A1" s="42" t="s">
        <v>322</v>
      </c>
      <c r="B1" s="42" t="s">
        <v>359</v>
      </c>
      <c r="C1" s="75" t="s">
        <v>360</v>
      </c>
      <c r="D1" s="75" t="s">
        <v>361</v>
      </c>
      <c r="E1" s="42" t="s">
        <v>362</v>
      </c>
      <c r="F1" s="42" t="s">
        <v>363</v>
      </c>
      <c r="G1" s="42" t="s">
        <v>364</v>
      </c>
      <c r="H1" s="42" t="s">
        <v>365</v>
      </c>
      <c r="I1" s="42" t="s">
        <v>366</v>
      </c>
      <c r="J1" s="42" t="s">
        <v>367</v>
      </c>
      <c r="K1" s="42" t="s">
        <v>368</v>
      </c>
      <c r="L1" s="42" t="s">
        <v>369</v>
      </c>
      <c r="M1" s="42" t="s">
        <v>370</v>
      </c>
      <c r="N1" s="42" t="s">
        <v>371</v>
      </c>
      <c r="O1" s="42" t="s">
        <v>372</v>
      </c>
      <c r="P1" s="42" t="s">
        <v>373</v>
      </c>
      <c r="Q1" s="75" t="s">
        <v>374</v>
      </c>
      <c r="R1" s="75" t="s">
        <v>375</v>
      </c>
      <c r="S1" s="76" t="s">
        <v>470</v>
      </c>
      <c r="T1" s="76" t="s">
        <v>471</v>
      </c>
      <c r="U1" s="42" t="s">
        <v>376</v>
      </c>
      <c r="V1" s="42" t="s">
        <v>377</v>
      </c>
      <c r="W1" s="75" t="s">
        <v>378</v>
      </c>
      <c r="X1" s="75" t="s">
        <v>379</v>
      </c>
      <c r="Y1" s="42" t="s">
        <v>380</v>
      </c>
      <c r="Z1" s="42" t="s">
        <v>381</v>
      </c>
      <c r="AA1" s="42" t="s">
        <v>382</v>
      </c>
      <c r="AB1" s="42" t="s">
        <v>383</v>
      </c>
      <c r="AC1" s="75" t="s">
        <v>384</v>
      </c>
      <c r="AD1" s="75" t="s">
        <v>385</v>
      </c>
      <c r="AE1" s="42" t="s">
        <v>386</v>
      </c>
      <c r="AF1" s="42" t="s">
        <v>387</v>
      </c>
      <c r="AG1" s="75" t="s">
        <v>388</v>
      </c>
      <c r="AH1" s="75" t="s">
        <v>389</v>
      </c>
      <c r="AI1" s="42" t="s">
        <v>390</v>
      </c>
      <c r="AJ1" s="42" t="s">
        <v>391</v>
      </c>
      <c r="AK1" s="75" t="s">
        <v>392</v>
      </c>
      <c r="AL1" s="75" t="s">
        <v>393</v>
      </c>
      <c r="AM1" s="42" t="s">
        <v>394</v>
      </c>
      <c r="AN1" s="42" t="s">
        <v>395</v>
      </c>
    </row>
    <row r="2" spans="1:40">
      <c r="A2" s="43">
        <v>255001</v>
      </c>
      <c r="B2" s="44" t="s">
        <v>302</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303</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461</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462</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396</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397</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c r="A1" s="21" t="s">
        <v>250</v>
      </c>
      <c r="B1" s="22" t="s">
        <v>251</v>
      </c>
      <c r="C1" s="37" t="s">
        <v>323</v>
      </c>
      <c r="D1" s="37" t="s">
        <v>324</v>
      </c>
      <c r="E1" s="38" t="s">
        <v>325</v>
      </c>
      <c r="F1" s="22" t="s">
        <v>326</v>
      </c>
      <c r="G1" s="22" t="s">
        <v>327</v>
      </c>
      <c r="H1" s="22" t="s">
        <v>328</v>
      </c>
    </row>
    <row r="2" spans="1:8">
      <c r="A2" s="24">
        <v>255001</v>
      </c>
      <c r="B2" s="25" t="s">
        <v>302</v>
      </c>
      <c r="C2" s="39" t="str">
        <f>LEFT(D2,3)</f>
        <v>205</v>
      </c>
      <c r="D2" s="39" t="str">
        <f>LEFT(E2,5)</f>
        <v>20502</v>
      </c>
      <c r="E2" s="39">
        <f>IF(ISNA(VLOOKUP(F2,'2021功能科目'!A:B,2,FALSE)),"",VLOOKUP(F2,'2021功能科目'!A:B,2,FALSE))</f>
        <v>2050201</v>
      </c>
      <c r="F2" s="25" t="s">
        <v>329</v>
      </c>
      <c r="G2" s="26">
        <v>84369469.799999997</v>
      </c>
      <c r="H2" s="26">
        <v>88422700</v>
      </c>
    </row>
    <row r="3" spans="1:8">
      <c r="A3" s="24">
        <v>255001</v>
      </c>
      <c r="B3" s="25" t="s">
        <v>302</v>
      </c>
      <c r="C3" s="39" t="str">
        <f t="shared" ref="C3:C66" si="0">LEFT(D3,3)</f>
        <v>205</v>
      </c>
      <c r="D3" s="39" t="str">
        <f t="shared" ref="D3:D66" si="1">LEFT(E3,5)</f>
        <v>20502</v>
      </c>
      <c r="E3" s="39">
        <f>IF(ISNA(VLOOKUP(F3,'2021功能科目'!A:B,2,FALSE)),"",VLOOKUP(F3,'2021功能科目'!A:B,2,FALSE))</f>
        <v>2050204</v>
      </c>
      <c r="F3" s="25" t="s">
        <v>331</v>
      </c>
      <c r="G3" s="26">
        <v>1817641</v>
      </c>
      <c r="H3" s="26">
        <v>410000</v>
      </c>
    </row>
    <row r="4" spans="1:8">
      <c r="A4" s="24">
        <v>255001</v>
      </c>
      <c r="B4" s="25" t="s">
        <v>302</v>
      </c>
      <c r="C4" s="39" t="str">
        <f t="shared" si="0"/>
        <v>205</v>
      </c>
      <c r="D4" s="39" t="str">
        <f t="shared" si="1"/>
        <v>20502</v>
      </c>
      <c r="E4" s="39">
        <f>IF(ISNA(VLOOKUP(F4,'2021功能科目'!A:B,2,FALSE)),"",VLOOKUP(F4,'2021功能科目'!A:B,2,FALSE))</f>
        <v>2050299</v>
      </c>
      <c r="F4" s="25" t="s">
        <v>332</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345</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331</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332</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333</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335</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336</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337</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338</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340</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341</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342</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343</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344</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345</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331</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332</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333</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335</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336</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337</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338</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340</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341</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342</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343</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344</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345</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331</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332</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333</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335</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336</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337</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338</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340</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341</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342</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343</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344</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345</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331</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332</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333</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335</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336</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337</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338</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340</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341</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342</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343</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344</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345</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331</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332</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333</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335</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336</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337</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338</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339</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340</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341</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342</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343</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344</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345</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331</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332</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333</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335</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336</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337</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338</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340</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341</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342</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343</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344</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345</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331</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332</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333</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335</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336</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337</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338</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340</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341</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342</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343</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344</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331</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332</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333</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335</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336</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337</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338</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340</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341</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342</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343</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344</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345</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331</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332</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333</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334</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335</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336</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337</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338</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340</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341</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342</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343</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344</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331</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332</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333</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335</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336</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337</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338</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340</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341</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342</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343</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344</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345</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331</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332</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333</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334</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335</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336</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337</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338</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340</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341</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342</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343</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344</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345</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331</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332</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333</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336</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337</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338</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340</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341</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342</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343</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344</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345</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331</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332</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333</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335</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336</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337</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338</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340</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341</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342</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343</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344</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345</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332</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333</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336</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337</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338</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340</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341</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342</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343</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344</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331</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333</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336</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337</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338</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340</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342</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343</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344</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345</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331</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332</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333</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335</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336</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337</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338</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340</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341</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342</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343</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344</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345</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331</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332</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333</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335</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336</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337</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338</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340</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341</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342</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343</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344</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345</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331</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332</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333</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335</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336</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337</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338</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340</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341</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342</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343</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344</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331</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332</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333</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335</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336</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337</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338</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340</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341</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342</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343</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344</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345</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332</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333</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335</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336</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337</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338</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340</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341</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342</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343</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344</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345</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331</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332</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333</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335</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336</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337</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338</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340</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341</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342</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343</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344</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345</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332</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333</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336</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337</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338</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340</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341</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342</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343</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344</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345</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332</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333</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335</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336</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337</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338</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340</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341</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342</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343</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344</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346</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333</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336</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337</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338</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339</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340</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341</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342</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343</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344</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331</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332</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346</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333</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348</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336</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337</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338</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340</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341</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342</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343</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344</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329</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330</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345</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331</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332</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333</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334</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335</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336</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337</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338</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340</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341</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342</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343</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344</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330</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332</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333</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336</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337</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338</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340</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341</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342</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343</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344</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330</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332</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333</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334</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336</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337</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338</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340</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342</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343</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344</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330</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332</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333</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335</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336</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337</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338</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340</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342</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343</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344</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330</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332</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333</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334</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335</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336</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337</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338</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340</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342</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343</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344</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330</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332</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333</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334</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335</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336</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337</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338</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340</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342</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343</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344</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330</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332</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333</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334</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336</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337</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338</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340</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342</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343</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344</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330</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332</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333</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335</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336</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337</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338</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340</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342</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343</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344</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330</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332</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333</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334</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335</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336</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337</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338</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340</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342</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343</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344</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330</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332</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333</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334</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335</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336</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337</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338</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340</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341</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342</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343</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344</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330</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332</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333</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335</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336</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337</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338</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340</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342</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343</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344</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330</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332</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333</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334</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335</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336</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337</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338</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340</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341</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342</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343</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344</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330</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332</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333</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334</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336</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337</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338</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340</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342</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343</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344</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330</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332</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333</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335</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336</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337</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338</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340</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341</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342</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343</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344</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330</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332</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333</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334</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335</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336</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337</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338</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340</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341</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342</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343</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344</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330</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332</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333</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334</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335</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336</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337</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338</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340</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342</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343</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344</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330</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332</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333</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335</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336</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337</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338</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340</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341</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342</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343</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344</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330</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332</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333</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334</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335</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336</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337</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338</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340</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342</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343</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344</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330</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332</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333</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334</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335</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336</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337</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338</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340</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342</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343</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344</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330</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332</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333</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335</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336</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337</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338</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340</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342</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343</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344</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330</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332</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333</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334</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335</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336</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337</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338</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340</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341</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342</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343</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344</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330</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332</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333</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335</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336</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337</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338</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340</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342</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343</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344</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330</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332</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333</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334</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335</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336</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337</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338</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339</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340</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341</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342</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343</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344</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330</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332</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333</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334</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336</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337</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338</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340</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342</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343</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344</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330</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332</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333</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334</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335</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349</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336</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337</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338</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340</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342</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343</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344</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330</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332</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333</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334</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335</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336</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337</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338</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340</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341</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342</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343</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344</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330</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332</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333</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334</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335</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336</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337</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338</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340</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341</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342</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343</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344</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330</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332</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333</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335</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336</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337</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338</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340</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341</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342</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343</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344</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330</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332</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333</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335</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336</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337</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338</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340</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341</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342</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343</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344</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330</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332</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333</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335</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336</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337</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338</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340</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341</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342</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343</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344</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330</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332</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333</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335</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336</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337</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338</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340</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341</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342</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343</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344</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330</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332</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333</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336</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337</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338</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340</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342</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343</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344</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330</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332</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333</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334</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335</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336</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337</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338</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340</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341</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342</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343</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344</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330</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332</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333</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336</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337</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338</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340</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341</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342</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343</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344</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329</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333</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349</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336</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337</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338</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340</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341</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342</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343</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344</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329</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333</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349</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336</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337</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338</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340</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341</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342</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343</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344</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329</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333</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349</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336</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337</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338</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340</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341</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342</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343</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344</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329</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333</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349</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336</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337</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338</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340</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342</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343</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344</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329</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333</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349</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336</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337</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338</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340</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342</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343</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344</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329</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333</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349</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336</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337</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338</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340</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341</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342</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343</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344</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329</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333</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349</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336</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337</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338</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340</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342</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343</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344</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329</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333</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349</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336</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337</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338</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340</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342</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343</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344</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336</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343</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329</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331</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332</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350</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333</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349</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336</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337</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338</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340</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342</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343</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344</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329</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345</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331</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332</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350</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333</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335</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336</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337</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338</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340</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342</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343</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344</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332</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352</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333</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336</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337</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338</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340</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342</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343</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344</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332</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333</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336</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337</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338</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340</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341</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342</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343</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344</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332</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333</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349</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353</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336</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337</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338</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340</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341</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342</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343</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344</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332</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333</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349</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336</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337</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338</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340</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342</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343</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344</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332</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333</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349</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336</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337</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338</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340</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342</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343</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344</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332</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333</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349</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336</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337</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338</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340</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342</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343</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344</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332</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333</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336</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337</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338</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340</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342</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343</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344</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332</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333</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336</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337</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338</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340</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342</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343</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344</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354</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333</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349</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336</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337</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338</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340</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341</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342</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343</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344</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332</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333</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336</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337</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338</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340</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342</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343</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344</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332</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333</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349</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336</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337</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338</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340</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342</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343</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344</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354</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333</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336</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337</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338</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340</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342</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343</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344</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332</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333</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336</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337</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338</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340</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342</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343</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344</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332</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333</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336</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337</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338</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340</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342</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343</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344</v>
      </c>
      <c r="G975" s="26">
        <v>279288</v>
      </c>
      <c r="H975" s="26">
        <v>279288</v>
      </c>
    </row>
    <row r="976" spans="1:8">
      <c r="A976" s="24">
        <v>255108</v>
      </c>
      <c r="B976" s="25" t="s">
        <v>309</v>
      </c>
      <c r="C976" s="39" t="str">
        <f t="shared" si="30"/>
        <v>205</v>
      </c>
      <c r="D976" s="39" t="str">
        <f t="shared" si="31"/>
        <v>20502</v>
      </c>
      <c r="E976" s="39">
        <f>IF(ISNA(VLOOKUP(F976,'2021功能科目'!A:B,2,FALSE)),"",VLOOKUP(F976,'2021功能科目'!A:B,2,FALSE))</f>
        <v>2050299</v>
      </c>
      <c r="F976" s="25" t="s">
        <v>332</v>
      </c>
      <c r="G976" s="26">
        <v>2062299.14</v>
      </c>
      <c r="H976" s="26">
        <v>1861343.69</v>
      </c>
    </row>
    <row r="977" spans="1:8">
      <c r="A977" s="24">
        <v>255108</v>
      </c>
      <c r="B977" s="25" t="s">
        <v>309</v>
      </c>
      <c r="C977" s="39" t="str">
        <f t="shared" si="30"/>
        <v>205</v>
      </c>
      <c r="D977" s="39" t="str">
        <f t="shared" si="31"/>
        <v>20508</v>
      </c>
      <c r="E977" s="39">
        <f>IF(ISNA(VLOOKUP(F977,'2021功能科目'!A:B,2,FALSE)),"",VLOOKUP(F977,'2021功能科目'!A:B,2,FALSE))</f>
        <v>2050803</v>
      </c>
      <c r="F977" s="25" t="s">
        <v>333</v>
      </c>
      <c r="G977" s="26">
        <v>0</v>
      </c>
      <c r="H977" s="26">
        <v>6120</v>
      </c>
    </row>
    <row r="978" spans="1:8">
      <c r="A978" s="24">
        <v>255108</v>
      </c>
      <c r="B978" s="25" t="s">
        <v>309</v>
      </c>
      <c r="C978" s="39" t="str">
        <f t="shared" si="30"/>
        <v>208</v>
      </c>
      <c r="D978" s="39" t="str">
        <f t="shared" si="31"/>
        <v>20805</v>
      </c>
      <c r="E978" s="39">
        <f>IF(ISNA(VLOOKUP(F978,'2021功能科目'!A:B,2,FALSE)),"",VLOOKUP(F978,'2021功能科目'!A:B,2,FALSE))</f>
        <v>2080505</v>
      </c>
      <c r="F978" s="25" t="s">
        <v>337</v>
      </c>
      <c r="G978" s="26">
        <v>227009.92000000001</v>
      </c>
      <c r="H978" s="26">
        <v>233242.54</v>
      </c>
    </row>
    <row r="979" spans="1:8">
      <c r="A979" s="24">
        <v>255108</v>
      </c>
      <c r="B979" s="25" t="s">
        <v>309</v>
      </c>
      <c r="C979" s="39" t="str">
        <f t="shared" si="30"/>
        <v>208</v>
      </c>
      <c r="D979" s="39" t="str">
        <f t="shared" si="31"/>
        <v>20805</v>
      </c>
      <c r="E979" s="39">
        <f>IF(ISNA(VLOOKUP(F979,'2021功能科目'!A:B,2,FALSE)),"",VLOOKUP(F979,'2021功能科目'!A:B,2,FALSE))</f>
        <v>2080506</v>
      </c>
      <c r="F979" s="25" t="s">
        <v>338</v>
      </c>
      <c r="G979" s="26">
        <v>113504.96000000001</v>
      </c>
      <c r="H979" s="26">
        <v>116621.27</v>
      </c>
    </row>
    <row r="980" spans="1:8">
      <c r="A980" s="24">
        <v>255108</v>
      </c>
      <c r="B980" s="25" t="s">
        <v>309</v>
      </c>
      <c r="C980" s="39" t="str">
        <f t="shared" si="30"/>
        <v>210</v>
      </c>
      <c r="D980" s="39" t="str">
        <f t="shared" si="31"/>
        <v>21011</v>
      </c>
      <c r="E980" s="39">
        <f>IF(ISNA(VLOOKUP(F980,'2021功能科目'!A:B,2,FALSE)),"",VLOOKUP(F980,'2021功能科目'!A:B,2,FALSE))</f>
        <v>2101102</v>
      </c>
      <c r="F980" s="25" t="s">
        <v>340</v>
      </c>
      <c r="G980" s="26">
        <v>227782.67</v>
      </c>
      <c r="H980" s="26">
        <v>189509.56</v>
      </c>
    </row>
    <row r="981" spans="1:8">
      <c r="A981" s="24">
        <v>255108</v>
      </c>
      <c r="B981" s="25" t="s">
        <v>309</v>
      </c>
      <c r="C981" s="39" t="str">
        <f t="shared" si="30"/>
        <v>221</v>
      </c>
      <c r="D981" s="39" t="str">
        <f t="shared" si="31"/>
        <v>22102</v>
      </c>
      <c r="E981" s="39">
        <f>IF(ISNA(VLOOKUP(F981,'2021功能科目'!A:B,2,FALSE)),"",VLOOKUP(F981,'2021功能科目'!A:B,2,FALSE))</f>
        <v>2210201</v>
      </c>
      <c r="F981" s="25" t="s">
        <v>342</v>
      </c>
      <c r="G981" s="26">
        <v>220664</v>
      </c>
      <c r="H981" s="26">
        <v>194371.91</v>
      </c>
    </row>
    <row r="982" spans="1:8">
      <c r="A982" s="24">
        <v>255108</v>
      </c>
      <c r="B982" s="25" t="s">
        <v>309</v>
      </c>
      <c r="C982" s="39" t="str">
        <f t="shared" si="30"/>
        <v>221</v>
      </c>
      <c r="D982" s="39" t="str">
        <f t="shared" si="31"/>
        <v>22102</v>
      </c>
      <c r="E982" s="39">
        <f>IF(ISNA(VLOOKUP(F982,'2021功能科目'!A:B,2,FALSE)),"",VLOOKUP(F982,'2021功能科目'!A:B,2,FALSE))</f>
        <v>2210203</v>
      </c>
      <c r="F982" s="25" t="s">
        <v>344</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332</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333</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349</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336</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337</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338</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340</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342</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343</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344</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332</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333</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336</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337</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338</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340</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342</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343</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344</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329</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333</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349</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336</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337</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338</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340</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342</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343</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344</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330</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332</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333</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335</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336</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337</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338</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340</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342</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343</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344</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332</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333</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336</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337</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338</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340</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342</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343</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344</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330</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345</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331</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332</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333</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335</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336</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337</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338</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340</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341</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342</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343</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344</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345</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331</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332</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333</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334</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335</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466</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336</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337</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338</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339</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340</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341</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342</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343</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344</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331</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332</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333</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335</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466</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336</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337</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338</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340</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341</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342</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343</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344</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331</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333</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335</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336</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337</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338</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340</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341</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342</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343</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344</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345</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331</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332</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333</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335</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336</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337</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338</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340</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341</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342</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343</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344</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332</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346</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333</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336</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337</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338</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340</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341</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342</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343</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344</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331</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333</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336</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337</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338</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340</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341</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342</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343</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344</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345</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331</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332</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333</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335</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336</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337</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338</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340</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341</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342</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343</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344</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345</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331</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332</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333</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335</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336</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337</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338</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339</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340</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341</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342</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343</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344</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345</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331</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332</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333</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335</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336</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337</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338</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340</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341</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342</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343</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344</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330</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332</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333</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334</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335</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336</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337</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338</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340</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341</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342</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343</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344</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330</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332</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333</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335</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336</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337</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338</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340</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341</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342</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343</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344</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330</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332</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333</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334</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335</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336</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337</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338</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340</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342</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343</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344</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330</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332</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333</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335</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336</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337</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338</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340</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341</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342</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343</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344</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330</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332</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333</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334</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335</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336</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337</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338</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340</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341</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342</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343</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344</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330</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332</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333</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335</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336</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337</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338</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340</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342</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343</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344</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330</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332</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333</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335</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336</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337</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338</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340</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342</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343</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344</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330</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332</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333</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335</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336</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337</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338</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340</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342</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343</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344</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330</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332</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333</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334</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336</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337</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338</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340</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341</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342</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343</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344</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330</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332</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333</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334</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335</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336</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337</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338</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339</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340</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341</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342</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343</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344</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330</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332</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333</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335</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336</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337</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338</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340</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341</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342</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343</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344</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330</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332</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333</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335</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336</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337</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338</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340</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342</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343</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344</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330</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332</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333</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334</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336</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337</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338</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340</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341</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342</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343</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344</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330</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332</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333</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334</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336</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337</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338</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340</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342</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343</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344</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330</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332</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333</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335</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336</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337</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338</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340</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341</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342</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343</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344</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330</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332</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333</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334</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335</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336</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337</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338</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340</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342</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343</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344</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330</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332</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333</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335</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336</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337</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338</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340</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341</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342</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343</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344</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330</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332</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333</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334</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336</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337</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338</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340</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342</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343</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344</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330</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332</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333</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335</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336</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337</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338</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340</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342</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343</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344</v>
      </c>
      <c r="G1384" s="26">
        <v>1027932</v>
      </c>
      <c r="H1384" s="26">
        <v>1027932</v>
      </c>
    </row>
    <row r="1385" spans="1:8">
      <c r="A1385" s="24">
        <v>255154</v>
      </c>
      <c r="B1385" s="25" t="s">
        <v>460</v>
      </c>
      <c r="C1385" s="39" t="str">
        <f t="shared" si="42"/>
        <v>205</v>
      </c>
      <c r="D1385" s="39" t="str">
        <f t="shared" si="43"/>
        <v>20502</v>
      </c>
      <c r="E1385" s="39">
        <f>IF(ISNA(VLOOKUP(F1385,'2021功能科目'!A:B,2,FALSE)),"",VLOOKUP(F1385,'2021功能科目'!A:B,2,FALSE))</f>
        <v>2050202</v>
      </c>
      <c r="F1385" s="25" t="s">
        <v>330</v>
      </c>
      <c r="G1385" s="26">
        <v>20179239.84</v>
      </c>
      <c r="H1385" s="26">
        <v>17536632.91</v>
      </c>
    </row>
    <row r="1386" spans="1:8">
      <c r="A1386" s="24">
        <v>255154</v>
      </c>
      <c r="B1386" s="25" t="s">
        <v>460</v>
      </c>
      <c r="C1386" s="39" t="str">
        <f t="shared" si="42"/>
        <v>205</v>
      </c>
      <c r="D1386" s="39" t="str">
        <f t="shared" si="43"/>
        <v>20502</v>
      </c>
      <c r="E1386" s="39">
        <f>IF(ISNA(VLOOKUP(F1386,'2021功能科目'!A:B,2,FALSE)),"",VLOOKUP(F1386,'2021功能科目'!A:B,2,FALSE))</f>
        <v>2050299</v>
      </c>
      <c r="F1386" s="25" t="s">
        <v>332</v>
      </c>
      <c r="G1386" s="26">
        <v>825091.53</v>
      </c>
      <c r="H1386" s="26">
        <v>797250</v>
      </c>
    </row>
    <row r="1387" spans="1:8">
      <c r="A1387" s="24">
        <v>255154</v>
      </c>
      <c r="B1387" s="25" t="s">
        <v>460</v>
      </c>
      <c r="C1387" s="39" t="str">
        <f t="shared" si="42"/>
        <v>205</v>
      </c>
      <c r="D1387" s="39" t="str">
        <f t="shared" si="43"/>
        <v>20508</v>
      </c>
      <c r="E1387" s="39">
        <f>IF(ISNA(VLOOKUP(F1387,'2021功能科目'!A:B,2,FALSE)),"",VLOOKUP(F1387,'2021功能科目'!A:B,2,FALSE))</f>
        <v>2050803</v>
      </c>
      <c r="F1387" s="25" t="s">
        <v>333</v>
      </c>
      <c r="G1387" s="26">
        <v>42840</v>
      </c>
      <c r="H1387" s="26">
        <v>42840</v>
      </c>
    </row>
    <row r="1388" spans="1:8">
      <c r="A1388" s="24">
        <v>255154</v>
      </c>
      <c r="B1388" s="25" t="s">
        <v>460</v>
      </c>
      <c r="C1388" s="39" t="str">
        <f t="shared" si="42"/>
        <v>205</v>
      </c>
      <c r="D1388" s="39" t="str">
        <f t="shared" si="43"/>
        <v>20509</v>
      </c>
      <c r="E1388" s="39">
        <f>IF(ISNA(VLOOKUP(F1388,'2021功能科目'!A:B,2,FALSE)),"",VLOOKUP(F1388,'2021功能科目'!A:B,2,FALSE))</f>
        <v>2050904</v>
      </c>
      <c r="F1388" s="25" t="s">
        <v>335</v>
      </c>
      <c r="G1388" s="26">
        <v>7282</v>
      </c>
      <c r="H1388" s="26">
        <v>7282</v>
      </c>
    </row>
    <row r="1389" spans="1:8">
      <c r="A1389" s="24">
        <v>255154</v>
      </c>
      <c r="B1389" s="25" t="s">
        <v>460</v>
      </c>
      <c r="C1389" s="39" t="str">
        <f t="shared" si="42"/>
        <v>208</v>
      </c>
      <c r="D1389" s="39" t="str">
        <f t="shared" si="43"/>
        <v>20805</v>
      </c>
      <c r="E1389" s="39">
        <f>IF(ISNA(VLOOKUP(F1389,'2021功能科目'!A:B,2,FALSE)),"",VLOOKUP(F1389,'2021功能科目'!A:B,2,FALSE))</f>
        <v>2080502</v>
      </c>
      <c r="F1389" s="25" t="s">
        <v>336</v>
      </c>
      <c r="G1389" s="26">
        <v>408722.56</v>
      </c>
      <c r="H1389" s="26">
        <v>408726</v>
      </c>
    </row>
    <row r="1390" spans="1:8">
      <c r="A1390" s="24">
        <v>255154</v>
      </c>
      <c r="B1390" s="25" t="s">
        <v>460</v>
      </c>
      <c r="C1390" s="39" t="str">
        <f t="shared" si="42"/>
        <v>208</v>
      </c>
      <c r="D1390" s="39" t="str">
        <f t="shared" si="43"/>
        <v>20805</v>
      </c>
      <c r="E1390" s="39">
        <f>IF(ISNA(VLOOKUP(F1390,'2021功能科目'!A:B,2,FALSE)),"",VLOOKUP(F1390,'2021功能科目'!A:B,2,FALSE))</f>
        <v>2080505</v>
      </c>
      <c r="F1390" s="25" t="s">
        <v>337</v>
      </c>
      <c r="G1390" s="26">
        <v>1909234.88</v>
      </c>
      <c r="H1390" s="26">
        <v>2017116.26</v>
      </c>
    </row>
    <row r="1391" spans="1:8">
      <c r="A1391" s="24">
        <v>255154</v>
      </c>
      <c r="B1391" s="25" t="s">
        <v>460</v>
      </c>
      <c r="C1391" s="39" t="str">
        <f t="shared" si="42"/>
        <v>208</v>
      </c>
      <c r="D1391" s="39" t="str">
        <f t="shared" si="43"/>
        <v>20805</v>
      </c>
      <c r="E1391" s="39">
        <f>IF(ISNA(VLOOKUP(F1391,'2021功能科目'!A:B,2,FALSE)),"",VLOOKUP(F1391,'2021功能科目'!A:B,2,FALSE))</f>
        <v>2080506</v>
      </c>
      <c r="F1391" s="25" t="s">
        <v>338</v>
      </c>
      <c r="G1391" s="26">
        <v>954617.44</v>
      </c>
      <c r="H1391" s="26">
        <v>1008558.13</v>
      </c>
    </row>
    <row r="1392" spans="1:8">
      <c r="A1392" s="24">
        <v>255154</v>
      </c>
      <c r="B1392" s="25" t="s">
        <v>460</v>
      </c>
      <c r="C1392" s="39" t="str">
        <f t="shared" si="42"/>
        <v>210</v>
      </c>
      <c r="D1392" s="39" t="str">
        <f t="shared" si="43"/>
        <v>21011</v>
      </c>
      <c r="E1392" s="39">
        <f>IF(ISNA(VLOOKUP(F1392,'2021功能科目'!A:B,2,FALSE)),"",VLOOKUP(F1392,'2021功能科目'!A:B,2,FALSE))</f>
        <v>2101102</v>
      </c>
      <c r="F1392" s="25" t="s">
        <v>340</v>
      </c>
      <c r="G1392" s="26">
        <v>1645115.15</v>
      </c>
      <c r="H1392" s="26">
        <v>1638906.96</v>
      </c>
    </row>
    <row r="1393" spans="1:8">
      <c r="A1393" s="24">
        <v>255154</v>
      </c>
      <c r="B1393" s="25" t="s">
        <v>460</v>
      </c>
      <c r="C1393" s="39" t="str">
        <f t="shared" si="42"/>
        <v>221</v>
      </c>
      <c r="D1393" s="39" t="str">
        <f t="shared" si="43"/>
        <v>22102</v>
      </c>
      <c r="E1393" s="39">
        <f>IF(ISNA(VLOOKUP(F1393,'2021功能科目'!A:B,2,FALSE)),"",VLOOKUP(F1393,'2021功能科目'!A:B,2,FALSE))</f>
        <v>2210201</v>
      </c>
      <c r="F1393" s="25" t="s">
        <v>342</v>
      </c>
      <c r="G1393" s="26">
        <v>1703381</v>
      </c>
      <c r="H1393" s="26">
        <v>1648917.2</v>
      </c>
    </row>
    <row r="1394" spans="1:8">
      <c r="A1394" s="24">
        <v>255154</v>
      </c>
      <c r="B1394" s="25" t="s">
        <v>460</v>
      </c>
      <c r="C1394" s="39" t="str">
        <f t="shared" si="42"/>
        <v>221</v>
      </c>
      <c r="D1394" s="39" t="str">
        <f t="shared" si="43"/>
        <v>22102</v>
      </c>
      <c r="E1394" s="39">
        <f>IF(ISNA(VLOOKUP(F1394,'2021功能科目'!A:B,2,FALSE)),"",VLOOKUP(F1394,'2021功能科目'!A:B,2,FALSE))</f>
        <v>2210202</v>
      </c>
      <c r="F1394" s="25" t="s">
        <v>343</v>
      </c>
      <c r="G1394" s="26">
        <v>36120</v>
      </c>
      <c r="H1394" s="26">
        <v>36240</v>
      </c>
    </row>
    <row r="1395" spans="1:8">
      <c r="A1395" s="24">
        <v>255154</v>
      </c>
      <c r="B1395" s="25" t="s">
        <v>460</v>
      </c>
      <c r="C1395" s="39" t="str">
        <f t="shared" si="42"/>
        <v>221</v>
      </c>
      <c r="D1395" s="39" t="str">
        <f t="shared" si="43"/>
        <v>22102</v>
      </c>
      <c r="E1395" s="39">
        <f>IF(ISNA(VLOOKUP(F1395,'2021功能科目'!A:B,2,FALSE)),"",VLOOKUP(F1395,'2021功能科目'!A:B,2,FALSE))</f>
        <v>2210203</v>
      </c>
      <c r="F1395" s="25" t="s">
        <v>344</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330</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332</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333</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335</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336</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337</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338</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340</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342</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343</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344</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330</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332</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333</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334</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335</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336</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337</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338</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340</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342</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343</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344</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329</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333</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349</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336</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337</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338</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340</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342</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343</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344</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329</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333</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349</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336</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337</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338</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340</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341</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342</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343</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344</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329</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333</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336</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337</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338</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340</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342</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343</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344</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329</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333</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466</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336</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337</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338</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340</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342</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343</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344</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329</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349</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336</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337</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338</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340</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342</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343</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344</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329</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333</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349</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336</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337</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338</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340</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342</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343</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344</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329</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333</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349</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336</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337</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338</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340</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342</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343</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344</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329</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333</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349</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336</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337</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338</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340</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342</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343</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344</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329</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333</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349</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336</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337</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338</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340</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342</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343</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344</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329</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333</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336</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337</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338</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340</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341</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342</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343</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344</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329</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333</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336</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337</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338</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340</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342</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343</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344</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329</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333</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349</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336</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337</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338</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340</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342</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343</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344</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329</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333</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349</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336</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337</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338</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340</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342</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343</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344</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356</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333</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349</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336</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337</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338</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340</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341</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342</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343</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344</v>
      </c>
      <c r="G1557" s="26">
        <v>1342028</v>
      </c>
      <c r="H1557" s="26">
        <v>1328208</v>
      </c>
    </row>
    <row r="1558" spans="1:8">
      <c r="A1558" s="24">
        <v>255172</v>
      </c>
      <c r="B1558" s="25" t="s">
        <v>310</v>
      </c>
      <c r="C1558" s="39" t="str">
        <f t="shared" si="48"/>
        <v>205</v>
      </c>
      <c r="D1558" s="39" t="str">
        <f t="shared" si="49"/>
        <v>20504</v>
      </c>
      <c r="E1558" s="39">
        <f>IF(ISNA(VLOOKUP(F1558,'2021功能科目'!A:B,2,FALSE)),"",VLOOKUP(F1558,'2021功能科目'!A:B,2,FALSE))</f>
        <v>2050404</v>
      </c>
      <c r="F1558" s="25" t="s">
        <v>357</v>
      </c>
      <c r="G1558" s="26">
        <v>6645811.0700000003</v>
      </c>
      <c r="H1558" s="26">
        <v>6446171.9800000004</v>
      </c>
    </row>
    <row r="1559" spans="1:8">
      <c r="A1559" s="24">
        <v>255172</v>
      </c>
      <c r="B1559" s="25" t="s">
        <v>310</v>
      </c>
      <c r="C1559" s="39" t="str">
        <f t="shared" si="48"/>
        <v>205</v>
      </c>
      <c r="D1559" s="39" t="str">
        <f t="shared" si="49"/>
        <v>20508</v>
      </c>
      <c r="E1559" s="39">
        <f>IF(ISNA(VLOOKUP(F1559,'2021功能科目'!A:B,2,FALSE)),"",VLOOKUP(F1559,'2021功能科目'!A:B,2,FALSE))</f>
        <v>2050803</v>
      </c>
      <c r="F1559" s="25" t="s">
        <v>333</v>
      </c>
      <c r="G1559" s="26">
        <v>5119</v>
      </c>
      <c r="H1559" s="26">
        <v>17000</v>
      </c>
    </row>
    <row r="1560" spans="1:8">
      <c r="A1560" s="24">
        <v>255172</v>
      </c>
      <c r="B1560" s="25" t="s">
        <v>310</v>
      </c>
      <c r="C1560" s="39" t="str">
        <f t="shared" si="48"/>
        <v>208</v>
      </c>
      <c r="D1560" s="39" t="str">
        <f t="shared" si="49"/>
        <v>20805</v>
      </c>
      <c r="E1560" s="39">
        <f>IF(ISNA(VLOOKUP(F1560,'2021功能科目'!A:B,2,FALSE)),"",VLOOKUP(F1560,'2021功能科目'!A:B,2,FALSE))</f>
        <v>2080502</v>
      </c>
      <c r="F1560" s="25" t="s">
        <v>336</v>
      </c>
      <c r="G1560" s="26">
        <v>230917</v>
      </c>
      <c r="H1560" s="26">
        <v>224842</v>
      </c>
    </row>
    <row r="1561" spans="1:8">
      <c r="A1561" s="24">
        <v>255172</v>
      </c>
      <c r="B1561" s="25" t="s">
        <v>310</v>
      </c>
      <c r="C1561" s="39" t="str">
        <f t="shared" si="48"/>
        <v>208</v>
      </c>
      <c r="D1561" s="39" t="str">
        <f t="shared" si="49"/>
        <v>20805</v>
      </c>
      <c r="E1561" s="39">
        <f>IF(ISNA(VLOOKUP(F1561,'2021功能科目'!A:B,2,FALSE)),"",VLOOKUP(F1561,'2021功能科目'!A:B,2,FALSE))</f>
        <v>2080505</v>
      </c>
      <c r="F1561" s="25" t="s">
        <v>337</v>
      </c>
      <c r="G1561" s="26">
        <v>710000</v>
      </c>
      <c r="H1561" s="26">
        <v>728315.2</v>
      </c>
    </row>
    <row r="1562" spans="1:8">
      <c r="A1562" s="24">
        <v>255172</v>
      </c>
      <c r="B1562" s="25" t="s">
        <v>310</v>
      </c>
      <c r="C1562" s="39" t="str">
        <f t="shared" si="48"/>
        <v>208</v>
      </c>
      <c r="D1562" s="39" t="str">
        <f t="shared" si="49"/>
        <v>20805</v>
      </c>
      <c r="E1562" s="39">
        <f>IF(ISNA(VLOOKUP(F1562,'2021功能科目'!A:B,2,FALSE)),"",VLOOKUP(F1562,'2021功能科目'!A:B,2,FALSE))</f>
        <v>2080506</v>
      </c>
      <c r="F1562" s="25" t="s">
        <v>338</v>
      </c>
      <c r="G1562" s="26">
        <v>340000</v>
      </c>
      <c r="H1562" s="26">
        <v>364157.6</v>
      </c>
    </row>
    <row r="1563" spans="1:8">
      <c r="A1563" s="24">
        <v>255172</v>
      </c>
      <c r="B1563" s="25" t="s">
        <v>310</v>
      </c>
      <c r="C1563" s="39" t="str">
        <f t="shared" si="48"/>
        <v>210</v>
      </c>
      <c r="D1563" s="39" t="str">
        <f t="shared" si="49"/>
        <v>21011</v>
      </c>
      <c r="E1563" s="39">
        <f>IF(ISNA(VLOOKUP(F1563,'2021功能科目'!A:B,2,FALSE)),"",VLOOKUP(F1563,'2021功能科目'!A:B,2,FALSE))</f>
        <v>2101102</v>
      </c>
      <c r="F1563" s="25" t="s">
        <v>340</v>
      </c>
      <c r="G1563" s="26">
        <v>550000</v>
      </c>
      <c r="H1563" s="26">
        <v>591756.1</v>
      </c>
    </row>
    <row r="1564" spans="1:8">
      <c r="A1564" s="24">
        <v>255172</v>
      </c>
      <c r="B1564" s="25" t="s">
        <v>310</v>
      </c>
      <c r="C1564" s="39" t="str">
        <f t="shared" si="48"/>
        <v>221</v>
      </c>
      <c r="D1564" s="39" t="str">
        <f t="shared" si="49"/>
        <v>22102</v>
      </c>
      <c r="E1564" s="39">
        <f>IF(ISNA(VLOOKUP(F1564,'2021功能科目'!A:B,2,FALSE)),"",VLOOKUP(F1564,'2021功能科目'!A:B,2,FALSE))</f>
        <v>2210201</v>
      </c>
      <c r="F1564" s="25" t="s">
        <v>342</v>
      </c>
      <c r="G1564" s="26">
        <v>608112.4</v>
      </c>
      <c r="H1564" s="26">
        <v>600236.4</v>
      </c>
    </row>
    <row r="1565" spans="1:8">
      <c r="A1565" s="24">
        <v>255172</v>
      </c>
      <c r="B1565" s="25" t="s">
        <v>310</v>
      </c>
      <c r="C1565" s="39" t="str">
        <f t="shared" si="48"/>
        <v>221</v>
      </c>
      <c r="D1565" s="39" t="str">
        <f t="shared" si="49"/>
        <v>22102</v>
      </c>
      <c r="E1565" s="39">
        <f>IF(ISNA(VLOOKUP(F1565,'2021功能科目'!A:B,2,FALSE)),"",VLOOKUP(F1565,'2021功能科目'!A:B,2,FALSE))</f>
        <v>2210202</v>
      </c>
      <c r="F1565" s="25" t="s">
        <v>343</v>
      </c>
      <c r="G1565" s="26">
        <v>20370</v>
      </c>
      <c r="H1565" s="26">
        <v>19920</v>
      </c>
    </row>
    <row r="1566" spans="1:8">
      <c r="A1566" s="24">
        <v>255172</v>
      </c>
      <c r="B1566" s="25" t="s">
        <v>310</v>
      </c>
      <c r="C1566" s="39" t="str">
        <f t="shared" si="48"/>
        <v>221</v>
      </c>
      <c r="D1566" s="39" t="str">
        <f t="shared" si="49"/>
        <v>22102</v>
      </c>
      <c r="E1566" s="39">
        <f>IF(ISNA(VLOOKUP(F1566,'2021功能科目'!A:B,2,FALSE)),"",VLOOKUP(F1566,'2021功能科目'!A:B,2,FALSE))</f>
        <v>2210203</v>
      </c>
      <c r="F1566" s="25" t="s">
        <v>344</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354</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333</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349</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336</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337</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338</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340</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341</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342</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343</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344</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332</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333</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336</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337</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338</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340</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341</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342</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343</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344</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332</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333</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349</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466</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353</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336</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337</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338</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340</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342</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343</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344</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332</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333</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349</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336</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337</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338</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340</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342</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343</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344</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332</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333</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349</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336</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337</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338</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340</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342</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343</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344</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329</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330</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345</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331</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332</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351</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333</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349</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336</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337</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338</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340</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341</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358</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342</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343</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344</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346</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333</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348</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336</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337</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338</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340</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341</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342</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343</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344</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331</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332</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333</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335</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336</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337</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338</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340</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341</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342</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343</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344</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331</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332</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333</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335</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336</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337</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338</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340</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342</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343</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344</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332</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333</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349</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336</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337</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338</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340</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342</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343</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344</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329</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333</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336</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337</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338</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340</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342</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343</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344</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329</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333</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349</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337</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338</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340</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342</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344</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330</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332</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333</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334</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349</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337</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338</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340</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342</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344</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329</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333</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336</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337</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338</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340</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342</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343</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344</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329</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333</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349</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337</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338</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340</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342</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344</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329</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333</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349</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337</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338</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340</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342</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344</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329</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333</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349</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337</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338</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340</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342</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344</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329</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333</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349</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337</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338</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340</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342</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344</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332</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333</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337</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338</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340</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342</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344</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332</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333</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349</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337</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338</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340</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342</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344</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332</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333</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349</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337</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338</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340</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342</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344</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330</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332</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333</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349</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337</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338</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340</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342</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344</v>
      </c>
      <c r="G1780" s="26">
        <v>106262</v>
      </c>
      <c r="H1780" s="26">
        <v>92328</v>
      </c>
    </row>
    <row r="1781" spans="1:8">
      <c r="A1781" s="24">
        <v>255204</v>
      </c>
      <c r="B1781" s="25" t="s">
        <v>461</v>
      </c>
      <c r="C1781" s="39" t="str">
        <f t="shared" si="54"/>
        <v>205</v>
      </c>
      <c r="D1781" s="39" t="str">
        <f t="shared" si="55"/>
        <v>20502</v>
      </c>
      <c r="E1781" s="39">
        <f>IF(ISNA(VLOOKUP(F1781,'2021功能科目'!A:B,2,FALSE)),"",VLOOKUP(F1781,'2021功能科目'!A:B,2,FALSE))</f>
        <v>2050203</v>
      </c>
      <c r="F1781" s="25" t="s">
        <v>345</v>
      </c>
      <c r="G1781" s="26">
        <v>18918585.870000001</v>
      </c>
      <c r="H1781" s="26">
        <v>0</v>
      </c>
    </row>
    <row r="1782" spans="1:8">
      <c r="A1782" s="24">
        <v>255204</v>
      </c>
      <c r="B1782" s="25" t="s">
        <v>461</v>
      </c>
      <c r="C1782" s="39" t="str">
        <f t="shared" si="54"/>
        <v>205</v>
      </c>
      <c r="D1782" s="39" t="str">
        <f t="shared" si="55"/>
        <v>20508</v>
      </c>
      <c r="E1782" s="39">
        <f>IF(ISNA(VLOOKUP(F1782,'2021功能科目'!A:B,2,FALSE)),"",VLOOKUP(F1782,'2021功能科目'!A:B,2,FALSE))</f>
        <v>2050803</v>
      </c>
      <c r="F1782" s="25" t="s">
        <v>333</v>
      </c>
      <c r="G1782" s="26">
        <v>6667</v>
      </c>
      <c r="H1782" s="26">
        <v>0</v>
      </c>
    </row>
    <row r="1783" spans="1:8">
      <c r="A1783" s="24">
        <v>255204</v>
      </c>
      <c r="B1783" s="25" t="s">
        <v>461</v>
      </c>
      <c r="C1783" s="39" t="str">
        <f t="shared" si="54"/>
        <v>208</v>
      </c>
      <c r="D1783" s="39" t="str">
        <f t="shared" si="55"/>
        <v>20805</v>
      </c>
      <c r="E1783" s="39">
        <f>IF(ISNA(VLOOKUP(F1783,'2021功能科目'!A:B,2,FALSE)),"",VLOOKUP(F1783,'2021功能科目'!A:B,2,FALSE))</f>
        <v>2080505</v>
      </c>
      <c r="F1783" s="25" t="s">
        <v>337</v>
      </c>
      <c r="G1783" s="26">
        <v>206471.84</v>
      </c>
      <c r="H1783" s="26">
        <v>0</v>
      </c>
    </row>
    <row r="1784" spans="1:8">
      <c r="A1784" s="24">
        <v>255204</v>
      </c>
      <c r="B1784" s="25" t="s">
        <v>461</v>
      </c>
      <c r="C1784" s="39" t="str">
        <f t="shared" si="54"/>
        <v>208</v>
      </c>
      <c r="D1784" s="39" t="str">
        <f t="shared" si="55"/>
        <v>20805</v>
      </c>
      <c r="E1784" s="39">
        <f>IF(ISNA(VLOOKUP(F1784,'2021功能科目'!A:B,2,FALSE)),"",VLOOKUP(F1784,'2021功能科目'!A:B,2,FALSE))</f>
        <v>2080506</v>
      </c>
      <c r="F1784" s="25" t="s">
        <v>338</v>
      </c>
      <c r="G1784" s="26">
        <v>103235.92</v>
      </c>
      <c r="H1784" s="26">
        <v>0</v>
      </c>
    </row>
    <row r="1785" spans="1:8">
      <c r="A1785" s="24">
        <v>255204</v>
      </c>
      <c r="B1785" s="25" t="s">
        <v>461</v>
      </c>
      <c r="C1785" s="39" t="str">
        <f t="shared" si="54"/>
        <v>210</v>
      </c>
      <c r="D1785" s="39" t="str">
        <f t="shared" si="55"/>
        <v>21011</v>
      </c>
      <c r="E1785" s="39">
        <f>IF(ISNA(VLOOKUP(F1785,'2021功能科目'!A:B,2,FALSE)),"",VLOOKUP(F1785,'2021功能科目'!A:B,2,FALSE))</f>
        <v>2101102</v>
      </c>
      <c r="F1785" s="25" t="s">
        <v>340</v>
      </c>
      <c r="G1785" s="26">
        <v>180051.17</v>
      </c>
      <c r="H1785" s="26">
        <v>0</v>
      </c>
    </row>
    <row r="1786" spans="1:8">
      <c r="A1786" s="24">
        <v>255204</v>
      </c>
      <c r="B1786" s="25" t="s">
        <v>461</v>
      </c>
      <c r="C1786" s="39" t="str">
        <f t="shared" si="54"/>
        <v>221</v>
      </c>
      <c r="D1786" s="39" t="str">
        <f t="shared" si="55"/>
        <v>22102</v>
      </c>
      <c r="E1786" s="39">
        <f>IF(ISNA(VLOOKUP(F1786,'2021功能科目'!A:B,2,FALSE)),"",VLOOKUP(F1786,'2021功能科目'!A:B,2,FALSE))</f>
        <v>2210201</v>
      </c>
      <c r="F1786" s="25" t="s">
        <v>342</v>
      </c>
      <c r="G1786" s="26">
        <v>210697</v>
      </c>
      <c r="H1786" s="26">
        <v>0</v>
      </c>
    </row>
    <row r="1787" spans="1:8">
      <c r="A1787" s="24">
        <v>255205</v>
      </c>
      <c r="B1787" s="25" t="s">
        <v>462</v>
      </c>
      <c r="C1787" s="39" t="str">
        <f t="shared" si="54"/>
        <v>205</v>
      </c>
      <c r="D1787" s="39" t="str">
        <f t="shared" si="55"/>
        <v>20502</v>
      </c>
      <c r="E1787" s="39">
        <f>IF(ISNA(VLOOKUP(F1787,'2021功能科目'!A:B,2,FALSE)),"",VLOOKUP(F1787,'2021功能科目'!A:B,2,FALSE))</f>
        <v>2050202</v>
      </c>
      <c r="F1787" s="25" t="s">
        <v>330</v>
      </c>
      <c r="G1787" s="26">
        <v>2769500.69</v>
      </c>
      <c r="H1787" s="26">
        <v>0</v>
      </c>
    </row>
    <row r="1788" spans="1:8">
      <c r="A1788" s="24">
        <v>255205</v>
      </c>
      <c r="B1788" s="25" t="s">
        <v>462</v>
      </c>
      <c r="C1788" s="39" t="str">
        <f t="shared" si="54"/>
        <v>205</v>
      </c>
      <c r="D1788" s="39" t="str">
        <f t="shared" si="55"/>
        <v>20508</v>
      </c>
      <c r="E1788" s="39">
        <f>IF(ISNA(VLOOKUP(F1788,'2021功能科目'!A:B,2,FALSE)),"",VLOOKUP(F1788,'2021功能科目'!A:B,2,FALSE))</f>
        <v>2050803</v>
      </c>
      <c r="F1788" s="25" t="s">
        <v>333</v>
      </c>
      <c r="G1788" s="26">
        <v>5300</v>
      </c>
      <c r="H1788" s="26">
        <v>0</v>
      </c>
    </row>
    <row r="1789" spans="1:8">
      <c r="A1789" s="24">
        <v>255205</v>
      </c>
      <c r="B1789" s="25" t="s">
        <v>462</v>
      </c>
      <c r="C1789" s="39" t="str">
        <f t="shared" si="54"/>
        <v>208</v>
      </c>
      <c r="D1789" s="39" t="str">
        <f t="shared" si="55"/>
        <v>20805</v>
      </c>
      <c r="E1789" s="39">
        <f>IF(ISNA(VLOOKUP(F1789,'2021功能科目'!A:B,2,FALSE)),"",VLOOKUP(F1789,'2021功能科目'!A:B,2,FALSE))</f>
        <v>2080505</v>
      </c>
      <c r="F1789" s="25" t="s">
        <v>337</v>
      </c>
      <c r="G1789" s="26">
        <v>258556.79999999999</v>
      </c>
      <c r="H1789" s="26">
        <v>0</v>
      </c>
    </row>
    <row r="1790" spans="1:8">
      <c r="A1790" s="24">
        <v>255205</v>
      </c>
      <c r="B1790" s="25" t="s">
        <v>462</v>
      </c>
      <c r="C1790" s="39" t="str">
        <f t="shared" si="54"/>
        <v>208</v>
      </c>
      <c r="D1790" s="39" t="str">
        <f t="shared" si="55"/>
        <v>20805</v>
      </c>
      <c r="E1790" s="39">
        <f>IF(ISNA(VLOOKUP(F1790,'2021功能科目'!A:B,2,FALSE)),"",VLOOKUP(F1790,'2021功能科目'!A:B,2,FALSE))</f>
        <v>2080506</v>
      </c>
      <c r="F1790" s="25" t="s">
        <v>338</v>
      </c>
      <c r="G1790" s="26">
        <v>103422.72</v>
      </c>
      <c r="H1790" s="26">
        <v>0</v>
      </c>
    </row>
    <row r="1791" spans="1:8">
      <c r="A1791" s="24">
        <v>255205</v>
      </c>
      <c r="B1791" s="25" t="s">
        <v>462</v>
      </c>
      <c r="C1791" s="39" t="str">
        <f t="shared" si="54"/>
        <v>210</v>
      </c>
      <c r="D1791" s="39" t="str">
        <f t="shared" si="55"/>
        <v>21011</v>
      </c>
      <c r="E1791" s="39">
        <f>IF(ISNA(VLOOKUP(F1791,'2021功能科目'!A:B,2,FALSE)),"",VLOOKUP(F1791,'2021功能科目'!A:B,2,FALSE))</f>
        <v>2101102</v>
      </c>
      <c r="F1791" s="25" t="s">
        <v>340</v>
      </c>
      <c r="G1791" s="26">
        <v>168061.92</v>
      </c>
      <c r="H1791" s="26">
        <v>0</v>
      </c>
    </row>
    <row r="1792" spans="1:8">
      <c r="A1792" s="24">
        <v>255205</v>
      </c>
      <c r="B1792" s="25" t="s">
        <v>462</v>
      </c>
      <c r="C1792" s="39" t="str">
        <f t="shared" si="54"/>
        <v>221</v>
      </c>
      <c r="D1792" s="39" t="str">
        <f t="shared" si="55"/>
        <v>22102</v>
      </c>
      <c r="E1792" s="39">
        <f>IF(ISNA(VLOOKUP(F1792,'2021功能科目'!A:B,2,FALSE)),"",VLOOKUP(F1792,'2021功能科目'!A:B,2,FALSE))</f>
        <v>2210201</v>
      </c>
      <c r="F1792" s="25" t="s">
        <v>342</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329</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330</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345</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331</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332</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346</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356</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357</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350</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352</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351</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354</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333</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334</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335</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348</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349</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466</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353</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336</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337</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338</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339</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340</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341</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358</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342</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343</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344</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3" bestFit="1" customWidth="1"/>
    <col min="2" max="16384" width="8.625" style="53"/>
  </cols>
  <sheetData>
    <row r="1" spans="1:6">
      <c r="A1" s="52" t="s">
        <v>398</v>
      </c>
      <c r="B1" s="52" t="s">
        <v>399</v>
      </c>
    </row>
    <row r="2" spans="1:6">
      <c r="A2" s="74" t="s">
        <v>400</v>
      </c>
      <c r="B2" s="74">
        <v>2050101</v>
      </c>
      <c r="C2" s="74"/>
      <c r="D2" s="74"/>
      <c r="E2" s="74"/>
      <c r="F2" s="74">
        <v>205</v>
      </c>
    </row>
    <row r="3" spans="1:6">
      <c r="A3" s="74" t="s">
        <v>401</v>
      </c>
      <c r="B3" s="74">
        <v>2050102</v>
      </c>
      <c r="C3" s="74"/>
      <c r="D3" s="74"/>
      <c r="E3" s="74"/>
      <c r="F3" s="74">
        <v>206</v>
      </c>
    </row>
    <row r="4" spans="1:6">
      <c r="A4" s="74" t="s">
        <v>329</v>
      </c>
      <c r="B4" s="74">
        <v>2050201</v>
      </c>
      <c r="C4" s="74"/>
      <c r="D4" s="74"/>
      <c r="E4" s="74"/>
      <c r="F4" s="74">
        <v>208</v>
      </c>
    </row>
    <row r="5" spans="1:6">
      <c r="A5" s="74" t="s">
        <v>330</v>
      </c>
      <c r="B5" s="74">
        <v>2050202</v>
      </c>
      <c r="C5" s="74"/>
      <c r="D5" s="74"/>
      <c r="E5" s="74"/>
      <c r="F5" s="74">
        <v>210</v>
      </c>
    </row>
    <row r="6" spans="1:6">
      <c r="A6" s="74" t="s">
        <v>345</v>
      </c>
      <c r="B6" s="74">
        <v>2050203</v>
      </c>
      <c r="C6" s="74"/>
      <c r="D6" s="74"/>
      <c r="E6" s="74"/>
      <c r="F6" s="74">
        <v>212</v>
      </c>
    </row>
    <row r="7" spans="1:6">
      <c r="A7" s="74" t="s">
        <v>331</v>
      </c>
      <c r="B7" s="74">
        <v>2050204</v>
      </c>
      <c r="C7" s="74"/>
      <c r="D7" s="74"/>
      <c r="E7" s="74"/>
      <c r="F7" s="74">
        <v>221</v>
      </c>
    </row>
    <row r="8" spans="1:6">
      <c r="A8" s="74" t="s">
        <v>332</v>
      </c>
      <c r="B8" s="74">
        <v>2050299</v>
      </c>
      <c r="C8" s="74"/>
      <c r="D8" s="74"/>
      <c r="E8" s="74"/>
      <c r="F8" s="74">
        <v>229</v>
      </c>
    </row>
    <row r="9" spans="1:6">
      <c r="A9" s="74" t="s">
        <v>346</v>
      </c>
      <c r="B9" s="74">
        <v>2050302</v>
      </c>
      <c r="C9" s="74"/>
      <c r="D9" s="74"/>
      <c r="E9" s="74"/>
      <c r="F9" s="74">
        <v>234</v>
      </c>
    </row>
    <row r="10" spans="1:6">
      <c r="A10" s="74" t="s">
        <v>402</v>
      </c>
      <c r="B10" s="74">
        <v>2050304</v>
      </c>
      <c r="C10" s="74"/>
      <c r="D10" s="74"/>
      <c r="E10" s="74"/>
      <c r="F10" s="74">
        <v>213</v>
      </c>
    </row>
    <row r="11" spans="1:6">
      <c r="A11" s="74" t="s">
        <v>347</v>
      </c>
      <c r="B11" s="74">
        <v>2050399</v>
      </c>
      <c r="C11" s="74"/>
      <c r="D11" s="74"/>
      <c r="E11" s="74"/>
      <c r="F11" s="74"/>
    </row>
    <row r="12" spans="1:6">
      <c r="A12" s="74" t="s">
        <v>356</v>
      </c>
      <c r="B12" s="74">
        <v>2050403</v>
      </c>
      <c r="C12" s="74"/>
      <c r="D12" s="74"/>
      <c r="E12" s="74"/>
      <c r="F12" s="74"/>
    </row>
    <row r="13" spans="1:6">
      <c r="A13" s="74" t="s">
        <v>357</v>
      </c>
      <c r="B13" s="74">
        <v>2050404</v>
      </c>
      <c r="C13" s="74"/>
      <c r="D13" s="74"/>
      <c r="E13" s="74"/>
      <c r="F13" s="74"/>
    </row>
    <row r="14" spans="1:6">
      <c r="A14" s="74" t="s">
        <v>350</v>
      </c>
      <c r="B14" s="74">
        <v>2050701</v>
      </c>
      <c r="C14" s="74"/>
      <c r="D14" s="74"/>
      <c r="E14" s="74"/>
      <c r="F14" s="74"/>
    </row>
    <row r="15" spans="1:6">
      <c r="A15" s="74" t="s">
        <v>352</v>
      </c>
      <c r="B15" s="74">
        <v>2050702</v>
      </c>
      <c r="C15" s="74"/>
      <c r="D15" s="74"/>
      <c r="E15" s="74"/>
      <c r="F15" s="74"/>
    </row>
    <row r="16" spans="1:6">
      <c r="A16" s="74" t="s">
        <v>351</v>
      </c>
      <c r="B16" s="74">
        <v>2050799</v>
      </c>
      <c r="C16" s="74"/>
      <c r="D16" s="74"/>
      <c r="E16" s="74"/>
      <c r="F16" s="74"/>
    </row>
    <row r="17" spans="1:6">
      <c r="A17" s="74" t="s">
        <v>354</v>
      </c>
      <c r="B17" s="74">
        <v>2050801</v>
      </c>
      <c r="C17" s="74"/>
      <c r="D17" s="74"/>
      <c r="E17" s="74"/>
      <c r="F17" s="74"/>
    </row>
    <row r="18" spans="1:6">
      <c r="A18" s="74" t="s">
        <v>333</v>
      </c>
      <c r="B18" s="74">
        <v>2050803</v>
      </c>
      <c r="C18" s="74"/>
      <c r="D18" s="74"/>
      <c r="E18" s="74"/>
      <c r="F18" s="74"/>
    </row>
    <row r="19" spans="1:6">
      <c r="A19" s="74" t="s">
        <v>334</v>
      </c>
      <c r="B19" s="74">
        <v>2050903</v>
      </c>
      <c r="C19" s="74"/>
      <c r="D19" s="74"/>
      <c r="E19" s="74"/>
      <c r="F19" s="74"/>
    </row>
    <row r="20" spans="1:6">
      <c r="A20" s="74" t="s">
        <v>335</v>
      </c>
      <c r="B20" s="74">
        <v>2050904</v>
      </c>
      <c r="C20" s="74"/>
      <c r="D20" s="74"/>
      <c r="E20" s="74"/>
      <c r="F20" s="74"/>
    </row>
    <row r="21" spans="1:6">
      <c r="A21" s="74" t="s">
        <v>348</v>
      </c>
      <c r="B21" s="74">
        <v>2050905</v>
      </c>
      <c r="C21" s="74"/>
      <c r="D21" s="74"/>
      <c r="E21" s="74"/>
      <c r="F21" s="74"/>
    </row>
    <row r="22" spans="1:6">
      <c r="A22" s="74" t="s">
        <v>349</v>
      </c>
      <c r="B22" s="74">
        <v>2050999</v>
      </c>
      <c r="C22" s="74"/>
      <c r="D22" s="74"/>
      <c r="E22" s="74"/>
      <c r="F22" s="74"/>
    </row>
    <row r="23" spans="1:6">
      <c r="A23" s="74" t="s">
        <v>466</v>
      </c>
      <c r="B23" s="74">
        <v>2060499</v>
      </c>
      <c r="C23" s="74" t="s">
        <v>467</v>
      </c>
      <c r="D23" s="74"/>
      <c r="E23" s="74"/>
      <c r="F23" s="74"/>
    </row>
    <row r="24" spans="1:6">
      <c r="A24" s="74" t="s">
        <v>353</v>
      </c>
      <c r="B24" s="74">
        <v>2060702</v>
      </c>
      <c r="C24" s="74"/>
      <c r="D24" s="74"/>
      <c r="E24" s="74"/>
      <c r="F24" s="74"/>
    </row>
    <row r="25" spans="1:6">
      <c r="A25" s="74" t="s">
        <v>403</v>
      </c>
      <c r="B25" s="74">
        <v>2080501</v>
      </c>
      <c r="C25" s="74"/>
      <c r="D25" s="74"/>
      <c r="E25" s="74"/>
      <c r="F25" s="74"/>
    </row>
    <row r="26" spans="1:6">
      <c r="A26" s="74" t="s">
        <v>336</v>
      </c>
      <c r="B26" s="74">
        <v>2080502</v>
      </c>
      <c r="C26" s="74"/>
      <c r="D26" s="74"/>
      <c r="E26" s="74"/>
      <c r="F26" s="74"/>
    </row>
    <row r="27" spans="1:6">
      <c r="A27" s="74" t="s">
        <v>337</v>
      </c>
      <c r="B27" s="74">
        <v>2080505</v>
      </c>
      <c r="C27" s="74"/>
      <c r="D27" s="74"/>
      <c r="E27" s="74"/>
      <c r="F27" s="74"/>
    </row>
    <row r="28" spans="1:6">
      <c r="A28" s="74" t="s">
        <v>338</v>
      </c>
      <c r="B28" s="74">
        <v>2080506</v>
      </c>
      <c r="C28" s="74"/>
      <c r="D28" s="74"/>
      <c r="E28" s="74"/>
      <c r="F28" s="74"/>
    </row>
    <row r="29" spans="1:6">
      <c r="A29" s="74" t="s">
        <v>339</v>
      </c>
      <c r="B29" s="74">
        <v>2080801</v>
      </c>
      <c r="C29" s="74"/>
      <c r="D29" s="74"/>
      <c r="E29" s="74"/>
      <c r="F29" s="74"/>
    </row>
    <row r="30" spans="1:6">
      <c r="A30" s="74" t="s">
        <v>404</v>
      </c>
      <c r="B30" s="74">
        <v>2101101</v>
      </c>
      <c r="C30" s="74"/>
      <c r="D30" s="74"/>
      <c r="E30" s="74"/>
      <c r="F30" s="74"/>
    </row>
    <row r="31" spans="1:6">
      <c r="A31" s="74" t="s">
        <v>340</v>
      </c>
      <c r="B31" s="74">
        <v>2101102</v>
      </c>
      <c r="C31" s="74"/>
      <c r="D31" s="74"/>
      <c r="E31" s="74"/>
      <c r="F31" s="74"/>
    </row>
    <row r="32" spans="1:6">
      <c r="A32" s="74" t="s">
        <v>341</v>
      </c>
      <c r="B32" s="74">
        <v>2101199</v>
      </c>
      <c r="C32" s="74"/>
      <c r="D32" s="74"/>
      <c r="E32" s="74"/>
      <c r="F32" s="74"/>
    </row>
    <row r="33" spans="1:6">
      <c r="A33" s="74" t="s">
        <v>358</v>
      </c>
      <c r="B33" s="74">
        <v>2120399</v>
      </c>
      <c r="C33" s="74"/>
      <c r="D33" s="74"/>
      <c r="E33" s="74"/>
      <c r="F33" s="74"/>
    </row>
    <row r="34" spans="1:6">
      <c r="A34" s="74" t="s">
        <v>468</v>
      </c>
      <c r="B34" s="74">
        <v>2120801</v>
      </c>
      <c r="C34" s="74" t="s">
        <v>467</v>
      </c>
      <c r="D34" s="74" t="s">
        <v>469</v>
      </c>
      <c r="E34" s="74"/>
      <c r="F34" s="74"/>
    </row>
    <row r="35" spans="1:6">
      <c r="A35" s="74" t="s">
        <v>355</v>
      </c>
      <c r="B35" s="74">
        <v>2130506</v>
      </c>
      <c r="C35" s="74">
        <v>2020</v>
      </c>
      <c r="D35" s="74"/>
      <c r="E35" s="74"/>
      <c r="F35" s="74"/>
    </row>
    <row r="36" spans="1:6">
      <c r="A36" s="74" t="s">
        <v>342</v>
      </c>
      <c r="B36" s="74">
        <v>2210201</v>
      </c>
      <c r="C36" s="74"/>
      <c r="D36" s="74"/>
      <c r="E36" s="74"/>
      <c r="F36" s="74"/>
    </row>
    <row r="37" spans="1:6">
      <c r="A37" s="74" t="s">
        <v>343</v>
      </c>
      <c r="B37" s="74">
        <v>2210202</v>
      </c>
      <c r="C37" s="74"/>
      <c r="D37" s="74"/>
      <c r="E37" s="74"/>
      <c r="F37" s="74"/>
    </row>
    <row r="38" spans="1:6">
      <c r="A38" s="74" t="s">
        <v>344</v>
      </c>
      <c r="B38" s="74">
        <v>2210203</v>
      </c>
      <c r="C38" s="74"/>
      <c r="D38" s="74"/>
      <c r="E38" s="74"/>
      <c r="F38" s="74"/>
    </row>
    <row r="39" spans="1:6">
      <c r="A39" s="74" t="s">
        <v>405</v>
      </c>
      <c r="B39" s="74">
        <v>2296003</v>
      </c>
      <c r="C39" s="74"/>
      <c r="D39" s="74"/>
      <c r="E39" s="74"/>
      <c r="F39" s="74"/>
    </row>
    <row r="40" spans="1:6">
      <c r="A40" s="74" t="s">
        <v>406</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opLeftCell="A7" zoomScale="90" zoomScaleNormal="90" workbookViewId="0">
      <selection sqref="A1:N1"/>
    </sheetView>
  </sheetViews>
  <sheetFormatPr defaultRowHeight="18"/>
  <cols>
    <col min="3" max="3" width="8.875" style="3"/>
  </cols>
  <sheetData>
    <row r="1" spans="1:14" ht="48.6" customHeight="1">
      <c r="A1" s="80" t="s">
        <v>173</v>
      </c>
      <c r="B1" s="80"/>
      <c r="C1" s="80"/>
      <c r="D1" s="80"/>
      <c r="E1" s="80"/>
      <c r="F1" s="80"/>
      <c r="G1" s="80"/>
      <c r="H1" s="80"/>
      <c r="I1" s="80"/>
      <c r="J1" s="80"/>
      <c r="K1" s="80"/>
      <c r="L1" s="80"/>
      <c r="M1" s="80"/>
      <c r="N1" s="80"/>
    </row>
    <row r="2" spans="1:14" ht="30" customHeight="1">
      <c r="C2" s="4" t="s">
        <v>411</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412</v>
      </c>
    </row>
    <row r="16" spans="1:14" ht="30" customHeight="1">
      <c r="C16" s="4" t="s">
        <v>413</v>
      </c>
    </row>
    <row r="17" spans="3:3" ht="30" customHeight="1">
      <c r="C17" s="4" t="s">
        <v>414</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81" t="s">
        <v>415</v>
      </c>
      <c r="B10" s="81"/>
      <c r="C10" s="81"/>
      <c r="D10" s="81"/>
      <c r="E10" s="81"/>
      <c r="F10" s="81"/>
      <c r="G10" s="81"/>
      <c r="H10" s="81"/>
      <c r="I10" s="81"/>
      <c r="J10" s="81"/>
      <c r="K10" s="81"/>
      <c r="L10" s="81"/>
      <c r="M10" s="81"/>
      <c r="N10" s="81"/>
    </row>
    <row r="11" spans="1:14" ht="78" customHeight="1">
      <c r="A11" s="82" t="s">
        <v>475</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8"/>
  <sheetViews>
    <sheetView tabSelected="1" zoomScaleNormal="100" workbookViewId="0">
      <selection activeCell="A91" sqref="A91:XFD91"/>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81" t="s">
        <v>412</v>
      </c>
      <c r="B1" s="81"/>
      <c r="C1" s="81"/>
      <c r="D1" s="81"/>
      <c r="E1" s="81"/>
      <c r="F1" s="81"/>
      <c r="G1" s="81"/>
      <c r="H1" s="81"/>
      <c r="I1" s="81"/>
      <c r="J1" s="81"/>
      <c r="K1" s="81"/>
      <c r="L1" s="81"/>
      <c r="M1" s="81"/>
      <c r="N1" s="59"/>
    </row>
    <row r="2" spans="1:14" ht="18" customHeight="1">
      <c r="A2" s="6" t="s">
        <v>174</v>
      </c>
    </row>
    <row r="3" spans="1:14" ht="18" customHeight="1">
      <c r="A3" s="7" t="s">
        <v>175</v>
      </c>
    </row>
    <row r="4" spans="1:14" ht="173.25" customHeight="1">
      <c r="A4" s="89" t="s">
        <v>478</v>
      </c>
      <c r="B4" s="89"/>
      <c r="C4" s="89"/>
      <c r="D4" s="89"/>
      <c r="E4" s="89"/>
      <c r="F4" s="89"/>
      <c r="G4" s="89"/>
      <c r="H4" s="89"/>
      <c r="I4" s="89"/>
      <c r="J4" s="89"/>
      <c r="K4" s="89"/>
      <c r="L4" s="89"/>
      <c r="M4" s="89"/>
      <c r="N4" s="19"/>
    </row>
    <row r="5" spans="1:14" ht="18" customHeight="1">
      <c r="A5" s="7" t="s">
        <v>176</v>
      </c>
    </row>
    <row r="6" spans="1:14" ht="18" customHeight="1">
      <c r="A6" s="86" t="s">
        <v>245</v>
      </c>
      <c r="B6" s="86"/>
      <c r="C6" s="10"/>
      <c r="D6" s="10" t="s">
        <v>247</v>
      </c>
      <c r="E6" s="8">
        <f>_xlfn.IFNA(VLOOKUP(封面!B1,'2021决算导出'!A:C,3,FALSE),"")</f>
        <v>109</v>
      </c>
      <c r="F6" s="10" t="s">
        <v>248</v>
      </c>
      <c r="G6" s="10"/>
      <c r="H6" s="10"/>
      <c r="I6" s="10"/>
      <c r="J6" s="10"/>
      <c r="K6" s="10"/>
      <c r="L6" s="10"/>
      <c r="M6" s="10"/>
      <c r="N6" s="10"/>
    </row>
    <row r="7" spans="1:14" ht="18" customHeight="1">
      <c r="A7" s="6" t="s">
        <v>177</v>
      </c>
    </row>
    <row r="8" spans="1:14" ht="18" customHeight="1">
      <c r="A8" s="86" t="s">
        <v>416</v>
      </c>
      <c r="B8" s="86"/>
      <c r="C8" s="86"/>
      <c r="D8" s="14">
        <f>_xlfn.IFNA(VLOOKUP(封面!B1,'2021决算导出'!A:D,4,FALSE),"")</f>
        <v>47185623.299999997</v>
      </c>
      <c r="E8" s="7" t="s">
        <v>179</v>
      </c>
      <c r="F8" s="20" t="s">
        <v>249</v>
      </c>
      <c r="G8" s="30" t="str">
        <f>IF(ISNA(VLOOKUP(封面!B1,'2020决算导出'!A:D,4,FALSE)),"",IF(D8-VLOOKUP(封面!B1,'2020决算导出'!A:D,4,FALSE)&gt;0,"增加","减少"))</f>
        <v>减少</v>
      </c>
      <c r="H8" s="33">
        <f>IF(ISNA(VLOOKUP(封面!B1,'2020决算导出'!A:D,4,FALSE)),"",IF(D8-VLOOKUP(封面!B1,'2020决算导出'!A:D,4,FALSE)&gt;0,D8-VLOOKUP(封面!B1,'2020决算导出'!A:D,4,FALSE),VLOOKUP(封面!B1,'2020决算导出'!A:D,4,FALSE)-D8))</f>
        <v>3706758.8900000006</v>
      </c>
      <c r="I8" s="16" t="s">
        <v>179</v>
      </c>
      <c r="J8" s="30" t="str">
        <f>IF(ISNA(VLOOKUP(封面!B1,'2020决算导出'!A:D,4,FALSE)),"",IF(D8-VLOOKUP(封面!B1,'2020决算导出'!A:D,4,FALSE)&gt;0,"增长","下降"))</f>
        <v>下降</v>
      </c>
      <c r="K8" s="31">
        <f>IF(ISNA(VLOOKUP(封面!B1,'2020决算导出'!A:D,4,FALSE)),"",H8/VLOOKUP(封面!B1,'2020决算导出'!A:D,4,FALSE))</f>
        <v>7.2835240373722437E-2</v>
      </c>
      <c r="L8" s="7" t="s">
        <v>313</v>
      </c>
    </row>
    <row r="9" spans="1:14" ht="18" customHeight="1">
      <c r="A9" s="7" t="s">
        <v>180</v>
      </c>
      <c r="G9" s="32"/>
      <c r="H9" s="32"/>
      <c r="I9" s="32"/>
      <c r="J9" s="32"/>
      <c r="K9" s="32"/>
    </row>
    <row r="10" spans="1:14" ht="18" customHeight="1">
      <c r="A10" s="86" t="s">
        <v>417</v>
      </c>
      <c r="B10" s="86"/>
      <c r="C10" s="86"/>
      <c r="D10" s="14">
        <f>_xlfn.IFNA(VLOOKUP(封面!B1,'2021决算导出'!A:E,5,FALSE),"")</f>
        <v>47185623.299999997</v>
      </c>
      <c r="E10" s="7" t="s">
        <v>179</v>
      </c>
      <c r="F10" s="20" t="s">
        <v>249</v>
      </c>
      <c r="G10" s="30" t="str">
        <f>IF(ISNA(VLOOKUP(封面!B1,'2020决算导出'!A:E,5,FALSE)),"",IF(D10-VLOOKUP(封面!B1,'2020决算导出'!A:E,5,FALSE)&gt;0,"增加","减少"))</f>
        <v>减少</v>
      </c>
      <c r="H10" s="33">
        <f>IF(ISNA(VLOOKUP(封面!B1,'2020决算导出'!A:E,5,FALSE)),"",IF(D10-VLOOKUP(封面!B1,'2020决算导出'!A:E,5,FALSE)&gt;0,D10-VLOOKUP(封面!B1,'2020决算导出'!A:E,5,FALSE),VLOOKUP(封面!B1,'2020决算导出'!A:E,5,FALSE)-D10))</f>
        <v>2991220.0200000033</v>
      </c>
      <c r="I10" s="16" t="s">
        <v>179</v>
      </c>
      <c r="J10" s="30" t="str">
        <f>IF(ISNA(VLOOKUP(封面!B1,'2020决算导出'!A:E,5,FALSE)),"",IF(D10-VLOOKUP(封面!B1,'2020决算导出'!A:E,5,FALSE)&gt;0,"增长","下降"))</f>
        <v>下降</v>
      </c>
      <c r="K10" s="31">
        <f>IF(ISNA(VLOOKUP(封面!B1,'2020决算导出'!A:E,5,FALSE)),"",H10/VLOOKUP(封面!B1,'2020决算导出'!A:E,5,FALSE))</f>
        <v>5.961355521955946E-2</v>
      </c>
      <c r="L10" s="7" t="s">
        <v>314</v>
      </c>
    </row>
    <row r="11" spans="1:14" ht="18" customHeight="1">
      <c r="A11" s="86" t="s">
        <v>181</v>
      </c>
      <c r="B11" s="86"/>
      <c r="C11" s="86"/>
      <c r="D11" s="14">
        <f>_xlfn.IFNA(VLOOKUP(封面!B1,'2021决算导出'!A:F,6,FALSE),"")</f>
        <v>47185623.299999997</v>
      </c>
      <c r="E11" s="7" t="s">
        <v>179</v>
      </c>
      <c r="F11" s="86" t="s">
        <v>182</v>
      </c>
      <c r="G11" s="86"/>
      <c r="H11" s="29">
        <f>D11/$D$10</f>
        <v>1</v>
      </c>
      <c r="I11" s="7" t="s">
        <v>315</v>
      </c>
    </row>
    <row r="12" spans="1:14" ht="18" customHeight="1">
      <c r="A12" s="86" t="s">
        <v>184</v>
      </c>
      <c r="B12" s="86"/>
      <c r="C12" s="86"/>
      <c r="D12" s="14">
        <f>_xlfn.IFNA(VLOOKUP(封面!B1,'2021决算导出'!A:G,7,FALSE),"")</f>
        <v>0</v>
      </c>
      <c r="E12" s="7" t="s">
        <v>179</v>
      </c>
      <c r="F12" s="86" t="s">
        <v>182</v>
      </c>
      <c r="G12" s="86"/>
      <c r="H12" s="29">
        <f t="shared" ref="H12:H15" si="0">D12/$D$10</f>
        <v>0</v>
      </c>
      <c r="I12" s="7" t="s">
        <v>315</v>
      </c>
    </row>
    <row r="13" spans="1:14" ht="18" customHeight="1">
      <c r="A13" s="86" t="s">
        <v>185</v>
      </c>
      <c r="B13" s="86"/>
      <c r="C13" s="86"/>
      <c r="D13" s="14">
        <f>_xlfn.IFNA(VLOOKUP(封面!B1,'2021决算导出'!A:H,8,FALSE),"")</f>
        <v>0</v>
      </c>
      <c r="E13" s="7" t="s">
        <v>179</v>
      </c>
      <c r="F13" s="86" t="s">
        <v>182</v>
      </c>
      <c r="G13" s="86"/>
      <c r="H13" s="29">
        <f t="shared" si="0"/>
        <v>0</v>
      </c>
      <c r="I13" s="7" t="s">
        <v>315</v>
      </c>
    </row>
    <row r="14" spans="1:14" ht="18" customHeight="1">
      <c r="A14" s="86" t="s">
        <v>186</v>
      </c>
      <c r="B14" s="86"/>
      <c r="C14" s="86"/>
      <c r="D14" s="14">
        <f>_xlfn.IFNA(VLOOKUP(封面!B1,'2021决算导出'!A:I,9,FALSE),"")</f>
        <v>0</v>
      </c>
      <c r="E14" s="7" t="s">
        <v>179</v>
      </c>
      <c r="F14" s="86" t="s">
        <v>182</v>
      </c>
      <c r="G14" s="86"/>
      <c r="H14" s="29">
        <f t="shared" si="0"/>
        <v>0</v>
      </c>
      <c r="I14" s="7" t="s">
        <v>315</v>
      </c>
    </row>
    <row r="15" spans="1:14" ht="18" customHeight="1">
      <c r="A15" s="86" t="s">
        <v>187</v>
      </c>
      <c r="B15" s="86"/>
      <c r="C15" s="86"/>
      <c r="D15" s="14">
        <f>_xlfn.IFNA(VLOOKUP(封面!B1,'2021决算导出'!A:J,10,FALSE),"")</f>
        <v>0</v>
      </c>
      <c r="E15" s="7" t="s">
        <v>179</v>
      </c>
      <c r="F15" s="86" t="s">
        <v>182</v>
      </c>
      <c r="G15" s="86"/>
      <c r="H15" s="29">
        <f t="shared" si="0"/>
        <v>0</v>
      </c>
      <c r="I15" s="7" t="s">
        <v>316</v>
      </c>
    </row>
    <row r="16" spans="1:14" ht="18" customHeight="1">
      <c r="A16" s="7" t="s">
        <v>188</v>
      </c>
    </row>
    <row r="17" spans="1:13" ht="18" customHeight="1">
      <c r="A17" s="86" t="s">
        <v>418</v>
      </c>
      <c r="B17" s="86"/>
      <c r="C17" s="86"/>
      <c r="D17" s="14">
        <f>_xlfn.IFNA(VLOOKUP(封面!B1,'2021决算导出'!A:K,11,FALSE),"")</f>
        <v>47183073.299999997</v>
      </c>
      <c r="E17" s="7" t="s">
        <v>179</v>
      </c>
      <c r="F17" s="20" t="s">
        <v>249</v>
      </c>
      <c r="G17" s="30" t="str">
        <f>IF(ISNA(VLOOKUP(封面!B1,'2020决算导出'!A:K,11,FALSE)),"",IF(D17-VLOOKUP(封面!B1,'2020决算导出'!A:K,11,FALSE)&gt;0,"增加","减少"))</f>
        <v>减少</v>
      </c>
      <c r="H17" s="33">
        <f>IF(ISNA(VLOOKUP(封面!B1,'2020决算导出'!A:K,11,FALSE)),"",IF(D17-VLOOKUP(封面!B1,'2020决算导出'!A:K,11,FALSE)&gt;0,D17-VLOOKUP(封面!B1,'2020决算导出'!A:K,11,FALSE),VLOOKUP(封面!B1,'2020决算导出'!A:K,11,FALSE)-D17))</f>
        <v>3709308.8900000006</v>
      </c>
      <c r="I17" s="7" t="s">
        <v>179</v>
      </c>
      <c r="J17" s="30" t="str">
        <f>IF(ISNA(VLOOKUP(封面!B1,'2020决算导出'!A:K,11,FALSE)),"",IF(D17-VLOOKUP(封面!B1,'2020决算导出'!A:K,11,FALSE)&gt;0,"增长","下降"))</f>
        <v>下降</v>
      </c>
      <c r="K17" s="31">
        <f>IF(ISNA(VLOOKUP(封面!B1,'2020决算导出'!A:K,11,FALSE)),"",H17/VLOOKUP(封面!B1,'2020决算导出'!A:K,11,FALSE))</f>
        <v>7.2885346104487408E-2</v>
      </c>
      <c r="L17" s="7" t="s">
        <v>317</v>
      </c>
    </row>
    <row r="18" spans="1:13" ht="18" customHeight="1">
      <c r="A18" s="86" t="s">
        <v>189</v>
      </c>
      <c r="B18" s="86"/>
      <c r="C18" s="86"/>
      <c r="D18" s="14">
        <f>_xlfn.IFNA(VLOOKUP(封面!B1,'2021决算导出'!A:L,12,FALSE),"")</f>
        <v>42147640.630000003</v>
      </c>
      <c r="E18" s="7" t="s">
        <v>179</v>
      </c>
      <c r="F18" s="86" t="s">
        <v>190</v>
      </c>
      <c r="G18" s="86"/>
      <c r="H18" s="29">
        <f>D18/$D$17</f>
        <v>0.89327883247486561</v>
      </c>
      <c r="I18" s="7" t="s">
        <v>315</v>
      </c>
    </row>
    <row r="19" spans="1:13" ht="18" customHeight="1">
      <c r="A19" s="86" t="s">
        <v>191</v>
      </c>
      <c r="B19" s="86"/>
      <c r="C19" s="86"/>
      <c r="D19" s="14">
        <f>_xlfn.IFNA(VLOOKUP(封面!B1,'2021决算导出'!A:M,13,FALSE),"")</f>
        <v>5035432.67</v>
      </c>
      <c r="E19" s="7" t="s">
        <v>179</v>
      </c>
      <c r="F19" s="86" t="s">
        <v>190</v>
      </c>
      <c r="G19" s="86"/>
      <c r="H19" s="29">
        <f t="shared" ref="H19:H20" si="1">D19/$D$17</f>
        <v>0.1067211675251345</v>
      </c>
      <c r="I19" s="7" t="s">
        <v>315</v>
      </c>
    </row>
    <row r="20" spans="1:13" ht="18" customHeight="1">
      <c r="A20" s="86" t="s">
        <v>192</v>
      </c>
      <c r="B20" s="86"/>
      <c r="C20" s="86"/>
      <c r="D20" s="14">
        <f>_xlfn.IFNA(VLOOKUP(封面!B1,'2021决算导出'!A:N,14,FALSE),"")</f>
        <v>0</v>
      </c>
      <c r="E20" s="7" t="s">
        <v>179</v>
      </c>
      <c r="F20" s="86" t="s">
        <v>190</v>
      </c>
      <c r="G20" s="86"/>
      <c r="H20" s="29">
        <f t="shared" si="1"/>
        <v>0</v>
      </c>
      <c r="I20" s="7" t="s">
        <v>316</v>
      </c>
    </row>
    <row r="21" spans="1:13" ht="18" customHeight="1">
      <c r="A21" s="6" t="s">
        <v>193</v>
      </c>
    </row>
    <row r="22" spans="1:13" ht="18" customHeight="1">
      <c r="A22" s="86" t="s">
        <v>419</v>
      </c>
      <c r="B22" s="86"/>
      <c r="C22" s="86"/>
      <c r="D22" s="86"/>
      <c r="E22" s="83">
        <f>_xlfn.IFNA(VLOOKUP(封面!B1,'2021决算导出'!A:O,15,FALSE),"")</f>
        <v>47185623.299999997</v>
      </c>
      <c r="F22" s="83"/>
      <c r="G22" s="15" t="s">
        <v>249</v>
      </c>
      <c r="H22" s="30" t="str">
        <f>IF(ISNA(VLOOKUP(封面!B1,'2020决算导出'!A:O,15,FALSE)),"",IF(E22-VLOOKUP(封面!B1,'2020决算导出'!A:O,15,FALSE)&gt;0,"增加","减少"))</f>
        <v>减少</v>
      </c>
      <c r="I22" s="33">
        <f>IF(ISNA(VLOOKUP(封面!B1,'2020决算导出'!A:O,15,FALSE)),"",IF(E22-VLOOKUP(封面!B1,'2020决算导出'!A:O,15,FALSE)&gt;0,E22-VLOOKUP(封面!B1,'2020决算导出'!A:O,15,FALSE),VLOOKUP(封面!B1,'2020决算导出'!A:O,15,FALSE)-E22))</f>
        <v>3706758.8900000006</v>
      </c>
      <c r="J22" s="7" t="s">
        <v>179</v>
      </c>
      <c r="K22" s="30" t="str">
        <f>IF(ISNA(VLOOKUP(封面!B1,'2020决算导出'!A:O,15,FALSE)),"",IF(E22-VLOOKUP(封面!B1,'2020决算导出'!A:O,15,FALSE)&gt;0,"增长","下降"))</f>
        <v>下降</v>
      </c>
      <c r="L22" s="31">
        <f>IF(ISNA(VLOOKUP(封面!B1,'2020决算导出'!A:O,15,FALSE)),"",I22/VLOOKUP(封面!B1,'2020决算导出'!A:O,15,FALSE))</f>
        <v>7.2835240373722437E-2</v>
      </c>
      <c r="M22" s="7" t="s">
        <v>313</v>
      </c>
    </row>
    <row r="23" spans="1:13" ht="63.6" customHeight="1">
      <c r="B23" s="87" t="s">
        <v>479</v>
      </c>
      <c r="C23" s="87"/>
      <c r="D23" s="87"/>
      <c r="E23" s="87"/>
      <c r="F23" s="87"/>
      <c r="G23" s="87"/>
      <c r="H23" s="87"/>
      <c r="I23" s="87"/>
      <c r="J23" s="87"/>
      <c r="K23" s="87"/>
      <c r="L23" s="87"/>
      <c r="M23" s="87"/>
    </row>
    <row r="24" spans="1:13" ht="18" customHeight="1">
      <c r="A24" s="6" t="s">
        <v>194</v>
      </c>
    </row>
    <row r="25" spans="1:13" ht="18" customHeight="1">
      <c r="A25" s="7" t="s">
        <v>195</v>
      </c>
    </row>
    <row r="26" spans="1:13" ht="18" customHeight="1">
      <c r="A26" s="86" t="s">
        <v>420</v>
      </c>
      <c r="B26" s="86"/>
      <c r="C26" s="86"/>
      <c r="D26" s="86"/>
      <c r="E26" s="86"/>
      <c r="F26" s="83">
        <f>_xlfn.IFNA(VLOOKUP(封面!B1,'2021决算导出'!A:P,16,FALSE),"")</f>
        <v>47183073.299999997</v>
      </c>
      <c r="G26" s="83"/>
      <c r="H26" s="7" t="s">
        <v>179</v>
      </c>
      <c r="I26" s="10" t="s">
        <v>196</v>
      </c>
      <c r="J26" s="10"/>
      <c r="K26" s="10"/>
      <c r="L26" s="10"/>
      <c r="M26" s="10"/>
    </row>
    <row r="27" spans="1:13" ht="18" customHeight="1">
      <c r="A27" s="86" t="s">
        <v>199</v>
      </c>
      <c r="B27" s="86"/>
      <c r="C27" s="86"/>
      <c r="D27" s="83">
        <f>_xlfn.IFNA(VLOOKUP(封面!B1,'2021决算导出'!A:Q,17,FALSE),"")</f>
        <v>33272182.34</v>
      </c>
      <c r="E27" s="83"/>
      <c r="F27" s="7" t="s">
        <v>179</v>
      </c>
      <c r="G27" s="84" t="s">
        <v>198</v>
      </c>
      <c r="H27" s="84"/>
      <c r="I27" s="29">
        <f>D27/$F$26</f>
        <v>0.70517200370667676</v>
      </c>
      <c r="J27" s="7" t="s">
        <v>315</v>
      </c>
      <c r="K27" s="9"/>
      <c r="L27" s="9"/>
      <c r="M27" s="9"/>
    </row>
    <row r="28" spans="1:13" ht="18" customHeight="1">
      <c r="A28" s="86" t="s">
        <v>200</v>
      </c>
      <c r="B28" s="86"/>
      <c r="C28" s="86"/>
      <c r="D28" s="83">
        <f>_xlfn.IFNA(VLOOKUP(封面!B1,'2021决算导出'!A:R,18,FALSE),"")</f>
        <v>0</v>
      </c>
      <c r="E28" s="83"/>
      <c r="F28" s="7" t="s">
        <v>179</v>
      </c>
      <c r="G28" s="84" t="s">
        <v>198</v>
      </c>
      <c r="H28" s="84"/>
      <c r="I28" s="29">
        <f t="shared" ref="I28:I32" si="2">D28/$F$26</f>
        <v>0</v>
      </c>
      <c r="J28" s="7" t="s">
        <v>315</v>
      </c>
      <c r="K28" s="9"/>
      <c r="L28" s="9"/>
      <c r="M28" s="9"/>
    </row>
    <row r="29" spans="1:13" ht="18" customHeight="1">
      <c r="A29" s="86" t="s">
        <v>197</v>
      </c>
      <c r="B29" s="86"/>
      <c r="C29" s="86"/>
      <c r="D29" s="83">
        <f>_xlfn.IFNA(VLOOKUP(封面!B1,'2021决算导出'!A:S,19,FALSE),"")</f>
        <v>6286833.5199999996</v>
      </c>
      <c r="E29" s="83"/>
      <c r="F29" s="7" t="s">
        <v>179</v>
      </c>
      <c r="G29" s="84" t="s">
        <v>198</v>
      </c>
      <c r="H29" s="84"/>
      <c r="I29" s="29">
        <f t="shared" si="2"/>
        <v>0.13324340871199672</v>
      </c>
      <c r="J29" s="7" t="s">
        <v>315</v>
      </c>
    </row>
    <row r="30" spans="1:13" ht="18" customHeight="1">
      <c r="A30" s="86" t="s">
        <v>201</v>
      </c>
      <c r="B30" s="86"/>
      <c r="C30" s="86"/>
      <c r="D30" s="83">
        <f>_xlfn.IFNA(VLOOKUP(封面!B1,'2021决算导出'!A:T,20,FALSE),"")</f>
        <v>2741117.44</v>
      </c>
      <c r="E30" s="83"/>
      <c r="F30" s="7" t="s">
        <v>179</v>
      </c>
      <c r="G30" s="84" t="s">
        <v>198</v>
      </c>
      <c r="H30" s="84"/>
      <c r="I30" s="29">
        <f t="shared" si="2"/>
        <v>5.8095355988606198E-2</v>
      </c>
      <c r="J30" s="7" t="s">
        <v>315</v>
      </c>
    </row>
    <row r="31" spans="1:13" ht="18" customHeight="1">
      <c r="A31" s="86" t="s">
        <v>202</v>
      </c>
      <c r="B31" s="86"/>
      <c r="C31" s="86"/>
      <c r="D31" s="83">
        <f>_xlfn.IFNA(VLOOKUP(封面!B1,'2021决算导出'!A:U,21,FALSE),"")</f>
        <v>0</v>
      </c>
      <c r="E31" s="83"/>
      <c r="F31" s="7" t="s">
        <v>179</v>
      </c>
      <c r="G31" s="84" t="s">
        <v>198</v>
      </c>
      <c r="H31" s="84"/>
      <c r="I31" s="29">
        <f t="shared" si="2"/>
        <v>0</v>
      </c>
      <c r="J31" s="7" t="s">
        <v>315</v>
      </c>
    </row>
    <row r="32" spans="1:13" ht="18" customHeight="1">
      <c r="A32" s="86" t="s">
        <v>203</v>
      </c>
      <c r="B32" s="86"/>
      <c r="C32" s="86"/>
      <c r="D32" s="83">
        <f>_xlfn.IFNA(VLOOKUP(封面!B1,'2021决算导出'!A:V,22,FALSE),"")</f>
        <v>4882940</v>
      </c>
      <c r="E32" s="83"/>
      <c r="F32" s="7" t="s">
        <v>179</v>
      </c>
      <c r="G32" s="84" t="s">
        <v>198</v>
      </c>
      <c r="H32" s="84"/>
      <c r="I32" s="29">
        <f t="shared" si="2"/>
        <v>0.10348923159272036</v>
      </c>
      <c r="J32" s="7" t="s">
        <v>315</v>
      </c>
    </row>
    <row r="33" spans="1:12" ht="18" customHeight="1">
      <c r="A33" s="7" t="s">
        <v>204</v>
      </c>
    </row>
    <row r="34" spans="1:12" ht="18" customHeight="1">
      <c r="A34" s="88" t="s">
        <v>421</v>
      </c>
      <c r="B34" s="88"/>
      <c r="C34" s="88"/>
      <c r="D34" s="88"/>
      <c r="E34" s="83">
        <f>_xlfn.IFNA(VLOOKUP(封面!B1,一般公共预算财政拨款支出决算具体情况!A:C,3,FALSE),"")</f>
        <v>33272182.339999996</v>
      </c>
      <c r="F34" s="83"/>
      <c r="G34" s="7" t="s">
        <v>179</v>
      </c>
      <c r="H34" s="84" t="s">
        <v>422</v>
      </c>
      <c r="I34" s="84"/>
      <c r="J34" s="83">
        <f>_xlfn.IFNA(VLOOKUP(封面!B1,一般公共预算财政拨款支出决算具体情况!A:D,4,FALSE),"")</f>
        <v>32160108.809999999</v>
      </c>
      <c r="K34" s="83"/>
      <c r="L34" s="11" t="s">
        <v>178</v>
      </c>
    </row>
    <row r="35" spans="1:12" ht="18" customHeight="1">
      <c r="B35" s="15" t="str">
        <f>IF(E34&gt;J34,"增加","减少")</f>
        <v>增加</v>
      </c>
      <c r="C35" s="83">
        <f>ABS(E34-J34)</f>
        <v>1112073.5299999975</v>
      </c>
      <c r="D35" s="83"/>
      <c r="E35" s="7" t="s">
        <v>179</v>
      </c>
      <c r="F35" s="15" t="str">
        <f>IF(E34&gt;J34,"增长","下降")</f>
        <v>增长</v>
      </c>
      <c r="G35" s="34">
        <f>IF(J34=0,IF(E34&gt;0,1,""),C35/J34)</f>
        <v>3.4579283813063612E-2</v>
      </c>
      <c r="H35" s="7" t="s">
        <v>316</v>
      </c>
      <c r="I35" s="11" t="s">
        <v>205</v>
      </c>
    </row>
    <row r="36" spans="1:12" ht="18" customHeight="1">
      <c r="A36" s="86" t="s">
        <v>423</v>
      </c>
      <c r="B36" s="86"/>
      <c r="C36" s="86"/>
      <c r="D36" s="86"/>
      <c r="E36" s="83">
        <f>_xlfn.IFNA(VLOOKUP(封面!B1,一般公共预算财政拨款支出决算具体情况!A:E,5,FALSE),"")</f>
        <v>32234607.479999997</v>
      </c>
      <c r="F36" s="83"/>
      <c r="G36" s="7" t="s">
        <v>179</v>
      </c>
      <c r="H36" s="84" t="s">
        <v>422</v>
      </c>
      <c r="I36" s="84"/>
      <c r="J36" s="83">
        <f>_xlfn.IFNA(VLOOKUP(封面!B1,一般公共预算财政拨款支出决算具体情况!A:F,6,FALSE),"")</f>
        <v>30846986.809999999</v>
      </c>
      <c r="K36" s="83"/>
      <c r="L36" s="11" t="s">
        <v>178</v>
      </c>
    </row>
    <row r="37" spans="1:12" ht="18" customHeight="1">
      <c r="A37" s="15"/>
      <c r="B37" s="15" t="str">
        <f>IF(E36&gt;J36,"增加","减少")</f>
        <v>增加</v>
      </c>
      <c r="C37" s="83">
        <f>ABS(E36-J36)</f>
        <v>1387620.6699999981</v>
      </c>
      <c r="D37" s="83"/>
      <c r="E37" s="7" t="s">
        <v>179</v>
      </c>
      <c r="F37" s="15" t="str">
        <f>IF(E36&gt;J36,"增长","下降")</f>
        <v>增长</v>
      </c>
      <c r="G37" s="34">
        <f>IF(J36=0,IF(E36&gt;0,1,""),C37/J36)</f>
        <v>4.4983994013644085E-2</v>
      </c>
      <c r="H37" s="7" t="s">
        <v>316</v>
      </c>
    </row>
    <row r="38" spans="1:12" ht="36" customHeight="1">
      <c r="B38" s="89" t="s">
        <v>481</v>
      </c>
      <c r="C38" s="89"/>
      <c r="D38" s="89"/>
      <c r="E38" s="89"/>
      <c r="F38" s="89"/>
      <c r="G38" s="89"/>
      <c r="H38" s="89"/>
      <c r="I38" s="89"/>
      <c r="J38" s="89"/>
      <c r="K38" s="89"/>
      <c r="L38" s="89"/>
    </row>
    <row r="39" spans="1:12" ht="18" customHeight="1">
      <c r="A39" s="86" t="s">
        <v>424</v>
      </c>
      <c r="B39" s="86"/>
      <c r="C39" s="86"/>
      <c r="D39" s="86"/>
      <c r="E39" s="83">
        <f>_xlfn.IFNA(VLOOKUP(封面!B1,一般公共预算财政拨款支出决算具体情况!A:G,7,FALSE),"")</f>
        <v>0</v>
      </c>
      <c r="F39" s="83"/>
      <c r="G39" s="7" t="s">
        <v>179</v>
      </c>
      <c r="H39" s="84" t="s">
        <v>422</v>
      </c>
      <c r="I39" s="84"/>
      <c r="J39" s="83">
        <f>_xlfn.IFNA(VLOOKUP(封面!B1,一般公共预算财政拨款支出决算具体情况!A:H,8,FALSE),"")</f>
        <v>0</v>
      </c>
      <c r="K39" s="83"/>
      <c r="L39" s="11" t="s">
        <v>178</v>
      </c>
    </row>
    <row r="40" spans="1:12" ht="18" customHeight="1">
      <c r="A40" s="15"/>
      <c r="B40" s="15" t="str">
        <f>IF(E39&gt;J39,"增加","减少")</f>
        <v>减少</v>
      </c>
      <c r="C40" s="83">
        <f>ABS(E39-J39)</f>
        <v>0</v>
      </c>
      <c r="D40" s="83"/>
      <c r="E40" s="7" t="s">
        <v>179</v>
      </c>
      <c r="F40" s="15" t="str">
        <f>IF(E39&gt;J39,"增长","下降")</f>
        <v>下降</v>
      </c>
      <c r="G40" s="34" t="str">
        <f>IF(J39=0,IF(E39&gt;0,1,""),C40/J39)</f>
        <v/>
      </c>
      <c r="H40" s="7" t="s">
        <v>316</v>
      </c>
    </row>
    <row r="41" spans="1:12" ht="14.25" customHeight="1">
      <c r="B41" s="89"/>
      <c r="C41" s="89"/>
      <c r="D41" s="89"/>
      <c r="E41" s="89"/>
      <c r="F41" s="89"/>
      <c r="G41" s="89"/>
      <c r="H41" s="89"/>
      <c r="I41" s="89"/>
      <c r="J41" s="89"/>
      <c r="K41" s="89"/>
      <c r="L41" s="89"/>
    </row>
    <row r="42" spans="1:12" ht="18" customHeight="1">
      <c r="A42" s="86" t="s">
        <v>425</v>
      </c>
      <c r="B42" s="86"/>
      <c r="C42" s="86"/>
      <c r="D42" s="86"/>
      <c r="E42" s="83">
        <f>_xlfn.IFNA(VLOOKUP(封面!B1,一般公共预算财政拨款支出决算具体情况!A:I,9,FALSE),"")</f>
        <v>0</v>
      </c>
      <c r="F42" s="83"/>
      <c r="G42" s="7" t="s">
        <v>179</v>
      </c>
      <c r="H42" s="84" t="s">
        <v>422</v>
      </c>
      <c r="I42" s="84"/>
      <c r="J42" s="83">
        <f>_xlfn.IFNA(VLOOKUP(封面!B1,一般公共预算财政拨款支出决算具体情况!A:J,10,FALSE),"")</f>
        <v>0</v>
      </c>
      <c r="K42" s="83"/>
      <c r="L42" s="11" t="s">
        <v>178</v>
      </c>
    </row>
    <row r="43" spans="1:12" ht="18" customHeight="1">
      <c r="A43" s="15"/>
      <c r="B43" s="15" t="str">
        <f>IF(E42&gt;J42,"增加","减少")</f>
        <v>减少</v>
      </c>
      <c r="C43" s="83">
        <f>ABS(E42-J42)</f>
        <v>0</v>
      </c>
      <c r="D43" s="83"/>
      <c r="E43" s="7" t="s">
        <v>179</v>
      </c>
      <c r="F43" s="15" t="str">
        <f>IF(E42&gt;J42,"增长","下降")</f>
        <v>下降</v>
      </c>
      <c r="G43" s="34" t="str">
        <f>IF(J42=0,IF(E42&gt;0,1,""),C43/J42)</f>
        <v/>
      </c>
      <c r="H43" s="7" t="s">
        <v>316</v>
      </c>
    </row>
    <row r="44" spans="1:12" ht="17.25" customHeight="1">
      <c r="B44" s="89"/>
      <c r="C44" s="89"/>
      <c r="D44" s="89"/>
      <c r="E44" s="89"/>
      <c r="F44" s="89"/>
      <c r="G44" s="89"/>
      <c r="H44" s="89"/>
      <c r="I44" s="89"/>
      <c r="J44" s="89"/>
      <c r="K44" s="89"/>
      <c r="L44" s="89"/>
    </row>
    <row r="45" spans="1:12" ht="18" customHeight="1">
      <c r="A45" s="86" t="s">
        <v>426</v>
      </c>
      <c r="B45" s="86"/>
      <c r="C45" s="86"/>
      <c r="D45" s="86"/>
      <c r="E45" s="83">
        <f>_xlfn.IFNA(VLOOKUP(封面!B1,一般公共预算财政拨款支出决算具体情况!A:K,11,FALSE),"")</f>
        <v>0</v>
      </c>
      <c r="F45" s="83"/>
      <c r="G45" s="7" t="s">
        <v>179</v>
      </c>
      <c r="H45" s="84" t="s">
        <v>422</v>
      </c>
      <c r="I45" s="84"/>
      <c r="J45" s="83">
        <f>_xlfn.IFNA(VLOOKUP(封面!B1,一般公共预算财政拨款支出决算具体情况!A:L,12,FALSE),"")</f>
        <v>0</v>
      </c>
      <c r="K45" s="83"/>
      <c r="L45" s="11" t="s">
        <v>178</v>
      </c>
    </row>
    <row r="46" spans="1:12" ht="18" customHeight="1">
      <c r="A46" s="15"/>
      <c r="B46" s="15" t="str">
        <f>IF(E45&gt;J45,"增加","减少")</f>
        <v>减少</v>
      </c>
      <c r="C46" s="83">
        <f>ABS(E45-J45)</f>
        <v>0</v>
      </c>
      <c r="D46" s="83"/>
      <c r="E46" s="7" t="s">
        <v>179</v>
      </c>
      <c r="F46" s="15" t="str">
        <f>IF(E45&gt;J45,"增长","下降")</f>
        <v>下降</v>
      </c>
      <c r="G46" s="34" t="str">
        <f>IF(J45=0,IF(E45&gt;0,1,""),C46/J45)</f>
        <v/>
      </c>
      <c r="H46" s="7" t="s">
        <v>316</v>
      </c>
    </row>
    <row r="47" spans="1:12" ht="18" customHeight="1">
      <c r="B47" s="89"/>
      <c r="C47" s="89"/>
      <c r="D47" s="89"/>
      <c r="E47" s="89"/>
      <c r="F47" s="89"/>
      <c r="G47" s="89"/>
      <c r="H47" s="89"/>
      <c r="I47" s="89"/>
      <c r="J47" s="89"/>
      <c r="K47" s="89"/>
      <c r="L47" s="89"/>
    </row>
    <row r="48" spans="1:12" ht="18" customHeight="1">
      <c r="A48" s="86" t="s">
        <v>427</v>
      </c>
      <c r="B48" s="86"/>
      <c r="C48" s="86"/>
      <c r="D48" s="86"/>
      <c r="E48" s="83">
        <f>_xlfn.IFNA(VLOOKUP(封面!B1,一般公共预算财政拨款支出决算具体情况!A:M,13,FALSE),"")</f>
        <v>0</v>
      </c>
      <c r="F48" s="83"/>
      <c r="G48" s="7" t="s">
        <v>179</v>
      </c>
      <c r="H48" s="84" t="s">
        <v>422</v>
      </c>
      <c r="I48" s="84"/>
      <c r="J48" s="83">
        <f>_xlfn.IFNA(VLOOKUP(封面!B1,一般公共预算财政拨款支出决算具体情况!A:N,14,FALSE),"")</f>
        <v>71400</v>
      </c>
      <c r="K48" s="83"/>
      <c r="L48" s="11" t="s">
        <v>178</v>
      </c>
    </row>
    <row r="49" spans="1:12" ht="18" customHeight="1">
      <c r="A49" s="15"/>
      <c r="B49" s="15" t="str">
        <f>IF(E48&gt;J48,"增加","减少")</f>
        <v>减少</v>
      </c>
      <c r="C49" s="83">
        <f>ABS(E48-J48)</f>
        <v>71400</v>
      </c>
      <c r="D49" s="83"/>
      <c r="E49" s="7" t="s">
        <v>179</v>
      </c>
      <c r="F49" s="15" t="str">
        <f>IF(E48&gt;J48,"增长","下降")</f>
        <v>下降</v>
      </c>
      <c r="G49" s="34">
        <f>IF(J48=0,IF(E48&gt;0,1,""),C49/J48)</f>
        <v>1</v>
      </c>
      <c r="H49" s="7" t="s">
        <v>316</v>
      </c>
    </row>
    <row r="50" spans="1:12" ht="36" customHeight="1">
      <c r="B50" s="89" t="s">
        <v>480</v>
      </c>
      <c r="C50" s="89"/>
      <c r="D50" s="89"/>
      <c r="E50" s="89"/>
      <c r="F50" s="89"/>
      <c r="G50" s="89"/>
      <c r="H50" s="89"/>
      <c r="I50" s="89"/>
      <c r="J50" s="89"/>
      <c r="K50" s="89"/>
      <c r="L50" s="89"/>
    </row>
    <row r="51" spans="1:12" ht="18" customHeight="1">
      <c r="A51" s="85" t="s">
        <v>428</v>
      </c>
      <c r="B51" s="85"/>
      <c r="C51" s="85"/>
      <c r="D51" s="85"/>
      <c r="E51" s="83">
        <f>_xlfn.IFNA(VLOOKUP(封面!B1,一般公共预算财政拨款支出决算具体情况!A:O,15,FALSE),"")</f>
        <v>1037574.86</v>
      </c>
      <c r="F51" s="83"/>
      <c r="G51" s="7" t="s">
        <v>179</v>
      </c>
      <c r="H51" s="84" t="s">
        <v>422</v>
      </c>
      <c r="I51" s="84"/>
      <c r="J51" s="83">
        <f>_xlfn.IFNA(VLOOKUP(封面!B1,一般公共预算财政拨款支出决算具体情况!A:P,16,FALSE),"")</f>
        <v>1241722</v>
      </c>
      <c r="K51" s="83"/>
      <c r="L51" s="11" t="s">
        <v>178</v>
      </c>
    </row>
    <row r="52" spans="1:12" ht="18" customHeight="1">
      <c r="A52" s="15"/>
      <c r="B52" s="15" t="str">
        <f>IF(E51&gt;J51,"增加","减少")</f>
        <v>减少</v>
      </c>
      <c r="C52" s="83">
        <f>ABS(E51-J51)</f>
        <v>204147.14</v>
      </c>
      <c r="D52" s="83"/>
      <c r="E52" s="7" t="s">
        <v>179</v>
      </c>
      <c r="F52" s="15" t="str">
        <f>IF(E51&gt;J51,"增长","下降")</f>
        <v>下降</v>
      </c>
      <c r="G52" s="34">
        <f>IF(J51=0,IF(E51&gt;0,1,""),C52/J51)</f>
        <v>0.16440647745630665</v>
      </c>
      <c r="H52" s="7" t="s">
        <v>316</v>
      </c>
    </row>
    <row r="53" spans="1:12" ht="36" customHeight="1">
      <c r="B53" s="89" t="s">
        <v>482</v>
      </c>
      <c r="C53" s="89"/>
      <c r="D53" s="89"/>
      <c r="E53" s="89"/>
      <c r="F53" s="89"/>
      <c r="G53" s="89"/>
      <c r="H53" s="89"/>
      <c r="I53" s="89"/>
      <c r="J53" s="89"/>
      <c r="K53" s="89"/>
      <c r="L53" s="89"/>
    </row>
    <row r="54" spans="1:12" ht="18" customHeight="1">
      <c r="A54" s="90" t="s">
        <v>429</v>
      </c>
      <c r="B54" s="90"/>
      <c r="C54" s="90"/>
      <c r="D54" s="90"/>
      <c r="E54" s="83">
        <f>_xlfn.IFNA(VLOOKUP(封面!B1,一般公共预算财政拨款支出决算具体情况!A:Q,17,FALSE),"")</f>
        <v>0</v>
      </c>
      <c r="F54" s="83"/>
      <c r="G54" s="7" t="s">
        <v>179</v>
      </c>
      <c r="H54" s="88" t="s">
        <v>430</v>
      </c>
      <c r="I54" s="88"/>
      <c r="J54" s="88"/>
      <c r="K54" s="88"/>
      <c r="L54" s="11"/>
    </row>
    <row r="55" spans="1:12" ht="18" customHeight="1">
      <c r="A55" s="85" t="s">
        <v>472</v>
      </c>
      <c r="B55" s="85"/>
      <c r="C55" s="85"/>
      <c r="D55" s="85"/>
      <c r="E55" s="83">
        <f>_xlfn.IFNA(VLOOKUP(封面!B1,一般公共预算财政拨款支出决算具体情况!A:S,19,FALSE),"")</f>
        <v>0</v>
      </c>
      <c r="F55" s="83"/>
      <c r="G55" s="7" t="s">
        <v>179</v>
      </c>
      <c r="H55" s="88" t="s">
        <v>432</v>
      </c>
      <c r="I55" s="88"/>
      <c r="J55" s="88"/>
      <c r="K55" s="88"/>
      <c r="L55" s="11"/>
    </row>
    <row r="56" spans="1:12" ht="16.5" customHeight="1">
      <c r="B56" s="89"/>
      <c r="C56" s="89"/>
      <c r="D56" s="89"/>
      <c r="E56" s="89"/>
      <c r="F56" s="89"/>
      <c r="G56" s="89"/>
      <c r="H56" s="89"/>
      <c r="I56" s="89"/>
      <c r="J56" s="89"/>
      <c r="K56" s="89"/>
      <c r="L56" s="89"/>
    </row>
    <row r="57" spans="1:12" ht="18" customHeight="1">
      <c r="A57" s="86" t="s">
        <v>431</v>
      </c>
      <c r="B57" s="86"/>
      <c r="C57" s="86"/>
      <c r="D57" s="86"/>
      <c r="E57" s="83">
        <f>_xlfn.IFNA(VLOOKUP(封面!B1,一般公共预算财政拨款支出决算具体情况!A:U,21,FALSE),"")</f>
        <v>0</v>
      </c>
      <c r="F57" s="83"/>
      <c r="G57" s="7" t="s">
        <v>179</v>
      </c>
      <c r="H57" s="88" t="s">
        <v>432</v>
      </c>
      <c r="I57" s="88"/>
      <c r="J57" s="88"/>
      <c r="K57" s="88"/>
      <c r="L57" s="11"/>
    </row>
    <row r="58" spans="1:12" ht="18.75" customHeight="1">
      <c r="B58" s="89"/>
      <c r="C58" s="89"/>
      <c r="D58" s="89"/>
      <c r="E58" s="89"/>
      <c r="F58" s="89"/>
      <c r="G58" s="89"/>
      <c r="H58" s="89"/>
      <c r="I58" s="89"/>
      <c r="J58" s="89"/>
      <c r="K58" s="89"/>
      <c r="L58" s="89"/>
    </row>
    <row r="59" spans="1:12" ht="18" customHeight="1">
      <c r="A59" s="90" t="s">
        <v>433</v>
      </c>
      <c r="B59" s="90"/>
      <c r="C59" s="90"/>
      <c r="D59" s="90"/>
      <c r="E59" s="83">
        <f>_xlfn.IFNA(VLOOKUP(封面!B1,一般公共预算财政拨款支出决算具体情况!A:W,23,FALSE),"")</f>
        <v>6286833.5199999996</v>
      </c>
      <c r="F59" s="83"/>
      <c r="G59" s="7" t="s">
        <v>179</v>
      </c>
      <c r="H59" s="84" t="s">
        <v>422</v>
      </c>
      <c r="I59" s="84"/>
      <c r="J59" s="83">
        <f>_xlfn.IFNA(VLOOKUP(封面!B1,一般公共预算财政拨款支出决算具体情况!A:X,24,FALSE),"")</f>
        <v>5935238.6399999997</v>
      </c>
      <c r="K59" s="83"/>
      <c r="L59" s="11" t="s">
        <v>178</v>
      </c>
    </row>
    <row r="60" spans="1:12" ht="18" customHeight="1">
      <c r="B60" s="15" t="str">
        <f>IF(E59&gt;J59,"增加","减少")</f>
        <v>增加</v>
      </c>
      <c r="C60" s="83">
        <f>ABS(E59-J59)</f>
        <v>351594.87999999989</v>
      </c>
      <c r="D60" s="83"/>
      <c r="E60" s="7" t="s">
        <v>179</v>
      </c>
      <c r="F60" s="15" t="str">
        <f>IF(E59&gt;J59,"增长","下降")</f>
        <v>增长</v>
      </c>
      <c r="G60" s="34">
        <f>IF(J59=0,IF(E59&gt;0,1,""),C60/J59)</f>
        <v>5.9238541417771858E-2</v>
      </c>
      <c r="H60" s="7" t="s">
        <v>316</v>
      </c>
      <c r="I60" s="11" t="s">
        <v>205</v>
      </c>
    </row>
    <row r="61" spans="1:12" ht="18" customHeight="1">
      <c r="A61" s="85" t="s">
        <v>434</v>
      </c>
      <c r="B61" s="85"/>
      <c r="C61" s="85"/>
      <c r="D61" s="85"/>
      <c r="E61" s="83">
        <f>_xlfn.IFNA(VLOOKUP(封面!B1,一般公共预算财政拨款支出决算具体情况!A:Y,25,FALSE),"")</f>
        <v>6286833.5199999996</v>
      </c>
      <c r="F61" s="83"/>
      <c r="G61" s="7" t="s">
        <v>179</v>
      </c>
      <c r="H61" s="84" t="s">
        <v>422</v>
      </c>
      <c r="I61" s="84"/>
      <c r="J61" s="83">
        <f>_xlfn.IFNA(VLOOKUP(封面!B1,一般公共预算财政拨款支出决算具体情况!A:Z,26,FALSE),"")</f>
        <v>5935238.6399999997</v>
      </c>
      <c r="K61" s="83"/>
      <c r="L61" s="11" t="s">
        <v>178</v>
      </c>
    </row>
    <row r="62" spans="1:12" ht="18" customHeight="1">
      <c r="A62" s="15"/>
      <c r="B62" s="15" t="str">
        <f>IF(E61&gt;J61,"增加","减少")</f>
        <v>增加</v>
      </c>
      <c r="C62" s="83">
        <f>ABS(E61-J61)</f>
        <v>351594.87999999989</v>
      </c>
      <c r="D62" s="83"/>
      <c r="E62" s="7" t="s">
        <v>179</v>
      </c>
      <c r="F62" s="15" t="str">
        <f>IF(E61&gt;J61,"增长","下降")</f>
        <v>增长</v>
      </c>
      <c r="G62" s="34">
        <f>IF(J61=0,IF(E61&gt;0,1,""),C62/J61)</f>
        <v>5.9238541417771858E-2</v>
      </c>
      <c r="H62" s="7" t="s">
        <v>316</v>
      </c>
    </row>
    <row r="63" spans="1:12" ht="36" customHeight="1">
      <c r="B63" s="89" t="s">
        <v>483</v>
      </c>
      <c r="C63" s="89"/>
      <c r="D63" s="89"/>
      <c r="E63" s="89"/>
      <c r="F63" s="89"/>
      <c r="G63" s="89"/>
      <c r="H63" s="89"/>
      <c r="I63" s="89"/>
      <c r="J63" s="89"/>
      <c r="K63" s="89"/>
      <c r="L63" s="89"/>
    </row>
    <row r="64" spans="1:12" ht="18" customHeight="1">
      <c r="A64" s="85" t="s">
        <v>435</v>
      </c>
      <c r="B64" s="85"/>
      <c r="C64" s="85"/>
      <c r="D64" s="85"/>
      <c r="E64" s="83">
        <f>_xlfn.IFNA(VLOOKUP(封面!B1,一般公共预算财政拨款支出决算具体情况!A:AA,27,FALSE),"")</f>
        <v>0</v>
      </c>
      <c r="F64" s="83"/>
      <c r="G64" s="7" t="s">
        <v>179</v>
      </c>
      <c r="H64" s="84" t="s">
        <v>432</v>
      </c>
      <c r="I64" s="84"/>
      <c r="J64" s="83"/>
      <c r="K64" s="83"/>
      <c r="L64" s="11"/>
    </row>
    <row r="65" spans="1:12" ht="17.25" customHeight="1">
      <c r="B65" s="89"/>
      <c r="C65" s="89"/>
      <c r="D65" s="89"/>
      <c r="E65" s="89"/>
      <c r="F65" s="89"/>
      <c r="G65" s="89"/>
      <c r="H65" s="89"/>
      <c r="I65" s="89"/>
      <c r="J65" s="89"/>
      <c r="K65" s="89"/>
      <c r="L65" s="89"/>
    </row>
    <row r="66" spans="1:12" ht="18" customHeight="1">
      <c r="A66" s="90" t="s">
        <v>436</v>
      </c>
      <c r="B66" s="90"/>
      <c r="C66" s="90"/>
      <c r="D66" s="90"/>
      <c r="E66" s="83">
        <f>_xlfn.IFNA(VLOOKUP(封面!B1,一般公共预算财政拨款支出决算具体情况!A:AC,29,FALSE),"")</f>
        <v>2741117.44</v>
      </c>
      <c r="F66" s="83"/>
      <c r="G66" s="7" t="s">
        <v>179</v>
      </c>
      <c r="H66" s="84" t="s">
        <v>422</v>
      </c>
      <c r="I66" s="84"/>
      <c r="J66" s="83">
        <f>_xlfn.IFNA(VLOOKUP(封面!B1,一般公共预算财政拨款支出决算具体情况!A:AD,30,FALSE),"")</f>
        <v>2669301.1800000002</v>
      </c>
      <c r="K66" s="83"/>
      <c r="L66" s="11" t="s">
        <v>178</v>
      </c>
    </row>
    <row r="67" spans="1:12" ht="18" customHeight="1">
      <c r="B67" s="15" t="str">
        <f>IF(E66&gt;J66,"增加","减少")</f>
        <v>增加</v>
      </c>
      <c r="C67" s="83">
        <f>ABS(E66-J66)</f>
        <v>71816.259999999776</v>
      </c>
      <c r="D67" s="83"/>
      <c r="E67" s="7" t="s">
        <v>179</v>
      </c>
      <c r="F67" s="15" t="str">
        <f>IF(E66&gt;J66,"增长","下降")</f>
        <v>增长</v>
      </c>
      <c r="G67" s="34">
        <f>IF(J66=0,IF(E66&gt;0,1,""),C67/J66)</f>
        <v>2.6904517383834436E-2</v>
      </c>
      <c r="H67" s="7" t="s">
        <v>316</v>
      </c>
      <c r="I67" s="11" t="s">
        <v>205</v>
      </c>
    </row>
    <row r="68" spans="1:12" ht="18" customHeight="1">
      <c r="A68" s="85" t="s">
        <v>437</v>
      </c>
      <c r="B68" s="85"/>
      <c r="C68" s="85"/>
      <c r="D68" s="85"/>
      <c r="E68" s="83">
        <f>_xlfn.IFNA(VLOOKUP(封面!B1,一般公共预算财政拨款支出决算具体情况!A:AE,31,FALSE),"")</f>
        <v>2741117.44</v>
      </c>
      <c r="F68" s="83"/>
      <c r="G68" s="7" t="s">
        <v>179</v>
      </c>
      <c r="H68" s="84" t="s">
        <v>422</v>
      </c>
      <c r="I68" s="84"/>
      <c r="J68" s="83">
        <f>_xlfn.IFNA(VLOOKUP(封面!B1,一般公共预算财政拨款支出决算具体情况!A:AF,32,FALSE),"")</f>
        <v>2669301.1800000002</v>
      </c>
      <c r="K68" s="83"/>
      <c r="L68" s="11" t="s">
        <v>178</v>
      </c>
    </row>
    <row r="69" spans="1:12" ht="18" customHeight="1">
      <c r="A69" s="15"/>
      <c r="B69" s="15" t="str">
        <f>IF(E68&gt;J68,"增加","减少")</f>
        <v>增加</v>
      </c>
      <c r="C69" s="83">
        <f>ABS(E68-J68)</f>
        <v>71816.259999999776</v>
      </c>
      <c r="D69" s="83"/>
      <c r="E69" s="7" t="s">
        <v>179</v>
      </c>
      <c r="F69" s="15" t="str">
        <f>IF(E68&gt;J68,"增长","下降")</f>
        <v>增长</v>
      </c>
      <c r="G69" s="34">
        <f>IF(J68=0,IF(E68&gt;0,1,""),C69/J68)</f>
        <v>2.6904517383834436E-2</v>
      </c>
      <c r="H69" s="7" t="s">
        <v>316</v>
      </c>
    </row>
    <row r="70" spans="1:12" ht="36" customHeight="1">
      <c r="B70" s="89" t="s">
        <v>483</v>
      </c>
      <c r="C70" s="89"/>
      <c r="D70" s="89"/>
      <c r="E70" s="89"/>
      <c r="F70" s="89"/>
      <c r="G70" s="89"/>
      <c r="H70" s="89"/>
      <c r="I70" s="89"/>
      <c r="J70" s="89"/>
      <c r="K70" s="89"/>
      <c r="L70" s="89"/>
    </row>
    <row r="71" spans="1:12" ht="18" customHeight="1">
      <c r="A71" s="90" t="s">
        <v>438</v>
      </c>
      <c r="B71" s="90"/>
      <c r="C71" s="90"/>
      <c r="D71" s="90"/>
      <c r="E71" s="83">
        <f>_xlfn.IFNA(VLOOKUP(封面!B1,一般公共预算财政拨款支出决算具体情况!A:AG,33,FALSE),"")</f>
        <v>0</v>
      </c>
      <c r="F71" s="83"/>
      <c r="G71" s="7" t="s">
        <v>179</v>
      </c>
      <c r="H71" s="84" t="s">
        <v>422</v>
      </c>
      <c r="I71" s="84"/>
      <c r="J71" s="83">
        <f>_xlfn.IFNA(VLOOKUP(封面!B1,一般公共预算财政拨款支出决算具体情况!A:AH,34,FALSE),"")</f>
        <v>0</v>
      </c>
      <c r="K71" s="83"/>
      <c r="L71" s="11" t="s">
        <v>178</v>
      </c>
    </row>
    <row r="72" spans="1:12" ht="18" customHeight="1">
      <c r="B72" s="15" t="str">
        <f>IF(E71&gt;J71,"增加","减少")</f>
        <v>减少</v>
      </c>
      <c r="C72" s="83">
        <f>ABS(E71-J71)</f>
        <v>0</v>
      </c>
      <c r="D72" s="83"/>
      <c r="E72" s="7" t="s">
        <v>179</v>
      </c>
      <c r="F72" s="15" t="str">
        <f>IF(E71&gt;J71,"增长","下降")</f>
        <v>下降</v>
      </c>
      <c r="G72" s="34" t="str">
        <f>IF(J71=0,IF(E71&gt;0,1,""),C72/J71)</f>
        <v/>
      </c>
      <c r="H72" s="7" t="s">
        <v>313</v>
      </c>
      <c r="I72" s="11" t="s">
        <v>205</v>
      </c>
    </row>
    <row r="73" spans="1:12" ht="18" customHeight="1">
      <c r="A73" s="85" t="s">
        <v>439</v>
      </c>
      <c r="B73" s="85"/>
      <c r="C73" s="85"/>
      <c r="D73" s="85"/>
      <c r="E73" s="83">
        <f>_xlfn.IFNA(VLOOKUP(封面!B1,一般公共预算财政拨款支出决算具体情况!A:AI,35,FALSE),"")</f>
        <v>0</v>
      </c>
      <c r="F73" s="83"/>
      <c r="G73" s="7" t="s">
        <v>179</v>
      </c>
      <c r="H73" s="84" t="s">
        <v>422</v>
      </c>
      <c r="I73" s="84"/>
      <c r="J73" s="83">
        <f>_xlfn.IFNA(VLOOKUP(封面!B1,一般公共预算财政拨款支出决算具体情况!A:AJ,36,FALSE),"")</f>
        <v>0</v>
      </c>
      <c r="K73" s="83"/>
      <c r="L73" s="11" t="s">
        <v>178</v>
      </c>
    </row>
    <row r="74" spans="1:12" ht="18" customHeight="1">
      <c r="A74" s="58"/>
      <c r="B74" s="15" t="str">
        <f>IF(E73&gt;J73,"增加","减少")</f>
        <v>减少</v>
      </c>
      <c r="C74" s="83">
        <f>ABS(E73-J73)</f>
        <v>0</v>
      </c>
      <c r="D74" s="83"/>
      <c r="E74" s="7" t="s">
        <v>179</v>
      </c>
      <c r="F74" s="15" t="str">
        <f>IF(E73&gt;J73,"增长","下降")</f>
        <v>下降</v>
      </c>
      <c r="G74" s="34" t="str">
        <f>IF(J73=0,IF(E73&gt;0,1,""),C74/J73)</f>
        <v/>
      </c>
      <c r="H74" s="7" t="s">
        <v>313</v>
      </c>
      <c r="I74" s="57"/>
      <c r="J74" s="56"/>
      <c r="K74" s="56"/>
      <c r="L74" s="11"/>
    </row>
    <row r="75" spans="1:12" ht="17.25" customHeight="1">
      <c r="B75" s="89"/>
      <c r="C75" s="89"/>
      <c r="D75" s="89"/>
      <c r="E75" s="89"/>
      <c r="F75" s="89"/>
      <c r="G75" s="89"/>
      <c r="H75" s="89"/>
      <c r="I75" s="89"/>
      <c r="J75" s="89"/>
      <c r="K75" s="89"/>
      <c r="L75" s="89"/>
    </row>
    <row r="76" spans="1:12" ht="18" customHeight="1">
      <c r="A76" s="90" t="s">
        <v>473</v>
      </c>
      <c r="B76" s="90"/>
      <c r="C76" s="90"/>
      <c r="D76" s="90"/>
      <c r="E76" s="83">
        <f>_xlfn.IFNA(VLOOKUP(封面!B1,一般公共预算财政拨款支出决算具体情况!A:AK,37,FALSE),"")</f>
        <v>4882940</v>
      </c>
      <c r="F76" s="83"/>
      <c r="G76" s="7" t="s">
        <v>179</v>
      </c>
      <c r="H76" s="84" t="s">
        <v>422</v>
      </c>
      <c r="I76" s="84"/>
      <c r="J76" s="83">
        <f>_xlfn.IFNA(VLOOKUP(封面!B1,一般公共预算财政拨款支出决算具体情况!A:AL,38,FALSE),"")</f>
        <v>4829650.32</v>
      </c>
      <c r="K76" s="83"/>
      <c r="L76" s="11" t="s">
        <v>178</v>
      </c>
    </row>
    <row r="77" spans="1:12" ht="18" customHeight="1">
      <c r="B77" s="15" t="str">
        <f>IF(E76&gt;J76,"增加","减少")</f>
        <v>增加</v>
      </c>
      <c r="C77" s="83">
        <f>ABS(E76-J76)</f>
        <v>53289.679999999702</v>
      </c>
      <c r="D77" s="83"/>
      <c r="E77" s="7" t="s">
        <v>179</v>
      </c>
      <c r="F77" s="15" t="str">
        <f>IF(E76&gt;J76,"增长","下降")</f>
        <v>增长</v>
      </c>
      <c r="G77" s="34">
        <f>IF(J76=0,IF(E76&gt;0,1,""),C77/J76)</f>
        <v>1.1033858865376344E-2</v>
      </c>
      <c r="H77" s="7" t="s">
        <v>316</v>
      </c>
      <c r="I77" s="11" t="s">
        <v>205</v>
      </c>
    </row>
    <row r="78" spans="1:12" ht="18" customHeight="1">
      <c r="A78" s="85" t="s">
        <v>440</v>
      </c>
      <c r="B78" s="85"/>
      <c r="C78" s="85"/>
      <c r="D78" s="85"/>
      <c r="E78" s="83">
        <f>_xlfn.IFNA(VLOOKUP(封面!B1,一般公共预算财政拨款支出决算具体情况!A:AM,39,FALSE),"")</f>
        <v>4882940</v>
      </c>
      <c r="F78" s="83"/>
      <c r="G78" s="7" t="s">
        <v>179</v>
      </c>
      <c r="H78" s="84" t="s">
        <v>422</v>
      </c>
      <c r="I78" s="84"/>
      <c r="J78" s="83">
        <f>_xlfn.IFNA(VLOOKUP(封面!B1,一般公共预算财政拨款支出决算具体情况!A:AN,40,FALSE),"")</f>
        <v>4829650.32</v>
      </c>
      <c r="K78" s="83"/>
      <c r="L78" s="11" t="s">
        <v>178</v>
      </c>
    </row>
    <row r="79" spans="1:12" ht="18" customHeight="1">
      <c r="A79" s="15"/>
      <c r="B79" s="15" t="str">
        <f>IF(E78&gt;J78,"增加","减少")</f>
        <v>增加</v>
      </c>
      <c r="C79" s="83">
        <f>ABS(E78-J78)</f>
        <v>53289.679999999702</v>
      </c>
      <c r="D79" s="83"/>
      <c r="E79" s="7" t="s">
        <v>179</v>
      </c>
      <c r="F79" s="15" t="str">
        <f>IF(E78&gt;J78,"增长","下降")</f>
        <v>增长</v>
      </c>
      <c r="G79" s="34">
        <f>IF(J78=0,IF(E78&gt;0,1,""),C79/J78)</f>
        <v>1.1033858865376344E-2</v>
      </c>
      <c r="H79" s="7" t="s">
        <v>316</v>
      </c>
    </row>
    <row r="80" spans="1:12" ht="36" customHeight="1">
      <c r="B80" s="89" t="s">
        <v>484</v>
      </c>
      <c r="C80" s="89"/>
      <c r="D80" s="89"/>
      <c r="E80" s="89"/>
      <c r="F80" s="89"/>
      <c r="G80" s="89"/>
      <c r="H80" s="89"/>
      <c r="I80" s="89"/>
      <c r="J80" s="89"/>
      <c r="K80" s="89"/>
      <c r="L80" s="89"/>
    </row>
    <row r="81" spans="1:13" ht="18" customHeight="1">
      <c r="A81" s="6" t="s">
        <v>206</v>
      </c>
    </row>
    <row r="82" spans="1:13" ht="18" customHeight="1">
      <c r="A82" s="7" t="str">
        <f>IF(_xlfn.IFNA(VLOOKUP(封面!B1,'2021决算导出'!A:W,23,FALSE),"")=0,"本年度无此项支出。","")</f>
        <v>本年度无此项支出。</v>
      </c>
    </row>
    <row r="83" spans="1:13" ht="18" customHeight="1">
      <c r="A83" s="7" t="s">
        <v>207</v>
      </c>
    </row>
    <row r="84" spans="1:13" ht="18" customHeight="1">
      <c r="A84" s="86" t="s">
        <v>441</v>
      </c>
      <c r="B84" s="86"/>
      <c r="C84" s="86"/>
      <c r="D84" s="86"/>
      <c r="E84" s="86"/>
      <c r="F84" s="83">
        <f>_xlfn.IFNA(VLOOKUP(封面!B1,'2021决算导出'!A:W,23,FALSE),"")</f>
        <v>0</v>
      </c>
      <c r="G84" s="83"/>
      <c r="H84" s="7" t="s">
        <v>179</v>
      </c>
      <c r="I84" s="88" t="s">
        <v>196</v>
      </c>
      <c r="J84" s="88"/>
      <c r="K84" s="88"/>
      <c r="L84" s="88"/>
      <c r="M84" s="88"/>
    </row>
    <row r="85" spans="1:13" ht="18" customHeight="1">
      <c r="A85" s="86" t="s">
        <v>208</v>
      </c>
      <c r="B85" s="86"/>
      <c r="C85" s="86"/>
      <c r="D85" s="83">
        <f>_xlfn.IFNA(VLOOKUP(封面!B1,'2021决算导出'!A:Y,25,FALSE),"")</f>
        <v>0</v>
      </c>
      <c r="E85" s="83"/>
      <c r="F85" s="7" t="s">
        <v>179</v>
      </c>
      <c r="G85" s="84" t="s">
        <v>198</v>
      </c>
      <c r="H85" s="84"/>
      <c r="I85" s="13">
        <v>100</v>
      </c>
      <c r="J85" s="7" t="s">
        <v>183</v>
      </c>
      <c r="K85" s="9"/>
      <c r="L85" s="9"/>
      <c r="M85" s="9"/>
    </row>
    <row r="86" spans="1:13" ht="18" customHeight="1">
      <c r="A86" s="7" t="s">
        <v>209</v>
      </c>
    </row>
    <row r="87" spans="1:13" ht="18" customHeight="1">
      <c r="A87" s="88" t="s">
        <v>442</v>
      </c>
      <c r="B87" s="88"/>
      <c r="C87" s="88"/>
      <c r="D87" s="88"/>
      <c r="E87" s="83">
        <f>_xlfn.IFNA(VLOOKUP(封面!B1,'2021决算导出'!A:Y,25,FALSE),"")</f>
        <v>0</v>
      </c>
      <c r="F87" s="83"/>
      <c r="G87" s="7" t="s">
        <v>179</v>
      </c>
      <c r="H87" s="84" t="s">
        <v>422</v>
      </c>
      <c r="I87" s="84"/>
      <c r="J87" s="83">
        <f>_xlfn.IFNA(VLOOKUP(封面!B1,'2021决算导出'!A:Z,26,FALSE),"")</f>
        <v>0</v>
      </c>
      <c r="K87" s="83"/>
      <c r="L87" s="11" t="s">
        <v>178</v>
      </c>
    </row>
    <row r="88" spans="1:13" ht="18" customHeight="1">
      <c r="B88" s="15" t="str">
        <f>IF(E87&gt;J87,"增加","减少")</f>
        <v>减少</v>
      </c>
      <c r="C88" s="83">
        <f>ABS(E87-J87)</f>
        <v>0</v>
      </c>
      <c r="D88" s="83"/>
      <c r="E88" s="7" t="s">
        <v>179</v>
      </c>
      <c r="F88" s="15" t="str">
        <f>IF(E87&gt;J87,"增长","下降")</f>
        <v>下降</v>
      </c>
      <c r="G88" s="34" t="str">
        <f>IF(J87=0,IF(E87&gt;0,1,""),C88/J87)</f>
        <v/>
      </c>
      <c r="H88" s="7" t="s">
        <v>316</v>
      </c>
      <c r="I88" s="11" t="s">
        <v>205</v>
      </c>
    </row>
    <row r="89" spans="1:13" ht="18" customHeight="1">
      <c r="A89" s="85" t="s">
        <v>443</v>
      </c>
      <c r="B89" s="85"/>
      <c r="C89" s="85"/>
      <c r="D89" s="85"/>
      <c r="E89" s="83">
        <f>E87</f>
        <v>0</v>
      </c>
      <c r="F89" s="83"/>
      <c r="G89" s="7" t="s">
        <v>179</v>
      </c>
      <c r="H89" s="84" t="s">
        <v>422</v>
      </c>
      <c r="I89" s="84"/>
      <c r="J89" s="83">
        <f>J87</f>
        <v>0</v>
      </c>
      <c r="K89" s="83"/>
      <c r="L89" s="11" t="s">
        <v>178</v>
      </c>
    </row>
    <row r="90" spans="1:13" ht="18" customHeight="1">
      <c r="A90" s="15"/>
      <c r="B90" s="15" t="str">
        <f>B88</f>
        <v>减少</v>
      </c>
      <c r="C90" s="83">
        <f>C88</f>
        <v>0</v>
      </c>
      <c r="D90" s="83"/>
      <c r="E90" s="7" t="s">
        <v>179</v>
      </c>
      <c r="F90" s="15" t="str">
        <f>F88</f>
        <v>下降</v>
      </c>
      <c r="G90" s="34" t="str">
        <f>IF(J89=0,IF(E89&gt;0,1,""),C90/J89)</f>
        <v/>
      </c>
      <c r="H90" s="7" t="s">
        <v>316</v>
      </c>
    </row>
    <row r="91" spans="1:13" ht="17.25" customHeight="1">
      <c r="B91" s="89"/>
      <c r="C91" s="89"/>
      <c r="D91" s="89"/>
      <c r="E91" s="89"/>
      <c r="F91" s="89"/>
      <c r="G91" s="89"/>
      <c r="H91" s="89"/>
      <c r="I91" s="89"/>
      <c r="J91" s="89"/>
      <c r="K91" s="89"/>
      <c r="L91" s="89"/>
    </row>
    <row r="92" spans="1:13" ht="18" customHeight="1">
      <c r="A92" s="6" t="s">
        <v>210</v>
      </c>
    </row>
    <row r="93" spans="1:13" ht="18" customHeight="1">
      <c r="A93" s="7" t="s">
        <v>211</v>
      </c>
    </row>
    <row r="94" spans="1:13" ht="18" customHeight="1">
      <c r="A94" s="6" t="s">
        <v>212</v>
      </c>
    </row>
    <row r="95" spans="1:13" ht="18" customHeight="1">
      <c r="A95" s="7" t="s">
        <v>444</v>
      </c>
      <c r="G95" s="83">
        <f>_xlfn.IFNA(VLOOKUP(封面!B1,'2021决算导出'!A:AA,27,FALSE),"")</f>
        <v>42147640.630000003</v>
      </c>
      <c r="H95" s="83"/>
      <c r="I95" s="11" t="s">
        <v>179</v>
      </c>
    </row>
    <row r="96" spans="1:13" ht="130.15" customHeight="1">
      <c r="A96" s="89" t="s">
        <v>213</v>
      </c>
      <c r="B96" s="89"/>
      <c r="C96" s="89"/>
      <c r="D96" s="89"/>
      <c r="E96" s="89"/>
      <c r="F96" s="89"/>
      <c r="G96" s="89"/>
      <c r="H96" s="89"/>
      <c r="I96" s="89"/>
      <c r="J96" s="89"/>
      <c r="K96" s="89"/>
      <c r="L96" s="89"/>
      <c r="M96" s="89"/>
    </row>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sheetData>
  <mergeCells count="165">
    <mergeCell ref="G95:H95"/>
    <mergeCell ref="A96:M96"/>
    <mergeCell ref="A4:M4"/>
    <mergeCell ref="A87:D87"/>
    <mergeCell ref="E87:F87"/>
    <mergeCell ref="H87:I87"/>
    <mergeCell ref="J87:K87"/>
    <mergeCell ref="C88:D88"/>
    <mergeCell ref="A89:D89"/>
    <mergeCell ref="E89:F89"/>
    <mergeCell ref="H89:I89"/>
    <mergeCell ref="J89:K89"/>
    <mergeCell ref="B80:L80"/>
    <mergeCell ref="A84:E84"/>
    <mergeCell ref="F84:G84"/>
    <mergeCell ref="I84:M84"/>
    <mergeCell ref="A85:C85"/>
    <mergeCell ref="D85:E85"/>
    <mergeCell ref="G85:H85"/>
    <mergeCell ref="C77:D77"/>
    <mergeCell ref="A78:D78"/>
    <mergeCell ref="E78:F78"/>
    <mergeCell ref="H78:I78"/>
    <mergeCell ref="J78:K78"/>
    <mergeCell ref="C79:D79"/>
    <mergeCell ref="A76:D76"/>
    <mergeCell ref="E76:F76"/>
    <mergeCell ref="H76:I76"/>
    <mergeCell ref="J76:K76"/>
    <mergeCell ref="C90:D90"/>
    <mergeCell ref="B91:L91"/>
    <mergeCell ref="E61:F61"/>
    <mergeCell ref="H61:I61"/>
    <mergeCell ref="J61:K61"/>
    <mergeCell ref="C62:D62"/>
    <mergeCell ref="B75:L75"/>
    <mergeCell ref="C74:D74"/>
    <mergeCell ref="C72:D72"/>
    <mergeCell ref="H73:I73"/>
    <mergeCell ref="J73:K73"/>
    <mergeCell ref="B65:L65"/>
    <mergeCell ref="A66:D66"/>
    <mergeCell ref="E66:F66"/>
    <mergeCell ref="H66:I66"/>
    <mergeCell ref="J66:K66"/>
    <mergeCell ref="C67:D67"/>
    <mergeCell ref="B63:L63"/>
    <mergeCell ref="A64:D64"/>
    <mergeCell ref="A55:D55"/>
    <mergeCell ref="E55:F55"/>
    <mergeCell ref="H55:K55"/>
    <mergeCell ref="B56:L56"/>
    <mergeCell ref="A71:D71"/>
    <mergeCell ref="E71:F71"/>
    <mergeCell ref="A73:D73"/>
    <mergeCell ref="E73:F73"/>
    <mergeCell ref="A68:D68"/>
    <mergeCell ref="E68:F68"/>
    <mergeCell ref="H68:I68"/>
    <mergeCell ref="J68:K68"/>
    <mergeCell ref="C69:D69"/>
    <mergeCell ref="B70:L70"/>
    <mergeCell ref="H71:I71"/>
    <mergeCell ref="J71:K71"/>
    <mergeCell ref="B58:L58"/>
    <mergeCell ref="H57:K57"/>
    <mergeCell ref="A59:D59"/>
    <mergeCell ref="E59:F59"/>
    <mergeCell ref="H59:I59"/>
    <mergeCell ref="J59:K59"/>
    <mergeCell ref="A57:D57"/>
    <mergeCell ref="E57:F57"/>
    <mergeCell ref="C52:D52"/>
    <mergeCell ref="B53:L53"/>
    <mergeCell ref="A54:D54"/>
    <mergeCell ref="E54:F54"/>
    <mergeCell ref="C49:D49"/>
    <mergeCell ref="B50:L50"/>
    <mergeCell ref="A51:D51"/>
    <mergeCell ref="E51:F51"/>
    <mergeCell ref="H51:I51"/>
    <mergeCell ref="J51:K51"/>
    <mergeCell ref="H54:K54"/>
    <mergeCell ref="C46:D46"/>
    <mergeCell ref="B47:L47"/>
    <mergeCell ref="A48:D48"/>
    <mergeCell ref="E48:F48"/>
    <mergeCell ref="H48:I48"/>
    <mergeCell ref="J48:K48"/>
    <mergeCell ref="C43:D43"/>
    <mergeCell ref="B44:L44"/>
    <mergeCell ref="A45:D45"/>
    <mergeCell ref="E45:F45"/>
    <mergeCell ref="H45:I45"/>
    <mergeCell ref="J45:K45"/>
    <mergeCell ref="A42:D42"/>
    <mergeCell ref="E42:F42"/>
    <mergeCell ref="H42:I42"/>
    <mergeCell ref="J42:K42"/>
    <mergeCell ref="B38:L38"/>
    <mergeCell ref="C35:D35"/>
    <mergeCell ref="C37:D37"/>
    <mergeCell ref="A39:D39"/>
    <mergeCell ref="E39:F39"/>
    <mergeCell ref="H39:I39"/>
    <mergeCell ref="J39:K39"/>
    <mergeCell ref="A36:D36"/>
    <mergeCell ref="E36:F36"/>
    <mergeCell ref="H36:I36"/>
    <mergeCell ref="J36:K36"/>
    <mergeCell ref="A34:D34"/>
    <mergeCell ref="E34:F34"/>
    <mergeCell ref="H34:I34"/>
    <mergeCell ref="J34:K34"/>
    <mergeCell ref="D32:E32"/>
    <mergeCell ref="G32:H32"/>
    <mergeCell ref="A32:C32"/>
    <mergeCell ref="C40:D40"/>
    <mergeCell ref="B41:L41"/>
    <mergeCell ref="G31:H31"/>
    <mergeCell ref="G29:H29"/>
    <mergeCell ref="D27:E27"/>
    <mergeCell ref="G27:H27"/>
    <mergeCell ref="D28:E28"/>
    <mergeCell ref="G28:H28"/>
    <mergeCell ref="A29:C29"/>
    <mergeCell ref="A27:C27"/>
    <mergeCell ref="A28:C28"/>
    <mergeCell ref="D29:E29"/>
    <mergeCell ref="A8:C8"/>
    <mergeCell ref="A6:B6"/>
    <mergeCell ref="A17:C17"/>
    <mergeCell ref="A1:M1"/>
    <mergeCell ref="A18:C18"/>
    <mergeCell ref="F18:G18"/>
    <mergeCell ref="A13:C13"/>
    <mergeCell ref="F13:G13"/>
    <mergeCell ref="A14:C14"/>
    <mergeCell ref="F14:G14"/>
    <mergeCell ref="A15:C15"/>
    <mergeCell ref="F15:G15"/>
    <mergeCell ref="E64:F64"/>
    <mergeCell ref="H64:I64"/>
    <mergeCell ref="J64:K64"/>
    <mergeCell ref="C60:D60"/>
    <mergeCell ref="A61:D61"/>
    <mergeCell ref="A10:C10"/>
    <mergeCell ref="A11:C11"/>
    <mergeCell ref="F11:G11"/>
    <mergeCell ref="A12:C12"/>
    <mergeCell ref="F12:G12"/>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43" workbookViewId="0">
      <selection activeCell="A14" sqref="A14:XFD14"/>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1" t="s">
        <v>413</v>
      </c>
      <c r="B1" s="81"/>
      <c r="C1" s="81"/>
      <c r="D1" s="81"/>
      <c r="E1" s="81"/>
      <c r="F1" s="81"/>
      <c r="G1" s="81"/>
      <c r="H1" s="81"/>
      <c r="I1" s="81"/>
      <c r="J1" s="81"/>
      <c r="K1" s="81"/>
      <c r="L1" s="81"/>
      <c r="M1" s="81"/>
      <c r="N1" s="81"/>
    </row>
    <row r="2" spans="1:14" ht="18" customHeight="1">
      <c r="A2" s="6" t="s">
        <v>214</v>
      </c>
    </row>
    <row r="3" spans="1:14" ht="18" customHeight="1">
      <c r="A3" s="16" t="str">
        <f>IF(_xlfn.IFNA(VLOOKUP(封面!B1,'2021决算导出'!A:AB,28,FALSE),"")=0,"本年度无此项支出。","")</f>
        <v>本年度无此项支出。</v>
      </c>
    </row>
    <row r="4" spans="1:14" ht="18" customHeight="1">
      <c r="A4" s="7" t="s">
        <v>445</v>
      </c>
      <c r="F4" s="83">
        <f>_xlfn.IFNA(VLOOKUP(封面!B1,'2021决算导出'!A:AB,28,FALSE),"")</f>
        <v>0</v>
      </c>
      <c r="G4" s="83"/>
      <c r="H4" s="7" t="s">
        <v>179</v>
      </c>
      <c r="I4" s="7" t="s">
        <v>446</v>
      </c>
    </row>
    <row r="5" spans="1:14" ht="18" customHeight="1">
      <c r="A5" s="92">
        <f>_xlfn.IFNA(VLOOKUP(封面!B1,'2021决算导出'!A:AC,29,FALSE),"")</f>
        <v>0</v>
      </c>
      <c r="B5" s="92"/>
      <c r="C5" s="7" t="s">
        <v>178</v>
      </c>
      <c r="D5" s="30" t="str">
        <f>IF(F4&gt;A5,"增加","减少")</f>
        <v>减少</v>
      </c>
      <c r="E5" s="92">
        <f>ABS(F4-A5)</f>
        <v>0</v>
      </c>
      <c r="F5" s="92"/>
      <c r="G5" s="7" t="s">
        <v>216</v>
      </c>
    </row>
    <row r="6" spans="1:14" ht="18" customHeight="1">
      <c r="A6" s="7" t="s">
        <v>217</v>
      </c>
    </row>
    <row r="7" spans="1:14" ht="18" customHeight="1">
      <c r="A7" s="55" t="s">
        <v>447</v>
      </c>
      <c r="B7" s="19"/>
      <c r="C7" s="19"/>
      <c r="D7" s="19"/>
      <c r="E7" s="19"/>
      <c r="F7" s="19"/>
      <c r="G7" s="19"/>
      <c r="H7" s="19"/>
      <c r="I7" s="19"/>
      <c r="J7" s="19"/>
      <c r="K7" s="19"/>
      <c r="L7" s="19"/>
      <c r="M7" s="19"/>
      <c r="N7" s="19"/>
    </row>
    <row r="8" spans="1:14" ht="18" customHeight="1">
      <c r="A8" s="7" t="s">
        <v>218</v>
      </c>
    </row>
    <row r="9" spans="1:14" ht="39" customHeight="1">
      <c r="A9" s="91" t="s">
        <v>448</v>
      </c>
      <c r="B9" s="91"/>
      <c r="C9" s="91"/>
      <c r="D9" s="91"/>
      <c r="E9" s="91"/>
      <c r="F9" s="91"/>
      <c r="G9" s="91"/>
      <c r="H9" s="91"/>
      <c r="I9" s="91"/>
      <c r="J9" s="91"/>
      <c r="K9" s="91"/>
      <c r="L9" s="91"/>
      <c r="M9" s="91"/>
      <c r="N9" s="91"/>
    </row>
    <row r="10" spans="1:14" ht="18" customHeight="1">
      <c r="A10" s="7" t="s">
        <v>219</v>
      </c>
    </row>
    <row r="11" spans="1:14" ht="18" customHeight="1">
      <c r="A11" s="86" t="s">
        <v>449</v>
      </c>
      <c r="B11" s="86"/>
      <c r="C11" s="35">
        <f>_xlfn.IFNA(VLOOKUP(封面!B1,'2021决算导出'!A:AI,35,FALSE),"")</f>
        <v>0</v>
      </c>
      <c r="D11" s="7" t="s">
        <v>179</v>
      </c>
      <c r="E11" s="86" t="s">
        <v>450</v>
      </c>
      <c r="F11" s="86"/>
      <c r="G11" s="86"/>
      <c r="H11" s="92">
        <f>_xlfn.IFNA(VLOOKUP(封面!B1,'2021决算导出'!A:AJ,36,FALSE),"")</f>
        <v>0</v>
      </c>
      <c r="I11" s="92"/>
      <c r="J11" s="16" t="s">
        <v>178</v>
      </c>
      <c r="K11" s="30" t="str">
        <f>IF(C11&gt;H11,"增加","减少")</f>
        <v>减少</v>
      </c>
      <c r="L11" s="92">
        <f>ABS(C11-H11)</f>
        <v>0</v>
      </c>
      <c r="M11" s="92"/>
      <c r="N11" s="7" t="s">
        <v>215</v>
      </c>
    </row>
    <row r="12" spans="1:14" ht="18" customHeight="1">
      <c r="A12" s="86" t="s">
        <v>451</v>
      </c>
      <c r="B12" s="86"/>
      <c r="C12" s="86"/>
      <c r="D12" s="86"/>
      <c r="E12" s="86"/>
      <c r="F12" s="92">
        <f>_xlfn.IFNA(VLOOKUP(封面!B1,'2021决算导出'!A:AK,37,FALSE),"")</f>
        <v>0</v>
      </c>
      <c r="G12" s="92"/>
      <c r="H12" s="17" t="s">
        <v>179</v>
      </c>
      <c r="I12" s="86" t="s">
        <v>450</v>
      </c>
      <c r="J12" s="86"/>
      <c r="K12" s="86"/>
      <c r="L12" s="92">
        <f>_xlfn.IFNA(VLOOKUP(封面!B1,'2021决算导出'!A:AL,38,FALSE),"")</f>
        <v>0</v>
      </c>
      <c r="M12" s="92"/>
      <c r="N12" s="7" t="s">
        <v>178</v>
      </c>
    </row>
    <row r="13" spans="1:14" ht="18" customHeight="1">
      <c r="A13" s="15" t="str">
        <f>IF(F12&gt;L12,"增加","减少")</f>
        <v>减少</v>
      </c>
      <c r="B13" s="92">
        <f>ABS(F12-L12)</f>
        <v>0</v>
      </c>
      <c r="C13" s="92"/>
      <c r="D13" s="7" t="s">
        <v>215</v>
      </c>
      <c r="H13" s="92"/>
      <c r="I13" s="92"/>
      <c r="J13" s="16"/>
    </row>
    <row r="14" spans="1:14" ht="17.25" customHeight="1">
      <c r="A14" s="89"/>
      <c r="B14" s="89"/>
      <c r="C14" s="89"/>
      <c r="D14" s="89"/>
      <c r="E14" s="89"/>
      <c r="F14" s="89"/>
      <c r="G14" s="89"/>
      <c r="H14" s="89"/>
      <c r="I14" s="89"/>
      <c r="J14" s="89"/>
      <c r="K14" s="89"/>
      <c r="L14" s="89"/>
      <c r="M14" s="89"/>
      <c r="N14" s="89"/>
    </row>
    <row r="15" spans="1:14" ht="18" customHeight="1">
      <c r="A15" s="86" t="s">
        <v>452</v>
      </c>
      <c r="B15" s="86"/>
      <c r="C15" s="86"/>
      <c r="D15" s="8">
        <f>_xlfn.IFNA(VLOOKUP(封面!B1,'2021决算导出'!A:AM,39,FALSE),"")</f>
        <v>0</v>
      </c>
      <c r="E15" s="7" t="s">
        <v>220</v>
      </c>
      <c r="F15" s="86" t="s">
        <v>221</v>
      </c>
      <c r="G15" s="86"/>
      <c r="H15" s="92">
        <f>IF(D15=0,0,F12/D15)</f>
        <v>0</v>
      </c>
      <c r="I15" s="92"/>
      <c r="J15" s="7" t="s">
        <v>215</v>
      </c>
    </row>
    <row r="16" spans="1:14" ht="18" customHeight="1">
      <c r="A16" s="84" t="s">
        <v>453</v>
      </c>
      <c r="B16" s="84"/>
      <c r="C16" s="84"/>
      <c r="D16" s="84"/>
      <c r="E16" s="84"/>
      <c r="F16" s="92">
        <f>_xlfn.IFNA(VLOOKUP(封面!B1,'2021决算导出'!A:AO,41,FALSE),"")</f>
        <v>0</v>
      </c>
      <c r="G16" s="92" t="s">
        <v>179</v>
      </c>
      <c r="H16" s="7" t="s">
        <v>179</v>
      </c>
      <c r="I16" s="7" t="s">
        <v>450</v>
      </c>
      <c r="L16" s="92">
        <f>_xlfn.IFNA(VLOOKUP(封面!B1,'2021决算导出'!A:AP,42,FALSE),"")</f>
        <v>0</v>
      </c>
      <c r="M16" s="92" t="s">
        <v>179</v>
      </c>
      <c r="N16" s="7" t="s">
        <v>179</v>
      </c>
    </row>
    <row r="17" spans="1:14" ht="18" customHeight="1">
      <c r="A17" s="15" t="str">
        <f>IF(F16&gt;L16,"增加","减少")</f>
        <v>减少</v>
      </c>
      <c r="B17" s="92">
        <f>ABS(F16-L16)</f>
        <v>0</v>
      </c>
      <c r="C17" s="92"/>
      <c r="D17" s="7" t="s">
        <v>215</v>
      </c>
    </row>
    <row r="18" spans="1:14" ht="36" customHeight="1">
      <c r="A18" s="89" t="s">
        <v>222</v>
      </c>
      <c r="B18" s="89"/>
      <c r="C18" s="89"/>
      <c r="D18" s="89"/>
      <c r="E18" s="89"/>
      <c r="F18" s="89"/>
      <c r="G18" s="89"/>
      <c r="H18" s="89"/>
      <c r="I18" s="89"/>
      <c r="J18" s="89"/>
      <c r="K18" s="89"/>
      <c r="L18" s="89"/>
      <c r="M18" s="89"/>
      <c r="N18" s="89"/>
    </row>
    <row r="19" spans="1:14" ht="18" customHeight="1">
      <c r="A19" s="86" t="s">
        <v>454</v>
      </c>
      <c r="B19" s="86"/>
      <c r="C19" s="86"/>
      <c r="D19" s="86"/>
      <c r="E19" s="86"/>
      <c r="F19" s="86"/>
      <c r="G19" s="92">
        <f>_xlfn.IFNA(VLOOKUP(封面!B1,'2021决算导出'!A:AQ,43,FALSE),"")</f>
        <v>0</v>
      </c>
      <c r="H19" s="92" t="s">
        <v>179</v>
      </c>
      <c r="I19" s="7" t="s">
        <v>179</v>
      </c>
      <c r="J19" s="7" t="s">
        <v>223</v>
      </c>
      <c r="L19" s="92">
        <f>_xlfn.IFNA(VLOOKUP(封面!B1,'2021决算导出'!A:AR,44,FALSE),"")</f>
        <v>0</v>
      </c>
      <c r="M19" s="92" t="s">
        <v>179</v>
      </c>
      <c r="N19" s="7" t="s">
        <v>179</v>
      </c>
    </row>
    <row r="20" spans="1:14" ht="18" customHeight="1">
      <c r="A20" s="86" t="s">
        <v>224</v>
      </c>
      <c r="B20" s="86"/>
      <c r="C20" s="92">
        <f>_xlfn.IFNA(VLOOKUP(封面!B1,'2021决算导出'!A:AS,45,FALSE),"")</f>
        <v>0</v>
      </c>
      <c r="D20" s="92" t="s">
        <v>179</v>
      </c>
      <c r="E20" s="7" t="s">
        <v>179</v>
      </c>
      <c r="F20" s="86" t="s">
        <v>225</v>
      </c>
      <c r="G20" s="86"/>
      <c r="H20" s="86"/>
      <c r="I20" s="92">
        <f>_xlfn.IFNA(VLOOKUP(封面!B1,'2021决算导出'!A:AT,46,FALSE),"")</f>
        <v>0</v>
      </c>
      <c r="J20" s="92" t="s">
        <v>179</v>
      </c>
      <c r="K20" s="7" t="s">
        <v>215</v>
      </c>
    </row>
    <row r="21" spans="1:14" ht="18" customHeight="1">
      <c r="A21" s="86" t="s">
        <v>455</v>
      </c>
      <c r="B21" s="86"/>
      <c r="C21" s="86"/>
      <c r="D21" s="8">
        <f>_xlfn.IFNA(VLOOKUP(封面!B1,'2021决算导出'!A:AU,47,FALSE),"")</f>
        <v>0</v>
      </c>
      <c r="E21" s="88" t="s">
        <v>407</v>
      </c>
      <c r="F21" s="88"/>
      <c r="G21" s="88"/>
      <c r="H21" s="88"/>
      <c r="I21" s="88"/>
      <c r="J21" s="88"/>
      <c r="K21" s="88"/>
      <c r="L21" s="88"/>
      <c r="M21" s="54" t="e">
        <f>F16/D21</f>
        <v>#DIV/0!</v>
      </c>
      <c r="N21" s="7" t="s">
        <v>215</v>
      </c>
    </row>
    <row r="22" spans="1:14" ht="18" customHeight="1">
      <c r="A22" s="6" t="s">
        <v>226</v>
      </c>
    </row>
    <row r="23" spans="1:14" ht="18" customHeight="1">
      <c r="A23" s="7" t="s">
        <v>227</v>
      </c>
    </row>
    <row r="24" spans="1:14" ht="18" customHeight="1">
      <c r="A24" s="6" t="s">
        <v>228</v>
      </c>
    </row>
    <row r="25" spans="1:14" ht="18" customHeight="1">
      <c r="A25" s="86" t="s">
        <v>456</v>
      </c>
      <c r="B25" s="86"/>
      <c r="C25" s="86"/>
      <c r="D25" s="86"/>
      <c r="E25" s="83">
        <f>_xlfn.IFNA(VLOOKUP(封面!B1,'2021决算导出'!A:AW,49,FALSE),"")</f>
        <v>10280</v>
      </c>
      <c r="F25" s="83"/>
      <c r="G25" s="7" t="s">
        <v>179</v>
      </c>
      <c r="H25" s="86" t="s">
        <v>229</v>
      </c>
      <c r="I25" s="86"/>
      <c r="J25" s="86"/>
      <c r="K25" s="86"/>
      <c r="L25" s="83">
        <f>_xlfn.IFNA(VLOOKUP(封面!B1,'2021决算导出'!A:AX,50,FALSE),"")</f>
        <v>10280</v>
      </c>
      <c r="M25" s="83" t="s">
        <v>179</v>
      </c>
      <c r="N25" s="7" t="s">
        <v>179</v>
      </c>
    </row>
    <row r="26" spans="1:14" ht="18" customHeight="1">
      <c r="A26" s="86" t="s">
        <v>230</v>
      </c>
      <c r="B26" s="86"/>
      <c r="C26" s="86"/>
      <c r="D26" s="83">
        <f>_xlfn.IFNA(VLOOKUP(封面!B1,'2021决算导出'!A:AY,51,FALSE),"")</f>
        <v>0</v>
      </c>
      <c r="E26" s="83" t="s">
        <v>179</v>
      </c>
      <c r="F26" s="7" t="s">
        <v>179</v>
      </c>
      <c r="G26" s="86" t="s">
        <v>231</v>
      </c>
      <c r="H26" s="86"/>
      <c r="I26" s="86"/>
      <c r="J26" s="83">
        <f>_xlfn.IFNA(VLOOKUP(封面!B1,'2021决算导出'!A:AZ,52,FALSE),"")</f>
        <v>0</v>
      </c>
      <c r="K26" s="83" t="s">
        <v>179</v>
      </c>
      <c r="L26" s="7" t="s">
        <v>215</v>
      </c>
    </row>
    <row r="27" spans="1:14" ht="18" customHeight="1">
      <c r="A27" s="86" t="s">
        <v>232</v>
      </c>
      <c r="B27" s="86"/>
      <c r="C27" s="86"/>
      <c r="D27" s="86"/>
      <c r="E27" s="83">
        <f>_xlfn.IFNA(VLOOKUP(封面!B1,'2021决算导出'!A:BA,53,FALSE),"")</f>
        <v>0</v>
      </c>
      <c r="F27" s="83" t="s">
        <v>179</v>
      </c>
      <c r="G27" s="7" t="s">
        <v>179</v>
      </c>
      <c r="H27" s="84" t="s">
        <v>233</v>
      </c>
      <c r="I27" s="84"/>
      <c r="J27" s="84"/>
      <c r="K27" s="29">
        <f>E27/$E$25</f>
        <v>0</v>
      </c>
      <c r="L27" s="18" t="s">
        <v>314</v>
      </c>
      <c r="M27" s="7" t="s">
        <v>408</v>
      </c>
    </row>
    <row r="28" spans="1:14" ht="18" customHeight="1">
      <c r="A28" s="86" t="s">
        <v>234</v>
      </c>
      <c r="B28" s="86"/>
      <c r="C28" s="86"/>
      <c r="D28" s="86"/>
      <c r="E28" s="83">
        <f>_xlfn.IFNA(VLOOKUP(封面!B1,'2021决算导出'!A:BB,54,FALSE),"")</f>
        <v>0</v>
      </c>
      <c r="F28" s="83" t="s">
        <v>179</v>
      </c>
      <c r="G28" s="7" t="s">
        <v>179</v>
      </c>
      <c r="H28" s="84" t="s">
        <v>233</v>
      </c>
      <c r="I28" s="84"/>
      <c r="J28" s="84"/>
      <c r="K28" s="29">
        <f>E28/$E$25</f>
        <v>0</v>
      </c>
      <c r="L28" s="18" t="s">
        <v>316</v>
      </c>
    </row>
    <row r="29" spans="1:14" ht="18" customHeight="1">
      <c r="A29" s="6" t="s">
        <v>235</v>
      </c>
    </row>
    <row r="30" spans="1:14" ht="18" customHeight="1">
      <c r="A30" s="86" t="s">
        <v>457</v>
      </c>
      <c r="B30" s="86"/>
      <c r="C30" s="8">
        <f>_xlfn.IFNA(VLOOKUP(封面!B1,'2021决算导出'!A:BC,55,FALSE),"")</f>
        <v>0</v>
      </c>
      <c r="D30" s="7" t="s">
        <v>236</v>
      </c>
      <c r="M30" s="92">
        <f>_xlfn.IFNA(VLOOKUP(封面!B1,'2021决算导出'!A:BD,56,FALSE),"")</f>
        <v>0</v>
      </c>
      <c r="N30" s="92" t="s">
        <v>179</v>
      </c>
    </row>
    <row r="31" spans="1:14" ht="18" customHeight="1">
      <c r="A31" s="12" t="s">
        <v>237</v>
      </c>
      <c r="B31" s="86" t="s">
        <v>238</v>
      </c>
      <c r="C31" s="86"/>
      <c r="D31" s="86"/>
      <c r="E31" s="86"/>
      <c r="F31" s="86"/>
      <c r="G31" s="8">
        <f>_xlfn.IFNA(VLOOKUP(封面!B1,'2021决算导出'!A:BE,57,FALSE),"")</f>
        <v>0</v>
      </c>
      <c r="H31" s="7" t="s">
        <v>239</v>
      </c>
      <c r="J31" s="7" t="s">
        <v>240</v>
      </c>
    </row>
    <row r="32" spans="1:14" ht="18" customHeight="1">
      <c r="A32" s="12">
        <f>_xlfn.IFNA(VLOOKUP(封面!B1,'2021决算导出'!A:BF,58,FALSE),"")</f>
        <v>0</v>
      </c>
      <c r="B32" s="7" t="s">
        <v>241</v>
      </c>
    </row>
    <row r="33" spans="1:14" ht="18" customHeight="1">
      <c r="A33" s="6" t="s">
        <v>242</v>
      </c>
    </row>
    <row r="34" spans="1:14" ht="18" customHeight="1">
      <c r="A34" s="7" t="s">
        <v>243</v>
      </c>
    </row>
    <row r="35" spans="1:14" ht="18" customHeight="1">
      <c r="A35" s="6" t="s">
        <v>244</v>
      </c>
    </row>
    <row r="36" spans="1:14" ht="375.6" customHeight="1">
      <c r="A36" s="89" t="s">
        <v>474</v>
      </c>
      <c r="B36" s="89"/>
      <c r="C36" s="89"/>
      <c r="D36" s="89"/>
      <c r="E36" s="89"/>
      <c r="F36" s="89"/>
      <c r="G36" s="89"/>
      <c r="H36" s="89"/>
      <c r="I36" s="89"/>
      <c r="J36" s="89"/>
      <c r="K36" s="89"/>
      <c r="L36" s="89"/>
      <c r="M36" s="89"/>
      <c r="N36" s="89"/>
    </row>
  </sheetData>
  <mergeCells count="51">
    <mergeCell ref="M30:N30"/>
    <mergeCell ref="B31:F31"/>
    <mergeCell ref="A36:N36"/>
    <mergeCell ref="A27:D27"/>
    <mergeCell ref="E27:F27"/>
    <mergeCell ref="H27:J27"/>
    <mergeCell ref="A28:D28"/>
    <mergeCell ref="E28:F28"/>
    <mergeCell ref="H28:J28"/>
    <mergeCell ref="A26:C26"/>
    <mergeCell ref="D26:E26"/>
    <mergeCell ref="G26:I26"/>
    <mergeCell ref="J26:K26"/>
    <mergeCell ref="A30:B30"/>
    <mergeCell ref="A21:C21"/>
    <mergeCell ref="E21:L21"/>
    <mergeCell ref="A25:D25"/>
    <mergeCell ref="E25:F25"/>
    <mergeCell ref="H25:K25"/>
    <mergeCell ref="L25:M25"/>
    <mergeCell ref="G19:H19"/>
    <mergeCell ref="L19:M19"/>
    <mergeCell ref="C20:D20"/>
    <mergeCell ref="I20:J20"/>
    <mergeCell ref="A19:F19"/>
    <mergeCell ref="A20:B20"/>
    <mergeCell ref="F20:H20"/>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A15:C15"/>
    <mergeCell ref="F15:G15"/>
    <mergeCell ref="A16:E16"/>
    <mergeCell ref="A9:N9"/>
    <mergeCell ref="A11:B11"/>
    <mergeCell ref="E11:G11"/>
    <mergeCell ref="H11:I11"/>
    <mergeCell ref="L11:M1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81" t="s">
        <v>476</v>
      </c>
      <c r="B10" s="81"/>
      <c r="C10" s="81"/>
      <c r="D10" s="81"/>
      <c r="E10" s="81"/>
      <c r="F10" s="81"/>
      <c r="G10" s="81"/>
      <c r="H10" s="81"/>
      <c r="I10" s="81"/>
      <c r="J10" s="81"/>
      <c r="K10" s="81"/>
      <c r="L10" s="81"/>
      <c r="M10" s="81"/>
      <c r="N10" s="81"/>
    </row>
    <row r="11" spans="1:14" ht="78" customHeight="1">
      <c r="A11" s="82" t="s">
        <v>477</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9" customWidth="1"/>
    <col min="2" max="2" width="15.5" style="61" customWidth="1"/>
    <col min="3" max="3" width="5.875" style="61" customWidth="1"/>
    <col min="4" max="6" width="13.375" style="61" customWidth="1"/>
    <col min="7" max="8" width="12.5" style="61" customWidth="1"/>
    <col min="9" max="9" width="9" style="61" customWidth="1"/>
    <col min="10" max="10" width="12.25" style="61" customWidth="1"/>
    <col min="11" max="13" width="13.375" style="61" customWidth="1"/>
    <col min="14" max="14" width="12.625" style="61" customWidth="1"/>
    <col min="15" max="20" width="13.375" style="61" customWidth="1"/>
    <col min="21" max="21" width="11.5" style="61" customWidth="1"/>
    <col min="22" max="22" width="13.375" style="61" customWidth="1"/>
    <col min="23" max="23" width="11" style="61" customWidth="1"/>
    <col min="24" max="24" width="11.625" style="70" customWidth="1"/>
    <col min="25" max="25" width="10.5" style="61" customWidth="1"/>
    <col min="26" max="26" width="10.375" style="61" customWidth="1"/>
    <col min="27" max="27" width="13.375" style="61" customWidth="1"/>
    <col min="28" max="28" width="11" style="61" customWidth="1"/>
    <col min="29" max="29" width="10.875" style="61" customWidth="1"/>
    <col min="30" max="34" width="7.5" style="61" customWidth="1"/>
    <col min="35" max="35" width="13.375" style="61" customWidth="1"/>
    <col min="36" max="36" width="11.25" style="61" customWidth="1"/>
    <col min="37" max="40" width="6.875" style="61" customWidth="1"/>
    <col min="41" max="41" width="12.5" style="61" customWidth="1"/>
    <col min="42" max="42" width="11.75" style="61" customWidth="1"/>
    <col min="43" max="46" width="11.125" style="61" customWidth="1"/>
    <col min="47" max="47" width="8.5" style="61" customWidth="1"/>
    <col min="48" max="51" width="13.375" style="61" customWidth="1"/>
    <col min="52" max="52" width="12.375" style="61" customWidth="1"/>
    <col min="53" max="53" width="12" style="61" customWidth="1"/>
    <col min="54" max="54" width="13.375" style="61" customWidth="1"/>
    <col min="55" max="55" width="10" style="61" customWidth="1"/>
    <col min="56" max="56" width="13.375" style="61" customWidth="1"/>
    <col min="57" max="57" width="9" style="61" customWidth="1"/>
    <col min="58" max="58" width="9.5" style="61" customWidth="1"/>
    <col min="59" max="16384" width="8.875" style="61"/>
  </cols>
  <sheetData>
    <row r="1" spans="1:58" ht="60" customHeight="1">
      <c r="A1" s="21" t="s">
        <v>458</v>
      </c>
      <c r="B1" s="22" t="s">
        <v>251</v>
      </c>
      <c r="C1" s="22" t="s">
        <v>246</v>
      </c>
      <c r="D1" s="22" t="s">
        <v>252</v>
      </c>
      <c r="E1" s="22" t="s">
        <v>253</v>
      </c>
      <c r="F1" s="22" t="s">
        <v>254</v>
      </c>
      <c r="G1" s="22" t="s">
        <v>255</v>
      </c>
      <c r="H1" s="22" t="s">
        <v>256</v>
      </c>
      <c r="I1" s="22" t="s">
        <v>257</v>
      </c>
      <c r="J1" s="22" t="s">
        <v>258</v>
      </c>
      <c r="K1" s="22" t="s">
        <v>259</v>
      </c>
      <c r="L1" s="22" t="s">
        <v>260</v>
      </c>
      <c r="M1" s="22" t="s">
        <v>261</v>
      </c>
      <c r="N1" s="22" t="s">
        <v>262</v>
      </c>
      <c r="O1" s="22" t="s">
        <v>263</v>
      </c>
      <c r="P1" s="22" t="s">
        <v>264</v>
      </c>
      <c r="Q1" s="22" t="s">
        <v>265</v>
      </c>
      <c r="R1" s="22" t="s">
        <v>266</v>
      </c>
      <c r="S1" s="22" t="s">
        <v>267</v>
      </c>
      <c r="T1" s="22" t="s">
        <v>268</v>
      </c>
      <c r="U1" s="22" t="s">
        <v>269</v>
      </c>
      <c r="V1" s="22" t="s">
        <v>271</v>
      </c>
      <c r="W1" s="22" t="s">
        <v>463</v>
      </c>
      <c r="X1" s="60" t="s">
        <v>464</v>
      </c>
      <c r="Y1" s="22" t="s">
        <v>465</v>
      </c>
      <c r="Z1" s="22" t="s">
        <v>459</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ht="11.65" customHeight="1">
      <c r="A2" s="62">
        <v>255001</v>
      </c>
      <c r="B2" s="25" t="s">
        <v>302</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65"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65"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65"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65"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65"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65"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65"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65"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65"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65"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65"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65"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65"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65"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65"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65"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65"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65"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65"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65"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65"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65"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65"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65"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65"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65"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65"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65"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65"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65"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65"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65"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65"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65"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65"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65"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65"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65"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65"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65"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65"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65"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65"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65"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65"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65"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65"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65"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65"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65"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65"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65"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65"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65"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65"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65"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65"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65"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65"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65"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65"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65"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65"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65"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65"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65"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65"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65"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65"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65"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65"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65"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65"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65"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65"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65"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65"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65"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65"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65"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65"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65"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65"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65"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65" customHeight="1">
      <c r="A87" s="62">
        <v>255108</v>
      </c>
      <c r="B87" s="25" t="s">
        <v>309</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65"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65"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65"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65"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65"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65"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65"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65"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65"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65"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65"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65"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65"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65"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65"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65"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65"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65"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65"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65"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65"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65"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65"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65"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65"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65"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65"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65"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65"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65"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65"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65"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65"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65"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65" customHeight="1">
      <c r="A122" s="62">
        <v>255154</v>
      </c>
      <c r="B122" s="25" t="s">
        <v>460</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65"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65"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65"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65"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65"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65"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65"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65"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65"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65"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65"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65"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65"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65"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65"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65"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65" customHeight="1">
      <c r="A139" s="62">
        <v>255172</v>
      </c>
      <c r="B139" s="25" t="s">
        <v>310</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65"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65"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65"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65"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65"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65"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65"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65"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65"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65"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65"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65"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65"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65"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65"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65"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65"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65"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65"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65"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65"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65"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65" customHeight="1">
      <c r="A162" s="62">
        <v>255204</v>
      </c>
      <c r="B162" s="25" t="s">
        <v>461</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65" customHeight="1">
      <c r="A163" s="62">
        <v>255205</v>
      </c>
      <c r="B163" s="25" t="s">
        <v>462</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65"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397</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18.875" style="36" customWidth="1"/>
    <col min="3" max="3" width="8.875" style="36"/>
    <col min="4" max="4" width="11.125" style="73" customWidth="1"/>
    <col min="5" max="5" width="8.875" style="73"/>
    <col min="6" max="10" width="8.875" style="36"/>
    <col min="11" max="11" width="8.875" style="73"/>
    <col min="12" max="14" width="8.875" style="36"/>
    <col min="15" max="15" width="8.875" style="73"/>
    <col min="16" max="16384" width="8.875" style="36"/>
  </cols>
  <sheetData>
    <row r="1" spans="1:58" ht="48">
      <c r="A1" s="21" t="s">
        <v>250</v>
      </c>
      <c r="B1" s="22" t="s">
        <v>251</v>
      </c>
      <c r="C1" s="22" t="s">
        <v>246</v>
      </c>
      <c r="D1" s="71" t="s">
        <v>252</v>
      </c>
      <c r="E1" s="71" t="s">
        <v>253</v>
      </c>
      <c r="F1" s="22" t="s">
        <v>254</v>
      </c>
      <c r="G1" s="22" t="s">
        <v>255</v>
      </c>
      <c r="H1" s="22" t="s">
        <v>256</v>
      </c>
      <c r="I1" s="22" t="s">
        <v>257</v>
      </c>
      <c r="J1" s="22" t="s">
        <v>258</v>
      </c>
      <c r="K1" s="71" t="s">
        <v>259</v>
      </c>
      <c r="L1" s="22" t="s">
        <v>260</v>
      </c>
      <c r="M1" s="22" t="s">
        <v>261</v>
      </c>
      <c r="N1" s="22" t="s">
        <v>262</v>
      </c>
      <c r="O1" s="71" t="s">
        <v>263</v>
      </c>
      <c r="P1" s="22" t="s">
        <v>264</v>
      </c>
      <c r="Q1" s="22" t="s">
        <v>265</v>
      </c>
      <c r="R1" s="22" t="s">
        <v>266</v>
      </c>
      <c r="S1" s="22" t="s">
        <v>267</v>
      </c>
      <c r="T1" s="22" t="s">
        <v>268</v>
      </c>
      <c r="U1" s="22" t="s">
        <v>269</v>
      </c>
      <c r="V1" s="22" t="s">
        <v>270</v>
      </c>
      <c r="W1" s="22" t="s">
        <v>271</v>
      </c>
      <c r="X1" s="22" t="s">
        <v>272</v>
      </c>
      <c r="Y1" s="22" t="s">
        <v>273</v>
      </c>
      <c r="Z1" s="22" t="s">
        <v>318</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c r="A2" s="24">
        <v>255001</v>
      </c>
      <c r="B2" s="25" t="s">
        <v>302</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303</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304</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250</v>
      </c>
      <c r="B1" s="22" t="s">
        <v>251</v>
      </c>
      <c r="C1" s="22" t="s">
        <v>305</v>
      </c>
      <c r="D1" s="22" t="s">
        <v>306</v>
      </c>
      <c r="E1" s="22" t="s">
        <v>307</v>
      </c>
      <c r="F1" s="22" t="s">
        <v>308</v>
      </c>
    </row>
    <row r="2" spans="1:6">
      <c r="A2" s="24">
        <v>255001</v>
      </c>
      <c r="B2" s="25" t="s">
        <v>302</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309</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310</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311</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312</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2022-08-25T04:56:47Z</cp:lastPrinted>
  <dcterms:created xsi:type="dcterms:W3CDTF">2021-08-26T09:47:38Z</dcterms:created>
  <dcterms:modified xsi:type="dcterms:W3CDTF">2022-09-01T03:04:43Z</dcterms:modified>
</cp:coreProperties>
</file>