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待整理\255070-北京市西城区阜成门外第一小学-2021年部门决算公开自查表\"/>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76" i="5"/>
  <c r="A74" i="5"/>
  <c r="A11" i="1"/>
  <c r="D10" i="5"/>
  <c r="J10" i="5" s="1"/>
  <c r="H10" i="5" l="1"/>
  <c r="K10" i="5" s="1"/>
  <c r="G10" i="5"/>
  <c r="G86" i="5"/>
  <c r="J79" i="5"/>
  <c r="E79" i="5"/>
  <c r="D7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1363" i="10" l="1"/>
  <c r="S120" i="11"/>
  <c r="T120" i="11"/>
  <c r="C605" i="10"/>
  <c r="S52" i="11"/>
  <c r="T52" i="11"/>
  <c r="C1527" i="10"/>
  <c r="T136" i="11"/>
  <c r="S136" i="11"/>
  <c r="C839" i="10"/>
  <c r="S73" i="11"/>
  <c r="T73" i="11"/>
  <c r="C871" i="10"/>
  <c r="S76" i="11"/>
  <c r="T76" i="11"/>
  <c r="C1255" i="10"/>
  <c r="S111" i="11"/>
  <c r="T111" i="11"/>
  <c r="C1708" i="10"/>
  <c r="S153" i="11"/>
  <c r="T153" i="11"/>
  <c r="C901" i="10"/>
  <c r="S79" i="11"/>
  <c r="T79" i="11"/>
  <c r="C702" i="10"/>
  <c r="S60" i="11"/>
  <c r="T60" i="11"/>
  <c r="C5" i="10"/>
  <c r="S3" i="11"/>
  <c r="T3" i="11"/>
  <c r="C2" i="10"/>
  <c r="T2" i="11"/>
  <c r="S2" i="11"/>
  <c r="C109" i="10"/>
  <c r="S11" i="11"/>
  <c r="T11" i="11"/>
  <c r="C135" i="10"/>
  <c r="S13" i="11"/>
  <c r="T13"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T126" i="11"/>
  <c r="S126" i="11"/>
  <c r="C1440" i="10"/>
  <c r="S127" i="11"/>
  <c r="T127" i="11"/>
  <c r="C1459" i="10"/>
  <c r="S129" i="11"/>
  <c r="T129" i="11"/>
  <c r="C1488" i="10"/>
  <c r="T132" i="11"/>
  <c r="S132" i="11"/>
  <c r="C1610" i="10"/>
  <c r="T144" i="11"/>
  <c r="S144" i="11"/>
  <c r="C1681" i="10"/>
  <c r="T150" i="11"/>
  <c r="S150" i="11"/>
  <c r="C1717" i="10"/>
  <c r="T154" i="11"/>
  <c r="S154" i="11"/>
  <c r="S155" i="11"/>
  <c r="T155" i="11"/>
  <c r="C1733" i="10"/>
  <c r="T156" i="11"/>
  <c r="S156" i="11"/>
  <c r="C1741" i="10"/>
  <c r="S157" i="11"/>
  <c r="T157" i="11"/>
  <c r="C1756" i="10"/>
  <c r="S159" i="11"/>
  <c r="T159" i="11"/>
  <c r="C1764" i="10"/>
  <c r="T160" i="11"/>
  <c r="S160" i="11"/>
  <c r="C1772" i="10"/>
  <c r="S161" i="11"/>
  <c r="T161" i="11"/>
  <c r="C44" i="10"/>
  <c r="S6" i="11"/>
  <c r="T6" i="11"/>
  <c r="C57" i="10"/>
  <c r="S7" i="11"/>
  <c r="T7" i="11"/>
  <c r="C84" i="10"/>
  <c r="S9" i="11"/>
  <c r="T9" i="11"/>
  <c r="C149" i="10"/>
  <c r="S14" i="11"/>
  <c r="T14" i="11"/>
  <c r="C161" i="10"/>
  <c r="S15" i="11"/>
  <c r="T15" i="11"/>
  <c r="C207" i="10"/>
  <c r="S19" i="11"/>
  <c r="T19" i="11"/>
  <c r="C257" i="10"/>
  <c r="S23" i="11"/>
  <c r="T2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S122" i="11"/>
  <c r="T122" i="11"/>
  <c r="C1396" i="10"/>
  <c r="S123" i="11"/>
  <c r="T123" i="11"/>
  <c r="C1419" i="10"/>
  <c r="S125" i="11"/>
  <c r="T125" i="11"/>
  <c r="C1449" i="10"/>
  <c r="T128" i="11"/>
  <c r="S128" i="11"/>
  <c r="C1518" i="10"/>
  <c r="S135" i="11"/>
  <c r="T135" i="11"/>
  <c r="C1547" i="10"/>
  <c r="T138" i="11"/>
  <c r="S138" i="11"/>
  <c r="C1558" i="10"/>
  <c r="S139" i="11"/>
  <c r="T139" i="11"/>
  <c r="C1637" i="10"/>
  <c r="T146" i="11"/>
  <c r="S146" i="11"/>
  <c r="C1648" i="10"/>
  <c r="S147" i="11"/>
  <c r="T147" i="11"/>
  <c r="C1749" i="10"/>
  <c r="T158" i="11"/>
  <c r="S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S113" i="11"/>
  <c r="T113" i="11"/>
  <c r="C1304" i="10"/>
  <c r="S115" i="11"/>
  <c r="T115" i="11"/>
  <c r="C1316" i="10"/>
  <c r="S116" i="11"/>
  <c r="T116" i="11"/>
  <c r="C1327" i="10"/>
  <c r="S117" i="11"/>
  <c r="T117" i="11"/>
  <c r="C1407" i="10"/>
  <c r="S124" i="11"/>
  <c r="T124" i="11"/>
  <c r="C1478" i="10"/>
  <c r="S131" i="11"/>
  <c r="T131" i="11"/>
  <c r="C1508" i="10"/>
  <c r="T134" i="11"/>
  <c r="S134" i="11"/>
  <c r="C1537" i="10"/>
  <c r="S137" i="11"/>
  <c r="T137" i="11"/>
  <c r="C1588" i="10"/>
  <c r="T142" i="11"/>
  <c r="S142" i="11"/>
  <c r="C1600" i="10"/>
  <c r="S143" i="11"/>
  <c r="T143" i="11"/>
  <c r="C1671" i="10"/>
  <c r="S149" i="11"/>
  <c r="T149" i="11"/>
  <c r="S151" i="11"/>
  <c r="T151" i="11"/>
  <c r="C97" i="10"/>
  <c r="S10" i="11"/>
  <c r="T10" i="11"/>
  <c r="C123" i="10"/>
  <c r="S12" i="11"/>
  <c r="T12" i="11"/>
  <c r="C18" i="10"/>
  <c r="S4" i="11"/>
  <c r="T4" i="11"/>
  <c r="C31" i="10"/>
  <c r="S5" i="11"/>
  <c r="T5" i="11"/>
  <c r="C71" i="10"/>
  <c r="S8" i="11"/>
  <c r="T8" i="11"/>
  <c r="C281" i="10"/>
  <c r="S25" i="11"/>
  <c r="T25" i="11"/>
  <c r="C317" i="10"/>
  <c r="S28" i="11"/>
  <c r="T28" i="11"/>
  <c r="C333" i="10"/>
  <c r="S29" i="11"/>
  <c r="T29" i="11"/>
  <c r="C355" i="10"/>
  <c r="S31" i="11"/>
  <c r="T31" i="11"/>
  <c r="C378" i="10"/>
  <c r="S33" i="11"/>
  <c r="T33" i="11"/>
  <c r="C401" i="10"/>
  <c r="S35" i="11"/>
  <c r="T35" i="11"/>
  <c r="C424" i="10"/>
  <c r="S37" i="11"/>
  <c r="T37" i="11"/>
  <c r="C497" i="10"/>
  <c r="S43" i="11"/>
  <c r="T43" i="11"/>
  <c r="C521" i="10"/>
  <c r="S45" i="11"/>
  <c r="T45" i="11"/>
  <c r="C545" i="10"/>
  <c r="S47" i="11"/>
  <c r="T47" i="11"/>
  <c r="C556" i="10"/>
  <c r="S48" i="11"/>
  <c r="T48" i="11"/>
  <c r="C580" i="10"/>
  <c r="S50" i="11"/>
  <c r="T50" i="11"/>
  <c r="C631" i="10"/>
  <c r="S54" i="11"/>
  <c r="T54" i="11"/>
  <c r="C668" i="10"/>
  <c r="S57" i="11"/>
  <c r="E51" i="5" s="1"/>
  <c r="T57" i="11"/>
  <c r="C726" i="10"/>
  <c r="S62" i="11"/>
  <c r="T62" i="11"/>
  <c r="C769" i="10"/>
  <c r="S66" i="11"/>
  <c r="T66" i="11"/>
  <c r="C779" i="10"/>
  <c r="S67" i="11"/>
  <c r="T67" i="11"/>
  <c r="C790" i="10"/>
  <c r="S68" i="11"/>
  <c r="T68" i="11"/>
  <c r="C881" i="10"/>
  <c r="S77" i="11"/>
  <c r="T7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T130" i="11"/>
  <c r="S130" i="11"/>
  <c r="C1498" i="10"/>
  <c r="S133" i="11"/>
  <c r="T133" i="11"/>
  <c r="C1567" i="10"/>
  <c r="T140" i="11"/>
  <c r="S140" i="11"/>
  <c r="C1578" i="10"/>
  <c r="S141" i="11"/>
  <c r="T141" i="11"/>
  <c r="C1620" i="10"/>
  <c r="S145" i="11"/>
  <c r="T145" i="11"/>
  <c r="C1660" i="10"/>
  <c r="T148" i="11"/>
  <c r="S148" i="11"/>
  <c r="C1698" i="10"/>
  <c r="T152" i="11"/>
  <c r="S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4" i="6"/>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E70" i="5" s="1"/>
  <c r="AI57" i="11"/>
  <c r="E66" i="5" s="1"/>
  <c r="AE57" i="11"/>
  <c r="E61" i="5" s="1"/>
  <c r="AA57" i="11"/>
  <c r="E58" i="5" s="1"/>
  <c r="M57" i="11"/>
  <c r="E45" i="5" s="1"/>
  <c r="I57" i="11"/>
  <c r="E41" i="5" s="1"/>
  <c r="E57" i="11"/>
  <c r="E36" i="5" s="1"/>
  <c r="Z57" i="11"/>
  <c r="J55" i="5" s="1"/>
  <c r="V57" i="11"/>
  <c r="P57" i="11"/>
  <c r="J48" i="5" s="1"/>
  <c r="L57" i="11"/>
  <c r="J43" i="5" s="1"/>
  <c r="H57" i="11"/>
  <c r="J39" i="5" s="1"/>
  <c r="Y57" i="11"/>
  <c r="E55" i="5" s="1"/>
  <c r="U57" i="11"/>
  <c r="E52" i="5" s="1"/>
  <c r="O57" i="11"/>
  <c r="E48" i="5" s="1"/>
  <c r="K57" i="11"/>
  <c r="E43" i="5" s="1"/>
  <c r="G57" i="11"/>
  <c r="E39" i="5" s="1"/>
  <c r="AN57" i="11"/>
  <c r="J70" i="5" s="1"/>
  <c r="AJ57" i="11"/>
  <c r="J66" i="5" s="1"/>
  <c r="AF57" i="11"/>
  <c r="J61" i="5" s="1"/>
  <c r="AB57" i="11"/>
  <c r="N57" i="11"/>
  <c r="J45" i="5" s="1"/>
  <c r="J57" i="11"/>
  <c r="J41" i="5" s="1"/>
  <c r="F57" i="11"/>
  <c r="J36" i="5" s="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136" i="11" l="1"/>
  <c r="AD119" i="11"/>
  <c r="X113" i="11"/>
  <c r="C42" i="5"/>
  <c r="G42" i="5" s="1"/>
  <c r="B42" i="5"/>
  <c r="F42" i="5"/>
  <c r="F67" i="5"/>
  <c r="B67" i="5"/>
  <c r="C67" i="5"/>
  <c r="G67" i="5" s="1"/>
  <c r="Q138" i="11"/>
  <c r="C119" i="11"/>
  <c r="F40" i="5"/>
  <c r="B40" i="5"/>
  <c r="C40" i="5"/>
  <c r="G40" i="5" s="1"/>
  <c r="C56" i="5"/>
  <c r="G56" i="5" s="1"/>
  <c r="F56" i="5"/>
  <c r="B56" i="5"/>
  <c r="B46" i="5"/>
  <c r="C46" i="5"/>
  <c r="G46" i="5" s="1"/>
  <c r="F46" i="5"/>
  <c r="B71" i="5"/>
  <c r="C71" i="5"/>
  <c r="G71" i="5" s="1"/>
  <c r="F71" i="5"/>
  <c r="C163" i="11"/>
  <c r="W163" i="11"/>
  <c r="D163" i="11"/>
  <c r="X163" i="11"/>
  <c r="Q163" i="11"/>
  <c r="AC163" i="11"/>
  <c r="AG163" i="11"/>
  <c r="AK163" i="11"/>
  <c r="R163" i="11"/>
  <c r="AD163" i="11"/>
  <c r="AH163" i="11"/>
  <c r="AL163" i="11"/>
  <c r="AG130" i="11"/>
  <c r="AC101" i="11"/>
  <c r="C44" i="5"/>
  <c r="G44" i="5" s="1"/>
  <c r="F44" i="5"/>
  <c r="B44" i="5"/>
  <c r="Q162" i="11"/>
  <c r="AC162" i="11"/>
  <c r="AG162" i="11"/>
  <c r="AK162" i="11"/>
  <c r="R162" i="11"/>
  <c r="AD162" i="11"/>
  <c r="AH162" i="11"/>
  <c r="AL162" i="11"/>
  <c r="C162" i="11"/>
  <c r="W162" i="11"/>
  <c r="D162" i="11"/>
  <c r="X162" i="11"/>
  <c r="D113" i="11"/>
  <c r="F49" i="5"/>
  <c r="C49" i="5"/>
  <c r="G49" i="5" s="1"/>
  <c r="B49" i="5"/>
  <c r="B37" i="5"/>
  <c r="F37" i="5"/>
  <c r="C37" i="5"/>
  <c r="G37" i="5" s="1"/>
  <c r="B62" i="5"/>
  <c r="C62" i="5"/>
  <c r="G62" i="5" s="1"/>
  <c r="F62" i="5"/>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E53" i="5" s="1"/>
  <c r="Q57" i="11"/>
  <c r="E50" i="5" s="1"/>
  <c r="AL57" i="11"/>
  <c r="J68" i="5" s="1"/>
  <c r="AH57" i="11"/>
  <c r="J64" i="5" s="1"/>
  <c r="AD57" i="11"/>
  <c r="J59" i="5" s="1"/>
  <c r="D57" i="11"/>
  <c r="J34" i="5" s="1"/>
  <c r="AK57" i="11"/>
  <c r="E68" i="5" s="1"/>
  <c r="AG57" i="11"/>
  <c r="E64" i="5" s="1"/>
  <c r="AC57" i="11"/>
  <c r="E59" i="5" s="1"/>
  <c r="C57" i="11"/>
  <c r="E34" i="5" s="1"/>
  <c r="X57" i="11"/>
  <c r="J53" i="5" s="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F35" i="5" l="1"/>
  <c r="C35" i="5"/>
  <c r="G35" i="5" s="1"/>
  <c r="B35" i="5"/>
  <c r="C60" i="5"/>
  <c r="G60" i="5" s="1"/>
  <c r="F60" i="5"/>
  <c r="B60" i="5"/>
  <c r="F54" i="5"/>
  <c r="B54" i="5"/>
  <c r="C54" i="5"/>
  <c r="G54" i="5" s="1"/>
  <c r="C65" i="5"/>
  <c r="G65" i="5" s="1"/>
  <c r="F65" i="5"/>
  <c r="B65" i="5"/>
  <c r="F69" i="5"/>
  <c r="C69" i="5"/>
  <c r="G69" i="5" s="1"/>
  <c r="B69" i="5"/>
  <c r="J81" i="5"/>
  <c r="K11" i="6" l="1"/>
  <c r="I31" i="5"/>
  <c r="L11" i="6"/>
  <c r="F80" i="5"/>
  <c r="F82" i="5" s="1"/>
  <c r="E5" i="6"/>
  <c r="D5" i="6"/>
  <c r="H12" i="5"/>
  <c r="H19" i="5"/>
  <c r="H11" i="5"/>
  <c r="H20" i="5"/>
  <c r="H14" i="5"/>
  <c r="H15" i="5"/>
  <c r="C80" i="5"/>
  <c r="G80" i="5" s="1"/>
  <c r="E81" i="5"/>
  <c r="B80" i="5"/>
  <c r="B82" i="5" s="1"/>
  <c r="H13" i="5"/>
  <c r="H18" i="5"/>
  <c r="I27" i="5"/>
  <c r="I30" i="5"/>
  <c r="I29" i="5"/>
  <c r="I32" i="5"/>
  <c r="I28" i="5"/>
  <c r="C82" i="5" l="1"/>
  <c r="G82" i="5" s="1"/>
</calcChain>
</file>

<file path=xl/sharedStrings.xml><?xml version="1.0" encoding="utf-8"?>
<sst xmlns="http://schemas.openxmlformats.org/spreadsheetml/2006/main" count="4851" uniqueCount="485">
  <si>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</si>
  <si>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</si>
  <si>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</si>
  <si>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</si>
  <si>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</si>
  <si>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</si>
  <si>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</si>
  <si>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</si>
  <si>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</si>
  <si>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</si>
  <si>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</si>
  <si>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</si>
  <si>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</si>
  <si>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</si>
  <si>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</si>
  <si>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</si>
  <si>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</si>
  <si>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</si>
  <si>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</si>
  <si>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</si>
  <si>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</si>
  <si>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</si>
  <si>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</si>
  <si>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</si>
  <si>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</si>
  <si>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</si>
  <si>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</si>
  <si>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</si>
  <si>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</si>
  <si>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</si>
  <si>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</si>
  <si>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</si>
  <si>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</si>
  <si>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</si>
  <si>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</si>
  <si>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</si>
  <si>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</si>
  <si>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</si>
  <si>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</si>
  <si>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</si>
  <si>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</si>
  <si>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</si>
  <si>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</si>
  <si>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</si>
  <si>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</si>
  <si>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</si>
  <si>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</si>
  <si>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</si>
  <si>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</si>
  <si>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</si>
  <si>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</si>
  <si>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</si>
  <si>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</si>
  <si>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</si>
  <si>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</si>
  <si>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</si>
  <si>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</si>
  <si>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</si>
  <si>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</si>
  <si>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</si>
  <si>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</si>
  <si>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</si>
  <si>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</si>
  <si>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</si>
  <si>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</si>
  <si>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</si>
  <si>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</si>
  <si>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</si>
  <si>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</si>
  <si>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</si>
  <si>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</si>
  <si>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</si>
  <si>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</si>
  <si>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</si>
  <si>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</si>
  <si>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</si>
  <si>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</si>
  <si>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</si>
  <si>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</si>
  <si>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</si>
  <si>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</si>
  <si>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</si>
  <si>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</si>
  <si>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</si>
  <si>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</si>
  <si>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</si>
  <si>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</si>
  <si>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</si>
  <si>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</si>
  <si>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</si>
  <si>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</si>
  <si>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</si>
  <si>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</si>
  <si>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</si>
  <si>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</si>
  <si>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</si>
  <si>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</si>
  <si>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</si>
  <si>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</si>
  <si>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</si>
  <si>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</si>
  <si>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</si>
  <si>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</si>
  <si>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</si>
  <si>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</si>
  <si>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</si>
  <si>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</si>
  <si>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</si>
  <si>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</si>
  <si>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</si>
  <si>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</si>
  <si>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</si>
  <si>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</si>
  <si>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</si>
  <si>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</si>
  <si>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</si>
  <si>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</si>
  <si>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</si>
  <si>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</si>
  <si>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</si>
  <si>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</si>
  <si>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</si>
  <si>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</si>
  <si>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</si>
  <si>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</si>
  <si>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</si>
  <si>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</si>
  <si>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</si>
  <si>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</si>
  <si>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</si>
  <si>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</si>
  <si>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</si>
  <si>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</si>
  <si>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</si>
  <si>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</si>
  <si>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</si>
  <si>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</si>
  <si>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</si>
  <si>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</si>
  <si>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</si>
  <si>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</si>
  <si>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</si>
  <si>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</si>
  <si>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</si>
  <si>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</si>
  <si>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</si>
  <si>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</si>
  <si>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</si>
  <si>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</si>
  <si>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</si>
  <si>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</si>
  <si>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</si>
  <si>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</si>
  <si>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</si>
  <si>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</si>
  <si>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</si>
  <si>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</si>
  <si>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</si>
  <si>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</si>
  <si>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</si>
  <si>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</si>
  <si>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</si>
  <si>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</si>
  <si>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</si>
  <si>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</si>
  <si>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</si>
  <si>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</si>
  <si>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</si>
  <si>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</si>
  <si>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</si>
  <si>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</si>
  <si>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</si>
  <si>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</si>
  <si>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</si>
  <si>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</si>
  <si>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</si>
  <si>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</si>
  <si>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</si>
  <si>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</si>
  <si>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</si>
  <si>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</si>
  <si>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</si>
  <si>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</si>
  <si>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</si>
  <si>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</si>
  <si>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</si>
  <si>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</si>
  <si>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</si>
  <si>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</si>
  <si>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</si>
  <si>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</si>
  <si>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</si>
  <si>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</si>
  <si>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</si>
  <si>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</si>
  <si>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</si>
  <si>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</si>
  <si>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</si>
  <si>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</si>
  <si>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</si>
  <si>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</si>
  <si>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</si>
  <si>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</si>
  <si>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</si>
  <si>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</si>
  <si>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</si>
  <si>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</si>
  <si>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</si>
  <si>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</si>
  <si>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</si>
  <si>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</si>
  <si>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</si>
  <si>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</si>
  <si>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</si>
  <si>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</si>
  <si>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</si>
  <si>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</si>
  <si>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</si>
  <si>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</si>
  <si>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</si>
  <si>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</si>
  <si>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</si>
  <si>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</si>
  <si>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</si>
  <si>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</si>
  <si>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</si>
  <si>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</si>
  <si>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</si>
  <si>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</si>
  <si>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</si>
  <si>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</si>
  <si>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</si>
  <si>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</si>
  <si>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</si>
  <si>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</si>
  <si>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</si>
  <si>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</si>
  <si>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</si>
  <si>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</si>
  <si>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</si>
  <si>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</si>
  <si>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</si>
  <si>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</si>
  <si>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</si>
  <si>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</si>
  <si>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</si>
  <si>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</si>
  <si>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</si>
  <si>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</si>
  <si>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</si>
  <si>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</si>
  <si>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</si>
  <si>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</si>
  <si>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</si>
  <si>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</si>
  <si>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</si>
  <si>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</si>
  <si>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</si>
  <si>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</si>
  <si>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</si>
  <si>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</si>
  <si>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</si>
  <si>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</si>
  <si>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</si>
  <si>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</si>
  <si>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</si>
  <si>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</si>
  <si>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</si>
  <si>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</si>
  <si>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</si>
  <si>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</si>
  <si>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</si>
  <si>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</si>
  <si>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</si>
  <si>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</si>
  <si>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</si>
  <si>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</si>
  <si>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</si>
  <si>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</si>
  <si>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</si>
  <si>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</si>
  <si>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</si>
  <si>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</si>
  <si>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</si>
  <si>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</si>
  <si>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</si>
  <si>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</si>
  <si>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</si>
  <si>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</si>
  <si>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</si>
  <si>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</si>
  <si>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</si>
  <si>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</si>
  <si>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</si>
  <si>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</si>
  <si>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</si>
  <si>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</si>
  <si>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</si>
  <si>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</si>
  <si>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</si>
  <si>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</si>
  <si>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</si>
  <si>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</si>
  <si>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</si>
  <si>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</si>
  <si>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</si>
  <si>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</si>
  <si>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</si>
  <si>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</si>
  <si>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</si>
  <si>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</si>
  <si>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</si>
  <si>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</si>
  <si>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</si>
  <si>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</si>
  <si>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</si>
  <si>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</si>
  <si>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</si>
  <si>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</si>
  <si>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</si>
  <si>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</si>
  <si>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</si>
  <si>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</si>
  <si>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</si>
  <si>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</si>
  <si>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</si>
  <si>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</si>
  <si>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</si>
  <si>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</si>
  <si>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</si>
  <si>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</si>
  <si>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</si>
  <si>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</si>
  <si>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</si>
  <si>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</si>
  <si>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</si>
  <si>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</si>
  <si>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</si>
  <si>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</si>
  <si>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</si>
  <si>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</si>
  <si>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</si>
  <si>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</si>
  <si>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</si>
  <si>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</si>
  <si>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</si>
  <si>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</si>
  <si>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</si>
  <si>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</si>
  <si>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</si>
  <si>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</si>
  <si>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</si>
  <si>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</si>
  <si>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</si>
  <si>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</si>
  <si>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</si>
  <si>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</si>
  <si>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</si>
  <si>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</si>
  <si>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</si>
  <si>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</si>
  <si>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</si>
  <si>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</si>
  <si>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</si>
  <si>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</si>
  <si>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</si>
  <si>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</si>
  <si>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</si>
  <si>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</si>
  <si>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</si>
  <si>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</si>
  <si>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</si>
  <si>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</si>
  <si>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</si>
  <si>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</si>
  <si>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</si>
  <si>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</si>
  <si>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</si>
  <si>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</si>
  <si>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</si>
  <si>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</si>
  <si>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</si>
  <si>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</si>
  <si>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</si>
  <si>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</si>
  <si>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</si>
  <si>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</si>
  <si>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</si>
  <si>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</si>
  <si>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</si>
  <si>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</si>
  <si>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</si>
  <si>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</si>
  <si>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</si>
  <si>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</si>
  <si>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</si>
  <si>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</si>
  <si>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</si>
  <si>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</si>
  <si>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</si>
  <si>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</si>
  <si>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</si>
  <si>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</si>
  <si>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</si>
  <si>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</si>
  <si>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</si>
  <si>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</si>
  <si>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</si>
  <si>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</si>
  <si>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</si>
  <si>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</si>
  <si>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</si>
  <si>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</si>
  <si>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</si>
  <si>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</si>
  <si>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</si>
  <si>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</si>
  <si>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</si>
  <si>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</si>
  <si>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</si>
  <si>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</si>
  <si>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</si>
  <si>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</si>
  <si>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</si>
  <si>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</si>
  <si>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</si>
  <si>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</si>
  <si>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</si>
  <si>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</si>
  <si>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</si>
  <si>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</si>
  <si>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</si>
  <si>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</si>
  <si>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</si>
  <si>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</si>
  <si>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</si>
  <si>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</si>
  <si>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</si>
  <si>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</si>
  <si>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</si>
  <si>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</si>
  <si>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</si>
  <si>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</si>
  <si>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</si>
  <si>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</si>
  <si>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</si>
  <si>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</si>
  <si>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</si>
  <si>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</si>
  <si>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</si>
  <si>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</si>
  <si>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</si>
  <si>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</si>
  <si>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</si>
  <si>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</si>
  <si>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</si>
  <si>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</si>
  <si>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</si>
  <si>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</si>
  <si>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</si>
  <si>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</si>
  <si>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</si>
  <si>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</si>
  <si>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</si>
  <si>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</si>
  <si>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</si>
  <si>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</si>
  <si>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</si>
  <si>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</si>
  <si>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</si>
  <si>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</si>
  <si>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</si>
  <si>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</si>
  <si>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</si>
  <si>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</si>
  <si>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</si>
  <si>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</si>
  <si>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</si>
  <si>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主要原因是2021年财政削减教育支出，住房保障经费及卫生健康经费增加，社会保障经费减少。</t>
    <phoneticPr fontId="4" type="noConversion"/>
  </si>
  <si>
    <t>主要原因是主要原因是人员、项目经费都有不同程度增加。</t>
    <phoneticPr fontId="4" type="noConversion"/>
  </si>
  <si>
    <t>主要原因是主要原因是进一步贯彻落实中央、北京市有关厉行节约、压缩财政成本等规定，加强管理，严格控制培训费用。</t>
    <phoneticPr fontId="4" type="noConversion"/>
  </si>
  <si>
    <t>主要原因是养老保险及年金部分年初预算下拨经费未全部使用，单位按实际支出，未支出部分上缴财政</t>
    <phoneticPr fontId="4" type="noConversion"/>
  </si>
  <si>
    <t>主要原因是追加事业单位医疗经费缺口。</t>
    <phoneticPr fontId="4" type="noConversion"/>
  </si>
  <si>
    <t>主要原因是新增人员变动追加住房保障经费缺口</t>
    <phoneticPr fontId="4" type="noConversion"/>
  </si>
  <si>
    <t>我校为北京市西城区教育委员会下属二级预算单位。北京市西城区阜成门外第一小学经北京市西城区机构编制委员会办公室核准发放《事业单位法人证书》，统一社会信用代码：1211010240079361XD；单位地址：北京市西城区阜成门外大街甲10号；业务范围：实施小学义务教育。北京市西城区阜成门外第一小学执行《政府会计制度》。截止到2021年12月31日现有在编教职工79人，离休人员1人，退休56人，全校学生人数1149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</si>
</sst>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A12" sqref="A12:M12"/>
    </sheetView>
  </sheetViews>
  <sheetFormatPr defaultRowHeight="13.8"/>
  <cols>
    <col min="1" max="1" width="16.44140625" customWidth="1"/>
    <col min="2" max="2" width="12.77734375" bestFit="1" customWidth="1"/>
  </cols>
  <sheetData>
    <row r="1" spans="1:14" ht="37.950000000000003" customHeight="1">
      <c r="A1" s="27" t="s">
        <v>0</v>
      </c>
      <c r="B1" s="28">
        <v>255070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北京市西城区阜成门外第一小学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8" width="8.6640625" style="47"/>
    <col min="19" max="19" width="10.77734375" style="47" customWidth="1"/>
    <col min="20" max="20" width="10.6640625" style="47" customWidth="1"/>
    <col min="21" max="21" width="8.6640625" style="47"/>
    <col min="22" max="24" width="8.77734375" style="47" customWidth="1"/>
    <col min="25" max="16384" width="8.6640625" style="47"/>
  </cols>
  <sheetData>
    <row r="1" spans="1:40" s="42" customFormat="1" ht="61.95"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23.6640625" style="36" customWidth="1"/>
    <col min="3" max="4" width="7.21875" style="40" customWidth="1"/>
    <col min="5" max="5" width="8.44140625" style="41" customWidth="1"/>
    <col min="6" max="6" width="19.6640625" style="36" customWidth="1"/>
    <col min="7" max="8" width="13.6640625" style="36" customWidth="1"/>
    <col min="9" max="16384" width="8.88671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3" bestFit="1" customWidth="1"/>
    <col min="2" max="16384" width="8.6640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zoomScaleNormal="100" workbookViewId="0">
      <selection activeCell="M6" sqref="M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98.25" customHeight="1">
      <c r="A4" s="84" t="s">
        <v>484</v>
      </c>
      <c r="B4" s="84"/>
      <c r="C4" s="84"/>
      <c r="D4" s="84"/>
      <c r="E4" s="84"/>
      <c r="F4" s="84"/>
      <c r="G4" s="84"/>
      <c r="H4" s="84"/>
      <c r="I4" s="84"/>
      <c r="J4" s="84"/>
      <c r="K4" s="84"/>
      <c r="L4" s="84"/>
      <c r="M4" s="84"/>
      <c r="N4" s="19"/>
    </row>
    <row r="5" spans="1:14" ht="18" customHeight="1">
      <c r="A5" s="7" t="s">
        <v>176</v>
      </c>
    </row>
    <row r="6" spans="1:14" ht="18" customHeight="1">
      <c r="A6" s="88" t="s">
        <v>245</v>
      </c>
      <c r="B6" s="88"/>
      <c r="C6" s="10">
        <v>79</v>
      </c>
      <c r="D6" s="10" t="s">
        <v>247</v>
      </c>
      <c r="E6" s="8">
        <f>_xlfn.IFNA(VLOOKUP(封面!B1,'2021决算导出'!A:C,3,FALSE),"")</f>
        <v>79</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33626698.890000001</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759164.54999999702</v>
      </c>
      <c r="I8" s="16" t="s">
        <v>179</v>
      </c>
      <c r="J8" s="30" t="str">
        <f>IF(ISNA(VLOOKUP(封面!B1,'2020决算导出'!A:D,4,FALSE)),"",IF(D8-VLOOKUP(封面!B1,'2020决算导出'!A:D,4,FALSE)&gt;0,"增长","下降"))</f>
        <v>下降</v>
      </c>
      <c r="K8" s="31">
        <f>IF(ISNA(VLOOKUP(封面!B1,'2020决算导出'!A:D,4,FALSE)),"",H8/VLOOKUP(封面!B1,'2020决算导出'!A:D,4,FALSE))</f>
        <v>2.2077809717492354E-2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33626698.890000001</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333664.54999999702</v>
      </c>
      <c r="I10" s="16" t="s">
        <v>179</v>
      </c>
      <c r="J10" s="30" t="str">
        <f>IF(ISNA(VLOOKUP(封面!B1,'2020决算导出'!A:E,5,FALSE)),"",IF(D10-VLOOKUP(封面!B1,'2020决算导出'!A:E,5,FALSE)&gt;0,"增长","下降"))</f>
        <v>下降</v>
      </c>
      <c r="K10" s="31">
        <f>IF(ISNA(VLOOKUP(封面!B1,'2020决算导出'!A:E,5,FALSE)),"",H10/VLOOKUP(封面!B1,'2020决算导出'!A:E,5,FALSE))</f>
        <v>9.8251171719497075E-3</v>
      </c>
      <c r="L10" s="7" t="s">
        <v>314</v>
      </c>
    </row>
    <row r="11" spans="1:14" ht="18" customHeight="1">
      <c r="A11" s="88" t="s">
        <v>181</v>
      </c>
      <c r="B11" s="88"/>
      <c r="C11" s="88"/>
      <c r="D11" s="14">
        <f>_xlfn.IFNA(VLOOKUP(封面!B1,'2021决算导出'!A:F,6,FALSE),"")</f>
        <v>33626698.890000001</v>
      </c>
      <c r="E11" s="7" t="s">
        <v>179</v>
      </c>
      <c r="F11" s="88" t="s">
        <v>182</v>
      </c>
      <c r="G11" s="88"/>
      <c r="H11" s="29">
        <f>D11/$D$10</f>
        <v>1</v>
      </c>
      <c r="I11" s="7" t="s">
        <v>315</v>
      </c>
    </row>
    <row r="12" spans="1:14" ht="18" customHeight="1">
      <c r="A12" s="88" t="s">
        <v>184</v>
      </c>
      <c r="B12" s="88"/>
      <c r="C12" s="88"/>
      <c r="D12" s="14">
        <f>_xlfn.IFNA(VLOOKUP(封面!B1,'2021决算导出'!A:G,7,FALSE),"")</f>
        <v>0</v>
      </c>
      <c r="E12" s="7" t="s">
        <v>179</v>
      </c>
      <c r="F12" s="88" t="s">
        <v>182</v>
      </c>
      <c r="G12" s="88"/>
      <c r="H12" s="29">
        <f t="shared" ref="H12:H15" si="0">D12/$D$10</f>
        <v>0</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33613440.890000001</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772422.54999999702</v>
      </c>
      <c r="I17" s="7" t="s">
        <v>179</v>
      </c>
      <c r="J17" s="30" t="str">
        <f>IF(ISNA(VLOOKUP(封面!B1,'2020决算导出'!A:K,11,FALSE)),"",IF(D17-VLOOKUP(封面!B1,'2020决算导出'!A:K,11,FALSE)&gt;0,"增长","下降"))</f>
        <v>下降</v>
      </c>
      <c r="K17" s="31">
        <f>IF(ISNA(VLOOKUP(封面!B1,'2020决算导出'!A:K,11,FALSE)),"",H17/VLOOKUP(封面!B1,'2020决算导出'!A:K,11,FALSE))</f>
        <v>2.2463375141002336E-2</v>
      </c>
      <c r="L17" s="7" t="s">
        <v>317</v>
      </c>
    </row>
    <row r="18" spans="1:13" ht="18" customHeight="1">
      <c r="A18" s="88" t="s">
        <v>189</v>
      </c>
      <c r="B18" s="88"/>
      <c r="C18" s="88"/>
      <c r="D18" s="14">
        <f>_xlfn.IFNA(VLOOKUP(封面!B1,'2021决算导出'!A:L,12,FALSE),"")</f>
        <v>31421326.620000001</v>
      </c>
      <c r="E18" s="7" t="s">
        <v>179</v>
      </c>
      <c r="F18" s="88" t="s">
        <v>190</v>
      </c>
      <c r="G18" s="88"/>
      <c r="H18" s="29">
        <f>D18/$D$17</f>
        <v>0.93478459175977568</v>
      </c>
      <c r="I18" s="7" t="s">
        <v>315</v>
      </c>
    </row>
    <row r="19" spans="1:13" ht="18" customHeight="1">
      <c r="A19" s="88" t="s">
        <v>191</v>
      </c>
      <c r="B19" s="88"/>
      <c r="C19" s="88"/>
      <c r="D19" s="14">
        <f>_xlfn.IFNA(VLOOKUP(封面!B1,'2021决算导出'!A:M,13,FALSE),"")</f>
        <v>2192114.27</v>
      </c>
      <c r="E19" s="7" t="s">
        <v>179</v>
      </c>
      <c r="F19" s="88" t="s">
        <v>190</v>
      </c>
      <c r="G19" s="88"/>
      <c r="H19" s="29">
        <f t="shared" ref="H19:H20" si="1">D19/$D$17</f>
        <v>6.5215408240224343E-2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33626698.890000001</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759164.54999999702</v>
      </c>
      <c r="J22" s="7" t="s">
        <v>179</v>
      </c>
      <c r="K22" s="30" t="str">
        <f>IF(ISNA(VLOOKUP(封面!B1,'2020决算导出'!A:O,15,FALSE)),"",IF(E22-VLOOKUP(封面!B1,'2020决算导出'!A:O,15,FALSE)&gt;0,"增长","下降"))</f>
        <v>下降</v>
      </c>
      <c r="L22" s="31">
        <f>IF(ISNA(VLOOKUP(封面!B1,'2020决算导出'!A:O,15,FALSE)),"",I22/VLOOKUP(封面!B1,'2020决算导出'!A:O,15,FALSE))</f>
        <v>2.2077809717492354E-2</v>
      </c>
      <c r="M22" s="7" t="s">
        <v>313</v>
      </c>
    </row>
    <row r="23" spans="1:13" ht="63.6" customHeight="1">
      <c r="B23" s="90" t="s">
        <v>478</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33613440.890000001</v>
      </c>
      <c r="G26" s="83"/>
      <c r="H26" s="7" t="s">
        <v>179</v>
      </c>
      <c r="I26" s="10" t="s">
        <v>196</v>
      </c>
      <c r="J26" s="10"/>
      <c r="K26" s="10"/>
      <c r="L26" s="10"/>
      <c r="M26" s="10"/>
    </row>
    <row r="27" spans="1:13" ht="18" customHeight="1">
      <c r="A27" s="88" t="s">
        <v>199</v>
      </c>
      <c r="B27" s="88"/>
      <c r="C27" s="88"/>
      <c r="D27" s="83">
        <f>_xlfn.IFNA(VLOOKUP(封面!B1,'2021决算导出'!A:Q,17,FALSE),"")</f>
        <v>24047696.920000002</v>
      </c>
      <c r="E27" s="83"/>
      <c r="F27" s="7" t="s">
        <v>179</v>
      </c>
      <c r="G27" s="86" t="s">
        <v>198</v>
      </c>
      <c r="H27" s="86"/>
      <c r="I27" s="29">
        <f>D27/$F$26</f>
        <v>0.71541907889454404</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3428066.35</v>
      </c>
      <c r="E29" s="83"/>
      <c r="F29" s="7" t="s">
        <v>179</v>
      </c>
      <c r="G29" s="86" t="s">
        <v>198</v>
      </c>
      <c r="H29" s="86"/>
      <c r="I29" s="29">
        <f t="shared" si="2"/>
        <v>0.1019849875297905</v>
      </c>
      <c r="J29" s="7" t="s">
        <v>315</v>
      </c>
    </row>
    <row r="30" spans="1:13" ht="18" customHeight="1">
      <c r="A30" s="88" t="s">
        <v>201</v>
      </c>
      <c r="B30" s="88"/>
      <c r="C30" s="88"/>
      <c r="D30" s="83">
        <f>_xlfn.IFNA(VLOOKUP(封面!B1,'2021决算导出'!A:T,20,FALSE),"")</f>
        <v>2272529.62</v>
      </c>
      <c r="E30" s="83"/>
      <c r="F30" s="7" t="s">
        <v>179</v>
      </c>
      <c r="G30" s="86" t="s">
        <v>198</v>
      </c>
      <c r="H30" s="86"/>
      <c r="I30" s="29">
        <f t="shared" si="2"/>
        <v>6.7607765222157834E-2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3865148</v>
      </c>
      <c r="E32" s="83"/>
      <c r="F32" s="7" t="s">
        <v>179</v>
      </c>
      <c r="G32" s="86" t="s">
        <v>198</v>
      </c>
      <c r="H32" s="86"/>
      <c r="I32" s="29">
        <f t="shared" si="2"/>
        <v>0.11498816835350771</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24047696.920000002</v>
      </c>
      <c r="F34" s="83"/>
      <c r="G34" s="7" t="s">
        <v>179</v>
      </c>
      <c r="H34" s="86" t="s">
        <v>422</v>
      </c>
      <c r="I34" s="86"/>
      <c r="J34" s="83">
        <f>_xlfn.IFNA(VLOOKUP(封面!B1,一般公共预算财政拨款支出决算具体情况!A:D,4,FALSE),"")</f>
        <v>22661168.75</v>
      </c>
      <c r="K34" s="83"/>
      <c r="L34" s="11" t="s">
        <v>178</v>
      </c>
    </row>
    <row r="35" spans="1:12" ht="18" customHeight="1">
      <c r="B35" s="15" t="str">
        <f>IF(E34&gt;J34,"增加","减少")</f>
        <v>增加</v>
      </c>
      <c r="C35" s="83">
        <f>ABS(E34-J34)</f>
        <v>1386528.1700000018</v>
      </c>
      <c r="D35" s="83"/>
      <c r="E35" s="7" t="s">
        <v>179</v>
      </c>
      <c r="F35" s="15" t="str">
        <f>IF(E34&gt;J34,"增长","下降")</f>
        <v>增长</v>
      </c>
      <c r="G35" s="34">
        <f>IF(J34=0,IF(E34&gt;0,1,""),C35/J34)</f>
        <v>6.1185201226657902E-2</v>
      </c>
      <c r="H35" s="7" t="s">
        <v>316</v>
      </c>
      <c r="I35" s="11" t="s">
        <v>205</v>
      </c>
    </row>
    <row r="36" spans="1:12" ht="18" customHeight="1">
      <c r="A36" s="88" t="s">
        <v>423</v>
      </c>
      <c r="B36" s="88"/>
      <c r="C36" s="88"/>
      <c r="D36" s="88"/>
      <c r="E36" s="83">
        <f>_xlfn.IFNA(VLOOKUP(封面!B1,一般公共预算财政拨款支出决算具体情况!A:E,5,FALSE),"")</f>
        <v>23887696.920000002</v>
      </c>
      <c r="F36" s="83"/>
      <c r="G36" s="7" t="s">
        <v>179</v>
      </c>
      <c r="H36" s="86" t="s">
        <v>422</v>
      </c>
      <c r="I36" s="86"/>
      <c r="J36" s="83">
        <f>_xlfn.IFNA(VLOOKUP(封面!B1,一般公共预算财政拨款支出决算具体情况!A:F,6,FALSE),"")</f>
        <v>22448128.75</v>
      </c>
      <c r="K36" s="83"/>
      <c r="L36" s="11" t="s">
        <v>178</v>
      </c>
    </row>
    <row r="37" spans="1:12" ht="18" customHeight="1">
      <c r="A37" s="15"/>
      <c r="B37" s="15" t="str">
        <f>IF(E36&gt;J36,"增加","减少")</f>
        <v>增加</v>
      </c>
      <c r="C37" s="83">
        <f>ABS(E36-J36)</f>
        <v>1439568.1700000018</v>
      </c>
      <c r="D37" s="83"/>
      <c r="E37" s="7" t="s">
        <v>179</v>
      </c>
      <c r="F37" s="15" t="str">
        <f>IF(E36&gt;J36,"增长","下降")</f>
        <v>增长</v>
      </c>
      <c r="G37" s="34">
        <f>IF(J36=0,IF(E36&gt;0,1,""),C37/J36)</f>
        <v>6.4128649030489981E-2</v>
      </c>
      <c r="H37" s="7" t="s">
        <v>316</v>
      </c>
    </row>
    <row r="38" spans="1:12" ht="36" customHeight="1">
      <c r="B38" s="84" t="s">
        <v>479</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8" t="s">
        <v>425</v>
      </c>
      <c r="B41" s="88"/>
      <c r="C41" s="88"/>
      <c r="D41" s="88"/>
      <c r="E41" s="83">
        <f>_xlfn.IFNA(VLOOKUP(封面!B1,一般公共预算财政拨款支出决算具体情况!A:I,9,FALSE),"")</f>
        <v>0</v>
      </c>
      <c r="F41" s="83"/>
      <c r="G41" s="7" t="s">
        <v>179</v>
      </c>
      <c r="H41" s="86" t="s">
        <v>422</v>
      </c>
      <c r="I41" s="86"/>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8" t="s">
        <v>426</v>
      </c>
      <c r="B43" s="88"/>
      <c r="C43" s="88"/>
      <c r="D43" s="88"/>
      <c r="E43" s="83">
        <f>_xlfn.IFNA(VLOOKUP(封面!B1,一般公共预算财政拨款支出决算具体情况!A:K,11,FALSE),"")</f>
        <v>0</v>
      </c>
      <c r="F43" s="83"/>
      <c r="G43" s="7" t="s">
        <v>179</v>
      </c>
      <c r="H43" s="86" t="s">
        <v>422</v>
      </c>
      <c r="I43" s="86"/>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8" t="s">
        <v>427</v>
      </c>
      <c r="B45" s="88"/>
      <c r="C45" s="88"/>
      <c r="D45" s="88"/>
      <c r="E45" s="83">
        <f>_xlfn.IFNA(VLOOKUP(封面!B1,一般公共预算财政拨款支出决算具体情况!A:M,13,FALSE),"")</f>
        <v>0</v>
      </c>
      <c r="F45" s="83"/>
      <c r="G45" s="7" t="s">
        <v>179</v>
      </c>
      <c r="H45" s="86" t="s">
        <v>422</v>
      </c>
      <c r="I45" s="86"/>
      <c r="J45" s="83">
        <f>_xlfn.IFNA(VLOOKUP(封面!B1,一般公共预算财政拨款支出决算具体情况!A:N,14,FALSE),"")</f>
        <v>53040</v>
      </c>
      <c r="K45" s="83"/>
      <c r="L45" s="11" t="s">
        <v>178</v>
      </c>
    </row>
    <row r="46" spans="1:12" ht="18" customHeight="1">
      <c r="A46" s="15"/>
      <c r="B46" s="15" t="str">
        <f>IF(E45&gt;J45,"增加","减少")</f>
        <v>减少</v>
      </c>
      <c r="C46" s="83">
        <f>ABS(E45-J45)</f>
        <v>53040</v>
      </c>
      <c r="D46" s="83"/>
      <c r="E46" s="7" t="s">
        <v>179</v>
      </c>
      <c r="F46" s="15" t="str">
        <f>IF(E45&gt;J45,"增长","下降")</f>
        <v>下降</v>
      </c>
      <c r="G46" s="34">
        <f>IF(J45=0,IF(E45&gt;0,1,""),C46/J45)</f>
        <v>1</v>
      </c>
      <c r="H46" s="7" t="s">
        <v>316</v>
      </c>
    </row>
    <row r="47" spans="1:12" ht="36" customHeight="1">
      <c r="B47" s="84" t="s">
        <v>480</v>
      </c>
      <c r="C47" s="84"/>
      <c r="D47" s="84"/>
      <c r="E47" s="84"/>
      <c r="F47" s="84"/>
      <c r="G47" s="84"/>
      <c r="H47" s="84"/>
      <c r="I47" s="84"/>
      <c r="J47" s="84"/>
      <c r="K47" s="84"/>
      <c r="L47" s="84"/>
    </row>
    <row r="48" spans="1:12" ht="18" customHeight="1">
      <c r="A48" s="87" t="s">
        <v>428</v>
      </c>
      <c r="B48" s="87"/>
      <c r="C48" s="87"/>
      <c r="D48" s="87"/>
      <c r="E48" s="83">
        <f>_xlfn.IFNA(VLOOKUP(封面!B1,一般公共预算财政拨款支出决算具体情况!A:O,15,FALSE),"")</f>
        <v>160000</v>
      </c>
      <c r="F48" s="83"/>
      <c r="G48" s="7" t="s">
        <v>179</v>
      </c>
      <c r="H48" s="86" t="s">
        <v>422</v>
      </c>
      <c r="I48" s="86"/>
      <c r="J48" s="83">
        <f>_xlfn.IFNA(VLOOKUP(封面!B1,一般公共预算财政拨款支出决算具体情况!A:P,16,FALSE),"")</f>
        <v>160000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316</v>
      </c>
    </row>
    <row r="50" spans="1:12" ht="18" customHeight="1">
      <c r="A50" s="89" t="s">
        <v>429</v>
      </c>
      <c r="B50" s="89"/>
      <c r="C50" s="89"/>
      <c r="D50" s="89"/>
      <c r="E50" s="83">
        <f>_xlfn.IFNA(VLOOKUP(封面!B1,一般公共预算财政拨款支出决算具体情况!A:Q,17,FALSE),"")</f>
        <v>0</v>
      </c>
      <c r="F50" s="83"/>
      <c r="G50" s="7" t="s">
        <v>179</v>
      </c>
      <c r="H50" s="85" t="s">
        <v>430</v>
      </c>
      <c r="I50" s="85"/>
      <c r="J50" s="85"/>
      <c r="K50" s="85"/>
      <c r="L50" s="11"/>
    </row>
    <row r="51" spans="1:12" ht="18" customHeight="1">
      <c r="A51" s="87" t="s">
        <v>472</v>
      </c>
      <c r="B51" s="87"/>
      <c r="C51" s="87"/>
      <c r="D51" s="87"/>
      <c r="E51" s="83">
        <f>_xlfn.IFNA(VLOOKUP(封面!B1,一般公共预算财政拨款支出决算具体情况!A:S,19,FALSE),"")</f>
        <v>0</v>
      </c>
      <c r="F51" s="83"/>
      <c r="G51" s="7" t="s">
        <v>179</v>
      </c>
      <c r="H51" s="85" t="s">
        <v>432</v>
      </c>
      <c r="I51" s="85"/>
      <c r="J51" s="85"/>
      <c r="K51" s="85"/>
      <c r="L51" s="11"/>
    </row>
    <row r="52" spans="1:12" ht="18" customHeight="1">
      <c r="A52" s="88" t="s">
        <v>431</v>
      </c>
      <c r="B52" s="88"/>
      <c r="C52" s="88"/>
      <c r="D52" s="88"/>
      <c r="E52" s="83">
        <f>_xlfn.IFNA(VLOOKUP(封面!B1,一般公共预算财政拨款支出决算具体情况!A:U,21,FALSE),"")</f>
        <v>0</v>
      </c>
      <c r="F52" s="83"/>
      <c r="G52" s="7" t="s">
        <v>179</v>
      </c>
      <c r="H52" s="85" t="s">
        <v>432</v>
      </c>
      <c r="I52" s="85"/>
      <c r="J52" s="85"/>
      <c r="K52" s="85"/>
      <c r="L52" s="11"/>
    </row>
    <row r="53" spans="1:12" ht="18" customHeight="1">
      <c r="A53" s="89" t="s">
        <v>433</v>
      </c>
      <c r="B53" s="89"/>
      <c r="C53" s="89"/>
      <c r="D53" s="89"/>
      <c r="E53" s="83">
        <f>_xlfn.IFNA(VLOOKUP(封面!B1,一般公共预算财政拨款支出决算具体情况!A:W,23,FALSE),"")</f>
        <v>3428066.3499999996</v>
      </c>
      <c r="F53" s="83"/>
      <c r="G53" s="7" t="s">
        <v>179</v>
      </c>
      <c r="H53" s="86" t="s">
        <v>422</v>
      </c>
      <c r="I53" s="86"/>
      <c r="J53" s="83">
        <f>_xlfn.IFNA(VLOOKUP(封面!B1,一般公共预算财政拨款支出决算具体情况!A:X,24,FALSE),"")</f>
        <v>4588319.32</v>
      </c>
      <c r="K53" s="83"/>
      <c r="L53" s="11" t="s">
        <v>178</v>
      </c>
    </row>
    <row r="54" spans="1:12" ht="18" customHeight="1">
      <c r="B54" s="15" t="str">
        <f>IF(E53&gt;J53,"增加","减少")</f>
        <v>减少</v>
      </c>
      <c r="C54" s="83">
        <f>ABS(E53-J53)</f>
        <v>1160252.9700000007</v>
      </c>
      <c r="D54" s="83"/>
      <c r="E54" s="7" t="s">
        <v>179</v>
      </c>
      <c r="F54" s="15" t="str">
        <f>IF(E53&gt;J53,"增长","下降")</f>
        <v>下降</v>
      </c>
      <c r="G54" s="34">
        <f>IF(J53=0,IF(E53&gt;0,1,""),C54/J53)</f>
        <v>0.25287101639647885</v>
      </c>
      <c r="H54" s="7" t="s">
        <v>316</v>
      </c>
      <c r="I54" s="11" t="s">
        <v>205</v>
      </c>
    </row>
    <row r="55" spans="1:12" ht="18" customHeight="1">
      <c r="A55" s="87" t="s">
        <v>434</v>
      </c>
      <c r="B55" s="87"/>
      <c r="C55" s="87"/>
      <c r="D55" s="87"/>
      <c r="E55" s="83">
        <f>_xlfn.IFNA(VLOOKUP(封面!B1,一般公共预算财政拨款支出决算具体情况!A:Y,25,FALSE),"")</f>
        <v>3428066.3499999996</v>
      </c>
      <c r="F55" s="83"/>
      <c r="G55" s="7" t="s">
        <v>179</v>
      </c>
      <c r="H55" s="86" t="s">
        <v>422</v>
      </c>
      <c r="I55" s="86"/>
      <c r="J55" s="83">
        <f>_xlfn.IFNA(VLOOKUP(封面!B1,一般公共预算财政拨款支出决算具体情况!A:Z,26,FALSE),"")</f>
        <v>4588319.32</v>
      </c>
      <c r="K55" s="83"/>
      <c r="L55" s="11" t="s">
        <v>178</v>
      </c>
    </row>
    <row r="56" spans="1:12" ht="18" customHeight="1">
      <c r="A56" s="15"/>
      <c r="B56" s="15" t="str">
        <f>IF(E55&gt;J55,"增加","减少")</f>
        <v>减少</v>
      </c>
      <c r="C56" s="83">
        <f>ABS(E55-J55)</f>
        <v>1160252.9700000007</v>
      </c>
      <c r="D56" s="83"/>
      <c r="E56" s="7" t="s">
        <v>179</v>
      </c>
      <c r="F56" s="15" t="str">
        <f>IF(E55&gt;J55,"增长","下降")</f>
        <v>下降</v>
      </c>
      <c r="G56" s="34">
        <f>IF(J55=0,IF(E55&gt;0,1,""),C56/J55)</f>
        <v>0.25287101639647885</v>
      </c>
      <c r="H56" s="7" t="s">
        <v>316</v>
      </c>
    </row>
    <row r="57" spans="1:12" ht="36" customHeight="1">
      <c r="B57" s="84" t="s">
        <v>481</v>
      </c>
      <c r="C57" s="84"/>
      <c r="D57" s="84"/>
      <c r="E57" s="84"/>
      <c r="F57" s="84"/>
      <c r="G57" s="84"/>
      <c r="H57" s="84"/>
      <c r="I57" s="84"/>
      <c r="J57" s="84"/>
      <c r="K57" s="84"/>
      <c r="L57" s="84"/>
    </row>
    <row r="58" spans="1:12" ht="18" customHeight="1">
      <c r="A58" s="87" t="s">
        <v>435</v>
      </c>
      <c r="B58" s="87"/>
      <c r="C58" s="87"/>
      <c r="D58" s="87"/>
      <c r="E58" s="83">
        <f>_xlfn.IFNA(VLOOKUP(封面!B1,一般公共预算财政拨款支出决算具体情况!A:AA,27,FALSE),"")</f>
        <v>0</v>
      </c>
      <c r="F58" s="83"/>
      <c r="G58" s="7" t="s">
        <v>179</v>
      </c>
      <c r="H58" s="86" t="s">
        <v>432</v>
      </c>
      <c r="I58" s="86"/>
      <c r="J58" s="83"/>
      <c r="K58" s="83"/>
      <c r="L58" s="11"/>
    </row>
    <row r="59" spans="1:12" ht="18" customHeight="1">
      <c r="A59" s="89" t="s">
        <v>436</v>
      </c>
      <c r="B59" s="89"/>
      <c r="C59" s="89"/>
      <c r="D59" s="89"/>
      <c r="E59" s="83">
        <f>_xlfn.IFNA(VLOOKUP(封面!B1,一般公共预算财政拨款支出决算具体情况!A:AC,29,FALSE),"")</f>
        <v>2272529.62</v>
      </c>
      <c r="F59" s="83"/>
      <c r="G59" s="7" t="s">
        <v>179</v>
      </c>
      <c r="H59" s="86" t="s">
        <v>422</v>
      </c>
      <c r="I59" s="86"/>
      <c r="J59" s="83">
        <f>_xlfn.IFNA(VLOOKUP(封面!B1,一般公共预算财政拨款支出决算具体情况!A:AD,30,FALSE),"")</f>
        <v>2137599.84</v>
      </c>
      <c r="K59" s="83"/>
      <c r="L59" s="11" t="s">
        <v>178</v>
      </c>
    </row>
    <row r="60" spans="1:12" ht="18" customHeight="1">
      <c r="B60" s="15" t="str">
        <f>IF(E59&gt;J59,"增加","减少")</f>
        <v>增加</v>
      </c>
      <c r="C60" s="83">
        <f>ABS(E59-J59)</f>
        <v>134929.78000000026</v>
      </c>
      <c r="D60" s="83"/>
      <c r="E60" s="7" t="s">
        <v>179</v>
      </c>
      <c r="F60" s="15" t="str">
        <f>IF(E59&gt;J59,"增长","下降")</f>
        <v>增长</v>
      </c>
      <c r="G60" s="34">
        <f>IF(J59=0,IF(E59&gt;0,1,""),C60/J59)</f>
        <v>6.3122094919318611E-2</v>
      </c>
      <c r="H60" s="7" t="s">
        <v>316</v>
      </c>
      <c r="I60" s="11" t="s">
        <v>205</v>
      </c>
    </row>
    <row r="61" spans="1:12" ht="18" customHeight="1">
      <c r="A61" s="87" t="s">
        <v>437</v>
      </c>
      <c r="B61" s="87"/>
      <c r="C61" s="87"/>
      <c r="D61" s="87"/>
      <c r="E61" s="83">
        <f>_xlfn.IFNA(VLOOKUP(封面!B1,一般公共预算财政拨款支出决算具体情况!A:AE,31,FALSE),"")</f>
        <v>2272529.62</v>
      </c>
      <c r="F61" s="83"/>
      <c r="G61" s="7" t="s">
        <v>179</v>
      </c>
      <c r="H61" s="86" t="s">
        <v>422</v>
      </c>
      <c r="I61" s="86"/>
      <c r="J61" s="83">
        <f>_xlfn.IFNA(VLOOKUP(封面!B1,一般公共预算财政拨款支出决算具体情况!A:AF,32,FALSE),"")</f>
        <v>2137599.84</v>
      </c>
      <c r="K61" s="83"/>
      <c r="L61" s="11" t="s">
        <v>178</v>
      </c>
    </row>
    <row r="62" spans="1:12" ht="18" customHeight="1">
      <c r="A62" s="15"/>
      <c r="B62" s="15" t="str">
        <f>IF(E61&gt;J61,"增加","减少")</f>
        <v>增加</v>
      </c>
      <c r="C62" s="83">
        <f>ABS(E61-J61)</f>
        <v>134929.78000000026</v>
      </c>
      <c r="D62" s="83"/>
      <c r="E62" s="7" t="s">
        <v>179</v>
      </c>
      <c r="F62" s="15" t="str">
        <f>IF(E61&gt;J61,"增长","下降")</f>
        <v>增长</v>
      </c>
      <c r="G62" s="34">
        <f>IF(J61=0,IF(E61&gt;0,1,""),C62/J61)</f>
        <v>6.3122094919318611E-2</v>
      </c>
      <c r="H62" s="7" t="s">
        <v>316</v>
      </c>
    </row>
    <row r="63" spans="1:12" ht="36" customHeight="1">
      <c r="B63" s="84" t="s">
        <v>482</v>
      </c>
      <c r="C63" s="84"/>
      <c r="D63" s="84"/>
      <c r="E63" s="84"/>
      <c r="F63" s="84"/>
      <c r="G63" s="84"/>
      <c r="H63" s="84"/>
      <c r="I63" s="84"/>
      <c r="J63" s="84"/>
      <c r="K63" s="84"/>
      <c r="L63" s="84"/>
    </row>
    <row r="64" spans="1:12" ht="18" customHeight="1">
      <c r="A64" s="89" t="s">
        <v>438</v>
      </c>
      <c r="B64" s="89"/>
      <c r="C64" s="89"/>
      <c r="D64" s="89"/>
      <c r="E64" s="83">
        <f>_xlfn.IFNA(VLOOKUP(封面!B1,一般公共预算财政拨款支出决算具体情况!A:AG,33,FALSE),"")</f>
        <v>0</v>
      </c>
      <c r="F64" s="83"/>
      <c r="G64" s="7" t="s">
        <v>179</v>
      </c>
      <c r="H64" s="86" t="s">
        <v>422</v>
      </c>
      <c r="I64" s="86"/>
      <c r="J64" s="83">
        <f>_xlfn.IFNA(VLOOKUP(封面!B1,一般公共预算财政拨款支出决算具体情况!A:AH,34,FALSE),"")</f>
        <v>0</v>
      </c>
      <c r="K64" s="83"/>
      <c r="L64" s="11" t="s">
        <v>178</v>
      </c>
    </row>
    <row r="65" spans="1:13" ht="18" customHeight="1">
      <c r="B65" s="15" t="str">
        <f>IF(E64&gt;J64,"增加","减少")</f>
        <v>减少</v>
      </c>
      <c r="C65" s="83">
        <f>ABS(E64-J64)</f>
        <v>0</v>
      </c>
      <c r="D65" s="83"/>
      <c r="E65" s="7" t="s">
        <v>179</v>
      </c>
      <c r="F65" s="15" t="str">
        <f>IF(E64&gt;J64,"增长","下降")</f>
        <v>下降</v>
      </c>
      <c r="G65" s="34" t="str">
        <f>IF(J64=0,IF(E64&gt;0,1,""),C65/J64)</f>
        <v/>
      </c>
      <c r="H65" s="7" t="s">
        <v>313</v>
      </c>
      <c r="I65" s="11" t="s">
        <v>205</v>
      </c>
    </row>
    <row r="66" spans="1:13" ht="18" customHeight="1">
      <c r="A66" s="87" t="s">
        <v>439</v>
      </c>
      <c r="B66" s="87"/>
      <c r="C66" s="87"/>
      <c r="D66" s="87"/>
      <c r="E66" s="83">
        <f>_xlfn.IFNA(VLOOKUP(封面!B1,一般公共预算财政拨款支出决算具体情况!A:AI,35,FALSE),"")</f>
        <v>0</v>
      </c>
      <c r="F66" s="83"/>
      <c r="G66" s="7" t="s">
        <v>179</v>
      </c>
      <c r="H66" s="86" t="s">
        <v>422</v>
      </c>
      <c r="I66" s="86"/>
      <c r="J66" s="83">
        <f>_xlfn.IFNA(VLOOKUP(封面!B1,一般公共预算财政拨款支出决算具体情况!A:AJ,36,FALSE),"")</f>
        <v>0</v>
      </c>
      <c r="K66" s="83"/>
      <c r="L66" s="11" t="s">
        <v>178</v>
      </c>
    </row>
    <row r="67" spans="1:13" ht="18" customHeight="1">
      <c r="A67" s="58"/>
      <c r="B67" s="15" t="str">
        <f>IF(E66&gt;J66,"增加","减少")</f>
        <v>减少</v>
      </c>
      <c r="C67" s="83">
        <f>ABS(E66-J66)</f>
        <v>0</v>
      </c>
      <c r="D67" s="83"/>
      <c r="E67" s="7" t="s">
        <v>179</v>
      </c>
      <c r="F67" s="15" t="str">
        <f>IF(E66&gt;J66,"增长","下降")</f>
        <v>下降</v>
      </c>
      <c r="G67" s="34" t="str">
        <f>IF(J66=0,IF(E66&gt;0,1,""),C67/J66)</f>
        <v/>
      </c>
      <c r="H67" s="7" t="s">
        <v>313</v>
      </c>
      <c r="I67" s="57"/>
      <c r="J67" s="56"/>
      <c r="K67" s="56"/>
      <c r="L67" s="11"/>
    </row>
    <row r="68" spans="1:13" ht="18" customHeight="1">
      <c r="A68" s="89" t="s">
        <v>473</v>
      </c>
      <c r="B68" s="89"/>
      <c r="C68" s="89"/>
      <c r="D68" s="89"/>
      <c r="E68" s="83">
        <f>_xlfn.IFNA(VLOOKUP(封面!B1,一般公共预算财政拨款支出决算具体情况!A:AK,37,FALSE),"")</f>
        <v>3865148</v>
      </c>
      <c r="F68" s="83"/>
      <c r="G68" s="7" t="s">
        <v>179</v>
      </c>
      <c r="H68" s="86" t="s">
        <v>422</v>
      </c>
      <c r="I68" s="86"/>
      <c r="J68" s="83">
        <f>_xlfn.IFNA(VLOOKUP(封面!B1,一般公共预算财政拨款支出决算具体情况!A:AL,38,FALSE),"")</f>
        <v>3806708.16</v>
      </c>
      <c r="K68" s="83"/>
      <c r="L68" s="11" t="s">
        <v>178</v>
      </c>
    </row>
    <row r="69" spans="1:13" ht="18" customHeight="1">
      <c r="B69" s="15" t="str">
        <f>IF(E68&gt;J68,"增加","减少")</f>
        <v>增加</v>
      </c>
      <c r="C69" s="83">
        <f>ABS(E68-J68)</f>
        <v>58439.839999999851</v>
      </c>
      <c r="D69" s="83"/>
      <c r="E69" s="7" t="s">
        <v>179</v>
      </c>
      <c r="F69" s="15" t="str">
        <f>IF(E68&gt;J68,"增长","下降")</f>
        <v>增长</v>
      </c>
      <c r="G69" s="34">
        <f>IF(J68=0,IF(E68&gt;0,1,""),C69/J68)</f>
        <v>1.5351804641625022E-2</v>
      </c>
      <c r="H69" s="7" t="s">
        <v>316</v>
      </c>
      <c r="I69" s="11" t="s">
        <v>205</v>
      </c>
    </row>
    <row r="70" spans="1:13" ht="18" customHeight="1">
      <c r="A70" s="87" t="s">
        <v>440</v>
      </c>
      <c r="B70" s="87"/>
      <c r="C70" s="87"/>
      <c r="D70" s="87"/>
      <c r="E70" s="83">
        <f>_xlfn.IFNA(VLOOKUP(封面!B1,一般公共预算财政拨款支出决算具体情况!A:AM,39,FALSE),"")</f>
        <v>3865148</v>
      </c>
      <c r="F70" s="83"/>
      <c r="G70" s="7" t="s">
        <v>179</v>
      </c>
      <c r="H70" s="86" t="s">
        <v>422</v>
      </c>
      <c r="I70" s="86"/>
      <c r="J70" s="83">
        <f>_xlfn.IFNA(VLOOKUP(封面!B1,一般公共预算财政拨款支出决算具体情况!A:AN,40,FALSE),"")</f>
        <v>3806708.16</v>
      </c>
      <c r="K70" s="83"/>
      <c r="L70" s="11" t="s">
        <v>178</v>
      </c>
    </row>
    <row r="71" spans="1:13" ht="18" customHeight="1">
      <c r="A71" s="15"/>
      <c r="B71" s="15" t="str">
        <f>IF(E70&gt;J70,"增加","减少")</f>
        <v>增加</v>
      </c>
      <c r="C71" s="83">
        <f>ABS(E70-J70)</f>
        <v>58439.839999999851</v>
      </c>
      <c r="D71" s="83"/>
      <c r="E71" s="7" t="s">
        <v>179</v>
      </c>
      <c r="F71" s="15" t="str">
        <f>IF(E70&gt;J70,"增长","下降")</f>
        <v>增长</v>
      </c>
      <c r="G71" s="34">
        <f>IF(J70=0,IF(E70&gt;0,1,""),C71/J70)</f>
        <v>1.5351804641625022E-2</v>
      </c>
      <c r="H71" s="7" t="s">
        <v>316</v>
      </c>
    </row>
    <row r="72" spans="1:13" ht="36" customHeight="1">
      <c r="B72" s="84" t="s">
        <v>483</v>
      </c>
      <c r="C72" s="84"/>
      <c r="D72" s="84"/>
      <c r="E72" s="84"/>
      <c r="F72" s="84"/>
      <c r="G72" s="84"/>
      <c r="H72" s="84"/>
      <c r="I72" s="84"/>
      <c r="J72" s="84"/>
      <c r="K72" s="84"/>
      <c r="L72" s="84"/>
    </row>
    <row r="73" spans="1:13" ht="18" customHeight="1">
      <c r="A73" s="6" t="s">
        <v>206</v>
      </c>
    </row>
    <row r="74" spans="1:13" ht="18" customHeight="1">
      <c r="A74" s="7" t="str">
        <f>IF(_xlfn.IFNA(VLOOKUP(封面!B1,'2021决算导出'!A:W,23,FALSE),"")=0,"本年度无此项支出。","")</f>
        <v>本年度无此项支出。</v>
      </c>
    </row>
    <row r="75" spans="1:13" ht="18" customHeight="1">
      <c r="A75" s="7" t="s">
        <v>207</v>
      </c>
    </row>
    <row r="76" spans="1:13" ht="18" customHeight="1">
      <c r="A76" s="88" t="s">
        <v>441</v>
      </c>
      <c r="B76" s="88"/>
      <c r="C76" s="88"/>
      <c r="D76" s="88"/>
      <c r="E76" s="88"/>
      <c r="F76" s="83">
        <f>_xlfn.IFNA(VLOOKUP(封面!B1,'2021决算导出'!A:W,23,FALSE),"")</f>
        <v>0</v>
      </c>
      <c r="G76" s="83"/>
      <c r="H76" s="7" t="s">
        <v>179</v>
      </c>
      <c r="I76" s="85" t="s">
        <v>196</v>
      </c>
      <c r="J76" s="85"/>
      <c r="K76" s="85"/>
      <c r="L76" s="85"/>
      <c r="M76" s="85"/>
    </row>
    <row r="77" spans="1:13" ht="18" customHeight="1">
      <c r="A77" s="88" t="s">
        <v>208</v>
      </c>
      <c r="B77" s="88"/>
      <c r="C77" s="88"/>
      <c r="D77" s="83">
        <f>_xlfn.IFNA(VLOOKUP(封面!B1,'2021决算导出'!A:Y,25,FALSE),"")</f>
        <v>0</v>
      </c>
      <c r="E77" s="83"/>
      <c r="F77" s="7" t="s">
        <v>179</v>
      </c>
      <c r="G77" s="86" t="s">
        <v>198</v>
      </c>
      <c r="H77" s="86"/>
      <c r="I77" s="13">
        <v>100</v>
      </c>
      <c r="J77" s="7" t="s">
        <v>183</v>
      </c>
      <c r="K77" s="9"/>
      <c r="L77" s="9"/>
      <c r="M77" s="9"/>
    </row>
    <row r="78" spans="1:13" ht="18" customHeight="1">
      <c r="A78" s="7" t="s">
        <v>209</v>
      </c>
    </row>
    <row r="79" spans="1:13" ht="18" customHeight="1">
      <c r="A79" s="85" t="s">
        <v>442</v>
      </c>
      <c r="B79" s="85"/>
      <c r="C79" s="85"/>
      <c r="D79" s="85"/>
      <c r="E79" s="83">
        <f>_xlfn.IFNA(VLOOKUP(封面!B1,'2021决算导出'!A:Y,25,FALSE),"")</f>
        <v>0</v>
      </c>
      <c r="F79" s="83"/>
      <c r="G79" s="7" t="s">
        <v>179</v>
      </c>
      <c r="H79" s="86" t="s">
        <v>422</v>
      </c>
      <c r="I79" s="86"/>
      <c r="J79" s="83">
        <f>_xlfn.IFNA(VLOOKUP(封面!B1,'2021决算导出'!A:Z,26,FALSE),"")</f>
        <v>0</v>
      </c>
      <c r="K79" s="83"/>
      <c r="L79" s="11" t="s">
        <v>178</v>
      </c>
    </row>
    <row r="80" spans="1:13" ht="18" customHeight="1">
      <c r="B80" s="15" t="str">
        <f>IF(E79&gt;J79,"增加","减少")</f>
        <v>减少</v>
      </c>
      <c r="C80" s="83">
        <f>ABS(E79-J79)</f>
        <v>0</v>
      </c>
      <c r="D80" s="83"/>
      <c r="E80" s="7" t="s">
        <v>179</v>
      </c>
      <c r="F80" s="15" t="str">
        <f>IF(E79&gt;J79,"增长","下降")</f>
        <v>下降</v>
      </c>
      <c r="G80" s="34" t="str">
        <f>IF(J79=0,IF(E79&gt;0,1,""),C80/J79)</f>
        <v/>
      </c>
      <c r="H80" s="7" t="s">
        <v>316</v>
      </c>
      <c r="I80" s="11" t="s">
        <v>205</v>
      </c>
    </row>
    <row r="81" spans="1:13" ht="18" customHeight="1">
      <c r="A81" s="87" t="s">
        <v>443</v>
      </c>
      <c r="B81" s="87"/>
      <c r="C81" s="87"/>
      <c r="D81" s="87"/>
      <c r="E81" s="83">
        <f>E79</f>
        <v>0</v>
      </c>
      <c r="F81" s="83"/>
      <c r="G81" s="7" t="s">
        <v>179</v>
      </c>
      <c r="H81" s="86" t="s">
        <v>422</v>
      </c>
      <c r="I81" s="86"/>
      <c r="J81" s="83">
        <f>J79</f>
        <v>0</v>
      </c>
      <c r="K81" s="83"/>
      <c r="L81" s="11" t="s">
        <v>178</v>
      </c>
    </row>
    <row r="82" spans="1:13" ht="18" customHeight="1">
      <c r="A82" s="15"/>
      <c r="B82" s="15" t="str">
        <f>B80</f>
        <v>减少</v>
      </c>
      <c r="C82" s="83">
        <f>C80</f>
        <v>0</v>
      </c>
      <c r="D82" s="83"/>
      <c r="E82" s="7" t="s">
        <v>179</v>
      </c>
      <c r="F82" s="15" t="str">
        <f>F80</f>
        <v>下降</v>
      </c>
      <c r="G82" s="34" t="str">
        <f>IF(J81=0,IF(E81&gt;0,1,""),C82/J81)</f>
        <v/>
      </c>
      <c r="H82" s="7" t="s">
        <v>316</v>
      </c>
    </row>
    <row r="83" spans="1:13" ht="18" customHeight="1">
      <c r="A83" s="6" t="s">
        <v>210</v>
      </c>
    </row>
    <row r="84" spans="1:13" ht="18" customHeight="1">
      <c r="A84" s="7" t="s">
        <v>211</v>
      </c>
    </row>
    <row r="85" spans="1:13" ht="18" customHeight="1">
      <c r="A85" s="6" t="s">
        <v>212</v>
      </c>
    </row>
    <row r="86" spans="1:13" ht="18" customHeight="1">
      <c r="A86" s="7" t="s">
        <v>444</v>
      </c>
      <c r="G86" s="83">
        <f>_xlfn.IFNA(VLOOKUP(封面!B1,'2021决算导出'!A:AA,27,FALSE),"")</f>
        <v>31421326.620000001</v>
      </c>
      <c r="H86" s="83"/>
      <c r="I86" s="11" t="s">
        <v>179</v>
      </c>
    </row>
    <row r="87" spans="1:13" ht="130.19999999999999" customHeight="1">
      <c r="A87" s="84" t="s">
        <v>213</v>
      </c>
      <c r="B87" s="84"/>
      <c r="C87" s="84"/>
      <c r="D87" s="84"/>
      <c r="E87" s="84"/>
      <c r="F87" s="84"/>
      <c r="G87" s="84"/>
      <c r="H87" s="84"/>
      <c r="I87" s="84"/>
      <c r="J87" s="84"/>
      <c r="K87" s="84"/>
      <c r="L87" s="84"/>
      <c r="M87" s="84"/>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E58:F58"/>
    <mergeCell ref="H58:I58"/>
    <mergeCell ref="J58:K58"/>
    <mergeCell ref="C54:D54"/>
    <mergeCell ref="A55:D55"/>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A8:C8"/>
    <mergeCell ref="A6:B6"/>
    <mergeCell ref="A17:C17"/>
    <mergeCell ref="A1:M1"/>
    <mergeCell ref="A18:C18"/>
    <mergeCell ref="F18:G18"/>
    <mergeCell ref="A13:C13"/>
    <mergeCell ref="F13:G13"/>
    <mergeCell ref="A14:C14"/>
    <mergeCell ref="F14:G14"/>
    <mergeCell ref="A15:C15"/>
    <mergeCell ref="F15:G15"/>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9:D49"/>
    <mergeCell ref="A50:D50"/>
    <mergeCell ref="E50:F50"/>
    <mergeCell ref="C46:D46"/>
    <mergeCell ref="B47:L47"/>
    <mergeCell ref="A48:D48"/>
    <mergeCell ref="E48:F48"/>
    <mergeCell ref="H48:I48"/>
    <mergeCell ref="J48:K48"/>
    <mergeCell ref="H50:K50"/>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71:D71"/>
    <mergeCell ref="A68:D68"/>
    <mergeCell ref="E68:F68"/>
    <mergeCell ref="H68:I68"/>
    <mergeCell ref="J68:K68"/>
    <mergeCell ref="C82:D82"/>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G86:H86"/>
    <mergeCell ref="A87:M87"/>
    <mergeCell ref="A4:M4"/>
    <mergeCell ref="A79:D79"/>
    <mergeCell ref="E79:F79"/>
    <mergeCell ref="H79:I79"/>
    <mergeCell ref="J79:K79"/>
    <mergeCell ref="C80:D80"/>
    <mergeCell ref="A81:D81"/>
    <mergeCell ref="E81:F81"/>
    <mergeCell ref="H81:I81"/>
    <mergeCell ref="J81:K81"/>
    <mergeCell ref="B72:L72"/>
    <mergeCell ref="A76:E76"/>
    <mergeCell ref="F76:G76"/>
    <mergeCell ref="I76:M76"/>
    <mergeCell ref="A77:C77"/>
    <mergeCell ref="D77:E77"/>
    <mergeCell ref="G77:H77"/>
    <mergeCell ref="C69:D69"/>
    <mergeCell ref="A70:D70"/>
    <mergeCell ref="E70:F70"/>
    <mergeCell ref="H70:I70"/>
    <mergeCell ref="J70:K7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7" zoomScaleNormal="100" workbookViewId="0">
      <selection activeCell="A14" sqref="A14:XFD14"/>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445</v>
      </c>
      <c r="F4" s="83">
        <f>_xlfn.IFNA(VLOOKUP(封面!B1,'2021决算导出'!A:AB,28,FALSE),"")</f>
        <v>0</v>
      </c>
      <c r="G4" s="83"/>
      <c r="H4" s="7" t="s">
        <v>179</v>
      </c>
      <c r="I4" s="7" t="s">
        <v>446</v>
      </c>
    </row>
    <row r="5" spans="1:14" ht="18" customHeight="1">
      <c r="A5" s="91">
        <f>_xlfn.IFNA(VLOOKUP(封面!B1,'2021决算导出'!A:AC,29,FALSE),"")</f>
        <v>0</v>
      </c>
      <c r="B5" s="91"/>
      <c r="C5" s="7" t="s">
        <v>178</v>
      </c>
      <c r="D5" s="30" t="str">
        <f>IF(F4&gt;A5,"增加","减少")</f>
        <v>减少</v>
      </c>
      <c r="E5" s="91">
        <f>ABS(F4-A5)</f>
        <v>0</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0</v>
      </c>
      <c r="D11" s="7" t="s">
        <v>179</v>
      </c>
      <c r="E11" s="88" t="s">
        <v>450</v>
      </c>
      <c r="F11" s="88"/>
      <c r="G11" s="88"/>
      <c r="H11" s="91">
        <f>_xlfn.IFNA(VLOOKUP(封面!B1,'2021决算导出'!A:AJ,36,FALSE),"")</f>
        <v>0</v>
      </c>
      <c r="I11" s="91"/>
      <c r="J11" s="16" t="s">
        <v>178</v>
      </c>
      <c r="K11" s="30" t="str">
        <f>IF(C11&gt;H11,"增加","减少")</f>
        <v>减少</v>
      </c>
      <c r="L11" s="91">
        <f>ABS(C11-H11)</f>
        <v>0</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18" customHeight="1">
      <c r="A14" s="88" t="s">
        <v>452</v>
      </c>
      <c r="B14" s="88"/>
      <c r="C14" s="88"/>
      <c r="D14" s="8">
        <f>_xlfn.IFNA(VLOOKUP(封面!B1,'2021决算导出'!A:AM,39,FALSE),"")</f>
        <v>0</v>
      </c>
      <c r="E14" s="7" t="s">
        <v>220</v>
      </c>
      <c r="F14" s="88" t="s">
        <v>221</v>
      </c>
      <c r="G14" s="88"/>
      <c r="H14" s="91">
        <f>IF(D14=0,0,F12/D14)</f>
        <v>0</v>
      </c>
      <c r="I14" s="91"/>
      <c r="J14" s="7" t="s">
        <v>215</v>
      </c>
    </row>
    <row r="15" spans="1:14" ht="18" customHeight="1">
      <c r="A15" s="86" t="s">
        <v>453</v>
      </c>
      <c r="B15" s="86"/>
      <c r="C15" s="86"/>
      <c r="D15" s="86"/>
      <c r="E15" s="86"/>
      <c r="F15" s="91">
        <f>_xlfn.IFNA(VLOOKUP(封面!B1,'2021决算导出'!A:AO,41,FALSE),"")</f>
        <v>0</v>
      </c>
      <c r="G15" s="91" t="s">
        <v>179</v>
      </c>
      <c r="H15" s="7" t="s">
        <v>179</v>
      </c>
      <c r="I15" s="7" t="s">
        <v>450</v>
      </c>
      <c r="L15" s="91">
        <f>_xlfn.IFNA(VLOOKUP(封面!B1,'2021决算导出'!A:AP,42,FALSE),"")</f>
        <v>0</v>
      </c>
      <c r="M15" s="91" t="s">
        <v>179</v>
      </c>
      <c r="N15" s="7" t="s">
        <v>179</v>
      </c>
    </row>
    <row r="16" spans="1:14" ht="18" customHeight="1">
      <c r="A16" s="15" t="str">
        <f>IF(F15&gt;L15,"增加","减少")</f>
        <v>减少</v>
      </c>
      <c r="B16" s="91">
        <f>ABS(F15-L15)</f>
        <v>0</v>
      </c>
      <c r="C16" s="91"/>
      <c r="D16" s="7" t="s">
        <v>215</v>
      </c>
    </row>
    <row r="17" spans="1:14" ht="36" customHeight="1">
      <c r="A17" s="84" t="s">
        <v>222</v>
      </c>
      <c r="B17" s="84"/>
      <c r="C17" s="84"/>
      <c r="D17" s="84"/>
      <c r="E17" s="84"/>
      <c r="F17" s="84"/>
      <c r="G17" s="84"/>
      <c r="H17" s="84"/>
      <c r="I17" s="84"/>
      <c r="J17" s="84"/>
      <c r="K17" s="84"/>
      <c r="L17" s="84"/>
      <c r="M17" s="84"/>
      <c r="N17" s="84"/>
    </row>
    <row r="18" spans="1:14" ht="18" customHeight="1">
      <c r="A18" s="88" t="s">
        <v>454</v>
      </c>
      <c r="B18" s="88"/>
      <c r="C18" s="88"/>
      <c r="D18" s="88"/>
      <c r="E18" s="88"/>
      <c r="F18" s="88"/>
      <c r="G18" s="91">
        <f>_xlfn.IFNA(VLOOKUP(封面!B1,'2021决算导出'!A:AQ,43,FALSE),"")</f>
        <v>0</v>
      </c>
      <c r="H18" s="91" t="s">
        <v>179</v>
      </c>
      <c r="I18" s="7" t="s">
        <v>179</v>
      </c>
      <c r="J18" s="7" t="s">
        <v>223</v>
      </c>
      <c r="L18" s="91">
        <f>_xlfn.IFNA(VLOOKUP(封面!B1,'2021决算导出'!A:AR,44,FALSE),"")</f>
        <v>0</v>
      </c>
      <c r="M18" s="91" t="s">
        <v>179</v>
      </c>
      <c r="N18" s="7" t="s">
        <v>179</v>
      </c>
    </row>
    <row r="19" spans="1:14" ht="18" customHeight="1">
      <c r="A19" s="88" t="s">
        <v>224</v>
      </c>
      <c r="B19" s="88"/>
      <c r="C19" s="91">
        <f>_xlfn.IFNA(VLOOKUP(封面!B1,'2021决算导出'!A:AS,45,FALSE),"")</f>
        <v>0</v>
      </c>
      <c r="D19" s="91" t="s">
        <v>179</v>
      </c>
      <c r="E19" s="7" t="s">
        <v>179</v>
      </c>
      <c r="F19" s="88" t="s">
        <v>225</v>
      </c>
      <c r="G19" s="88"/>
      <c r="H19" s="88"/>
      <c r="I19" s="91">
        <f>_xlfn.IFNA(VLOOKUP(封面!B1,'2021决算导出'!A:AT,46,FALSE),"")</f>
        <v>0</v>
      </c>
      <c r="J19" s="91" t="s">
        <v>179</v>
      </c>
      <c r="K19" s="7" t="s">
        <v>215</v>
      </c>
    </row>
    <row r="20" spans="1:14" ht="18" customHeight="1">
      <c r="A20" s="88" t="s">
        <v>455</v>
      </c>
      <c r="B20" s="88"/>
      <c r="C20" s="88"/>
      <c r="D20" s="8">
        <f>_xlfn.IFNA(VLOOKUP(封面!B1,'2021决算导出'!A:AU,47,FALSE),"")</f>
        <v>0</v>
      </c>
      <c r="E20" s="85" t="s">
        <v>407</v>
      </c>
      <c r="F20" s="85"/>
      <c r="G20" s="85"/>
      <c r="H20" s="85"/>
      <c r="I20" s="85"/>
      <c r="J20" s="85"/>
      <c r="K20" s="85"/>
      <c r="L20" s="85"/>
      <c r="M20" s="54" t="e">
        <f>F15/D20</f>
        <v>#DIV/0!</v>
      </c>
      <c r="N20" s="7" t="s">
        <v>215</v>
      </c>
    </row>
    <row r="21" spans="1:14" ht="18" customHeight="1">
      <c r="A21" s="6" t="s">
        <v>226</v>
      </c>
    </row>
    <row r="22" spans="1:14" ht="18" customHeight="1">
      <c r="A22" s="7" t="s">
        <v>227</v>
      </c>
    </row>
    <row r="23" spans="1:14" ht="18" customHeight="1">
      <c r="A23" s="6" t="s">
        <v>228</v>
      </c>
    </row>
    <row r="24" spans="1:14" ht="18" customHeight="1">
      <c r="A24" s="88" t="s">
        <v>456</v>
      </c>
      <c r="B24" s="88"/>
      <c r="C24" s="88"/>
      <c r="D24" s="88"/>
      <c r="E24" s="83">
        <f>_xlfn.IFNA(VLOOKUP(封面!B1,'2021决算导出'!A:AW,49,FALSE),"")</f>
        <v>463255</v>
      </c>
      <c r="F24" s="83"/>
      <c r="G24" s="7" t="s">
        <v>179</v>
      </c>
      <c r="H24" s="88" t="s">
        <v>229</v>
      </c>
      <c r="I24" s="88"/>
      <c r="J24" s="88"/>
      <c r="K24" s="88"/>
      <c r="L24" s="83">
        <f>_xlfn.IFNA(VLOOKUP(封面!B1,'2021决算导出'!A:AX,50,FALSE),"")</f>
        <v>25255</v>
      </c>
      <c r="M24" s="83" t="s">
        <v>179</v>
      </c>
      <c r="N24" s="7" t="s">
        <v>179</v>
      </c>
    </row>
    <row r="25" spans="1:14" ht="18" customHeight="1">
      <c r="A25" s="88" t="s">
        <v>230</v>
      </c>
      <c r="B25" s="88"/>
      <c r="C25" s="88"/>
      <c r="D25" s="83">
        <f>_xlfn.IFNA(VLOOKUP(封面!B1,'2021决算导出'!A:AY,51,FALSE),"")</f>
        <v>0</v>
      </c>
      <c r="E25" s="83" t="s">
        <v>179</v>
      </c>
      <c r="F25" s="7" t="s">
        <v>179</v>
      </c>
      <c r="G25" s="88" t="s">
        <v>231</v>
      </c>
      <c r="H25" s="88"/>
      <c r="I25" s="88"/>
      <c r="J25" s="83">
        <f>_xlfn.IFNA(VLOOKUP(封面!B1,'2021决算导出'!A:AZ,52,FALSE),"")</f>
        <v>438000</v>
      </c>
      <c r="K25" s="83" t="s">
        <v>179</v>
      </c>
      <c r="L25" s="7" t="s">
        <v>215</v>
      </c>
    </row>
    <row r="26" spans="1:14" ht="18" customHeight="1">
      <c r="A26" s="88" t="s">
        <v>232</v>
      </c>
      <c r="B26" s="88"/>
      <c r="C26" s="88"/>
      <c r="D26" s="88"/>
      <c r="E26" s="83">
        <f>_xlfn.IFNA(VLOOKUP(封面!B1,'2021决算导出'!A:BA,53,FALSE),"")</f>
        <v>463255</v>
      </c>
      <c r="F26" s="83" t="s">
        <v>179</v>
      </c>
      <c r="G26" s="7" t="s">
        <v>179</v>
      </c>
      <c r="H26" s="86" t="s">
        <v>233</v>
      </c>
      <c r="I26" s="86"/>
      <c r="J26" s="86"/>
      <c r="K26" s="29">
        <f>E26/$E$24</f>
        <v>1</v>
      </c>
      <c r="L26" s="18" t="s">
        <v>314</v>
      </c>
      <c r="M26" s="7" t="s">
        <v>408</v>
      </c>
    </row>
    <row r="27" spans="1:14" ht="18" customHeight="1">
      <c r="A27" s="88" t="s">
        <v>234</v>
      </c>
      <c r="B27" s="88"/>
      <c r="C27" s="88"/>
      <c r="D27" s="88"/>
      <c r="E27" s="83">
        <f>_xlfn.IFNA(VLOOKUP(封面!B1,'2021决算导出'!A:BB,54,FALSE),"")</f>
        <v>25255</v>
      </c>
      <c r="F27" s="83" t="s">
        <v>179</v>
      </c>
      <c r="G27" s="7" t="s">
        <v>179</v>
      </c>
      <c r="H27" s="86" t="s">
        <v>233</v>
      </c>
      <c r="I27" s="86"/>
      <c r="J27" s="86"/>
      <c r="K27" s="29">
        <f>E27/$E$24</f>
        <v>5.4516411047910975E-2</v>
      </c>
      <c r="L27" s="18" t="s">
        <v>316</v>
      </c>
    </row>
    <row r="28" spans="1:14" ht="18" customHeight="1">
      <c r="A28" s="6" t="s">
        <v>235</v>
      </c>
    </row>
    <row r="29" spans="1:14" ht="18" customHeight="1">
      <c r="A29" s="88" t="s">
        <v>457</v>
      </c>
      <c r="B29" s="88"/>
      <c r="C29" s="8">
        <f>_xlfn.IFNA(VLOOKUP(封面!B1,'2021决算导出'!A:BC,55,FALSE),"")</f>
        <v>0</v>
      </c>
      <c r="D29" s="7" t="s">
        <v>236</v>
      </c>
      <c r="M29" s="91">
        <f>_xlfn.IFNA(VLOOKUP(封面!B1,'2021决算导出'!A:BD,56,FALSE),"")</f>
        <v>0</v>
      </c>
      <c r="N29" s="91" t="s">
        <v>179</v>
      </c>
    </row>
    <row r="30" spans="1:14" ht="18" customHeight="1">
      <c r="A30" s="12" t="s">
        <v>237</v>
      </c>
      <c r="B30" s="88" t="s">
        <v>238</v>
      </c>
      <c r="C30" s="88"/>
      <c r="D30" s="88"/>
      <c r="E30" s="88"/>
      <c r="F30" s="88"/>
      <c r="G30" s="8">
        <f>_xlfn.IFNA(VLOOKUP(封面!B1,'2021决算导出'!A:BE,57,FALSE),"")</f>
        <v>1</v>
      </c>
      <c r="H30" s="7" t="s">
        <v>239</v>
      </c>
      <c r="J30" s="7" t="s">
        <v>240</v>
      </c>
    </row>
    <row r="31" spans="1:14" ht="18" customHeight="1">
      <c r="A31" s="12">
        <f>_xlfn.IFNA(VLOOKUP(封面!B1,'2021决算导出'!A:BF,58,FALSE),"")</f>
        <v>0</v>
      </c>
      <c r="B31" s="7" t="s">
        <v>241</v>
      </c>
    </row>
    <row r="32" spans="1:14" ht="18" customHeight="1">
      <c r="A32" s="6" t="s">
        <v>242</v>
      </c>
    </row>
    <row r="33" spans="1:14" ht="18" customHeight="1">
      <c r="A33" s="7" t="s">
        <v>243</v>
      </c>
    </row>
    <row r="34" spans="1:14" ht="18" customHeight="1">
      <c r="A34" s="6" t="s">
        <v>244</v>
      </c>
    </row>
    <row r="35" spans="1:14" ht="375.6" customHeight="1">
      <c r="A35" s="84" t="s">
        <v>474</v>
      </c>
      <c r="B35" s="84"/>
      <c r="C35" s="84"/>
      <c r="D35" s="84"/>
      <c r="E35" s="84"/>
      <c r="F35" s="84"/>
      <c r="G35" s="84"/>
      <c r="H35" s="84"/>
      <c r="I35" s="84"/>
      <c r="J35" s="84"/>
      <c r="K35" s="84"/>
      <c r="L35" s="84"/>
      <c r="M35" s="84"/>
      <c r="N35" s="84"/>
    </row>
  </sheetData>
  <mergeCells count="50">
    <mergeCell ref="A14:C14"/>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9" customWidth="1"/>
    <col min="2" max="2" width="15.44140625" style="61" customWidth="1"/>
    <col min="3" max="3" width="5.88671875" style="61" customWidth="1"/>
    <col min="4" max="6" width="13.33203125" style="61" customWidth="1"/>
    <col min="7" max="8" width="12.44140625" style="61" customWidth="1"/>
    <col min="9" max="9" width="9" style="61" customWidth="1"/>
    <col min="10" max="10" width="12.21875" style="61" customWidth="1"/>
    <col min="11" max="13" width="13.33203125" style="61" customWidth="1"/>
    <col min="14" max="14" width="12.6640625" style="61" customWidth="1"/>
    <col min="15" max="20" width="13.33203125" style="61" customWidth="1"/>
    <col min="21" max="21" width="11.44140625" style="61" customWidth="1"/>
    <col min="22" max="22" width="13.33203125" style="61" customWidth="1"/>
    <col min="23" max="23" width="11" style="61" customWidth="1"/>
    <col min="24" max="24" width="11.6640625" style="70" customWidth="1"/>
    <col min="25" max="25" width="10.44140625" style="61" customWidth="1"/>
    <col min="26" max="26" width="10.33203125" style="61" customWidth="1"/>
    <col min="27" max="27" width="13.33203125" style="61" customWidth="1"/>
    <col min="28" max="28" width="11" style="61" customWidth="1"/>
    <col min="29" max="29" width="10.88671875" style="61" customWidth="1"/>
    <col min="30" max="34" width="7.44140625" style="61" customWidth="1"/>
    <col min="35" max="35" width="13.33203125" style="61" customWidth="1"/>
    <col min="36" max="36" width="11.21875" style="61" customWidth="1"/>
    <col min="37" max="40" width="6.88671875" style="61" customWidth="1"/>
    <col min="41" max="41" width="12.44140625" style="61" customWidth="1"/>
    <col min="42" max="42" width="11.77734375" style="61" customWidth="1"/>
    <col min="43" max="46" width="11.109375" style="61" customWidth="1"/>
    <col min="47" max="47" width="8.44140625" style="61" customWidth="1"/>
    <col min="48" max="51" width="13.33203125" style="61" customWidth="1"/>
    <col min="52" max="52" width="12.33203125" style="61" customWidth="1"/>
    <col min="53" max="53" width="12" style="61" customWidth="1"/>
    <col min="54" max="54" width="13.33203125" style="61" customWidth="1"/>
    <col min="55" max="55" width="10" style="61" customWidth="1"/>
    <col min="56" max="56" width="13.33203125" style="61" customWidth="1"/>
    <col min="57" max="57" width="9" style="61" customWidth="1"/>
    <col min="58" max="58" width="9.44140625" style="61" customWidth="1"/>
    <col min="59" max="16384" width="8.88671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7"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7"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7"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7"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7"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7"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7"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7"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7"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7"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7"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7"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7"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7"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7"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7"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7"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7"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7"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7"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7"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7"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7"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7"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7"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7"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7"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7"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7"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7"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7"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7"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7"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7"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7"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7"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7"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7"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7"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7"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7"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7"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7"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7"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7"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7"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7"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7"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7"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7"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7"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7"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7"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7"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7"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7"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7"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7"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7"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7"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7"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7"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7"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7"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7"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7"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7"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7"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7"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7"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7"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7"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7"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7"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7"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7"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7"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7"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7"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7"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7"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7"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7"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7"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7"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7"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7"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7"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7"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7"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7"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7"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7"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7"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7"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7"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7"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7"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7"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7"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7"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7"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7"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7"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7"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7"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7"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7"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7"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7"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7"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7"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7"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7"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7"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7"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7"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7"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7"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7"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7"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7"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7"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7"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7"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7"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7"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7"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7"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7"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7"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7"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7"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7"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7"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7"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7"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7"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7"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7"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7"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7"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7"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7"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7"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7"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7"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7"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7"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7"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7"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7"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7"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7"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7"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7"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7"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7"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7"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7"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7"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7"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7"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18.88671875" style="36" customWidth="1"/>
    <col min="3" max="3" width="8.88671875" style="36"/>
    <col min="4" max="4" width="11.109375" style="73" customWidth="1"/>
    <col min="5" max="5" width="8.88671875" style="73"/>
    <col min="6" max="10" width="8.88671875" style="36"/>
    <col min="11" max="11" width="8.88671875" style="73"/>
    <col min="12" max="14" width="8.88671875" style="36"/>
    <col min="15" max="15" width="8.88671875" style="73"/>
    <col min="16" max="16384" width="8.88671875" style="36"/>
  </cols>
  <sheetData>
    <row r="1" spans="1:58" ht="60">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2022-08-30T07:03:12Z</cp:lastPrinted>
  <dcterms:created xsi:type="dcterms:W3CDTF">2021-08-26T09:47:38Z</dcterms:created>
  <dcterms:modified xsi:type="dcterms:W3CDTF">2022-09-01T06:39:04Z</dcterms:modified>
</cp:coreProperties>
</file>