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 (1)\北海幼儿园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5" l="1"/>
  <c r="B44" i="5" s="1"/>
  <c r="J43" i="5"/>
  <c r="G44" i="5"/>
  <c r="E39" i="5"/>
  <c r="J39" i="5"/>
  <c r="F40" i="5" s="1"/>
  <c r="E41" i="5"/>
  <c r="J41" i="5"/>
  <c r="E51" i="5"/>
  <c r="E52" i="5"/>
  <c r="E53" i="5"/>
  <c r="E59" i="5"/>
  <c r="E65" i="5"/>
  <c r="J65" i="5"/>
  <c r="E67" i="5"/>
  <c r="J67" i="5"/>
  <c r="F68" i="5" s="1"/>
  <c r="B42" i="5" l="1"/>
  <c r="C44" i="5"/>
  <c r="B40" i="5"/>
  <c r="F44" i="5"/>
  <c r="G40" i="5"/>
  <c r="G42" i="5"/>
  <c r="C40" i="5"/>
  <c r="F42" i="5"/>
  <c r="B68" i="5"/>
  <c r="C42" i="5"/>
  <c r="F66" i="5"/>
  <c r="G68" i="5"/>
  <c r="G66" i="5"/>
  <c r="C68" i="5"/>
  <c r="C66" i="5"/>
  <c r="B66" i="5"/>
  <c r="A32" i="6"/>
  <c r="G31" i="6"/>
  <c r="M30" i="6"/>
  <c r="C30" i="6"/>
  <c r="E28" i="6"/>
  <c r="E27" i="6"/>
  <c r="J26" i="6"/>
  <c r="D26" i="6"/>
  <c r="L25" i="6"/>
  <c r="E25" i="6"/>
  <c r="D21" i="6"/>
  <c r="I20" i="6"/>
  <c r="C20" i="6"/>
  <c r="L19" i="6"/>
  <c r="G19" i="6"/>
  <c r="L16" i="6"/>
  <c r="F16" i="6"/>
  <c r="D15" i="6"/>
  <c r="L12" i="6"/>
  <c r="F12" i="6"/>
  <c r="H11" i="6"/>
  <c r="C11" i="6"/>
  <c r="A5" i="6"/>
  <c r="F4" i="6"/>
  <c r="A3" i="6"/>
  <c r="F77" i="5"/>
  <c r="A75" i="5"/>
  <c r="J71" i="5"/>
  <c r="E71" i="5"/>
  <c r="J69" i="5"/>
  <c r="E69" i="5"/>
  <c r="J60" i="5"/>
  <c r="J62" i="5"/>
  <c r="E62" i="5"/>
  <c r="E60" i="5"/>
  <c r="J56" i="5"/>
  <c r="E56" i="5"/>
  <c r="J54" i="5"/>
  <c r="E54"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87" i="5"/>
  <c r="J80" i="5"/>
  <c r="E80" i="5"/>
  <c r="D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8" i="5" l="1"/>
  <c r="E48" i="5"/>
  <c r="J45" i="5"/>
  <c r="E45" i="5"/>
  <c r="J36" i="5"/>
  <c r="E36" i="5"/>
  <c r="J34" i="5"/>
  <c r="E34" i="5"/>
  <c r="B72" i="5" l="1"/>
  <c r="F57" i="5"/>
  <c r="C61" i="5"/>
  <c r="G61" i="5" s="1"/>
  <c r="C70" i="5"/>
  <c r="G70" i="5" s="1"/>
  <c r="F35" i="5"/>
  <c r="F63" i="5"/>
  <c r="C72" i="5"/>
  <c r="G72" i="5" s="1"/>
  <c r="F72" i="5"/>
  <c r="F70" i="5"/>
  <c r="B70" i="5"/>
  <c r="B63" i="5"/>
  <c r="C63" i="5"/>
  <c r="G63" i="5" s="1"/>
  <c r="F61" i="5"/>
  <c r="B61" i="5"/>
  <c r="C57" i="5"/>
  <c r="G57" i="5" s="1"/>
  <c r="F37" i="5"/>
  <c r="F46" i="5"/>
  <c r="F55" i="5"/>
  <c r="B57" i="5"/>
  <c r="B55" i="5"/>
  <c r="C55" i="5"/>
  <c r="G55" i="5" s="1"/>
  <c r="C49" i="5"/>
  <c r="G49" i="5" s="1"/>
  <c r="C35" i="5"/>
  <c r="G35" i="5" s="1"/>
  <c r="B49" i="5"/>
  <c r="F49" i="5"/>
  <c r="B46" i="5"/>
  <c r="C46" i="5"/>
  <c r="G46"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2" i="5" l="1"/>
  <c r="K11" i="6" l="1"/>
  <c r="I31" i="5"/>
  <c r="L11" i="6"/>
  <c r="F81" i="5"/>
  <c r="F83" i="5" s="1"/>
  <c r="E5" i="6"/>
  <c r="D5" i="6"/>
  <c r="H12" i="5"/>
  <c r="H19" i="5"/>
  <c r="H11" i="5"/>
  <c r="H20" i="5"/>
  <c r="H14" i="5"/>
  <c r="H15" i="5"/>
  <c r="C81" i="5"/>
  <c r="G81" i="5" s="1"/>
  <c r="E82" i="5"/>
  <c r="B81" i="5"/>
  <c r="B83" i="5" s="1"/>
  <c r="H13" i="5"/>
  <c r="H18" i="5"/>
  <c r="I27" i="5"/>
  <c r="I30" i="5"/>
  <c r="I29" i="5"/>
  <c r="I32" i="5"/>
  <c r="I28" i="5"/>
  <c r="C83" i="5" l="1"/>
  <c r="G83" i="5" s="1"/>
</calcChain>
</file>

<file path=xl/sharedStrings.xml><?xml version="1.0" encoding="utf-8"?>
<sst xmlns="http://schemas.openxmlformats.org/spreadsheetml/2006/main" count="4853" uniqueCount="487">
  <si>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</si>
  <si>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</si>
  <si>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</si>
  <si>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</si>
  <si>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</si>
  <si>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</si>
  <si>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</si>
  <si>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</si>
  <si>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</si>
  <si>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</si>
  <si>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</si>
  <si>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</si>
  <si>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</si>
  <si>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</si>
  <si>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</si>
  <si>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</si>
  <si>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</si>
  <si>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</si>
  <si>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</si>
  <si>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</si>
  <si>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</si>
  <si>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</si>
  <si>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</si>
  <si>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</si>
  <si>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</si>
  <si>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</si>
  <si>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</si>
  <si>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</si>
  <si>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</si>
  <si>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</si>
  <si>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</si>
  <si>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</si>
  <si>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</si>
  <si>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</si>
  <si>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</si>
  <si>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</si>
  <si>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</si>
  <si>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</si>
  <si>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</si>
  <si>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</si>
  <si>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</si>
  <si>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</si>
  <si>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</si>
  <si>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</si>
  <si>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</si>
  <si>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</si>
  <si>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</si>
  <si>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</si>
  <si>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</si>
  <si>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</si>
  <si>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</si>
  <si>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</si>
  <si>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</si>
  <si>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</si>
  <si>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</si>
  <si>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</si>
  <si>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</si>
  <si>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</si>
  <si>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</si>
  <si>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</si>
  <si>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</si>
  <si>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</si>
  <si>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</si>
  <si>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</si>
  <si>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</si>
  <si>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</si>
  <si>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</si>
  <si>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</si>
  <si>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</si>
  <si>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</si>
  <si>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</si>
  <si>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</si>
  <si>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</si>
  <si>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</si>
  <si>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</si>
  <si>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</si>
  <si>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</si>
  <si>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</si>
  <si>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</si>
  <si>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</si>
  <si>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</si>
  <si>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</si>
  <si>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</si>
  <si>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</si>
  <si>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</si>
  <si>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</si>
  <si>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</si>
  <si>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</si>
  <si>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</si>
  <si>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</si>
  <si>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</si>
  <si>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</si>
  <si>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</si>
  <si>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</si>
  <si>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</si>
  <si>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</si>
  <si>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</si>
  <si>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</si>
  <si>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</si>
  <si>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</si>
  <si>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</si>
  <si>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</si>
  <si>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</si>
  <si>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</si>
  <si>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</si>
  <si>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</si>
  <si>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</si>
  <si>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</si>
  <si>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</si>
  <si>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</si>
  <si>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</si>
  <si>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</si>
  <si>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</si>
  <si>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</si>
  <si>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</si>
  <si>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</si>
  <si>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</si>
  <si>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</si>
  <si>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</si>
  <si>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</si>
  <si>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</si>
  <si>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</si>
  <si>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</si>
  <si>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</si>
  <si>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</si>
  <si>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</si>
  <si>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</si>
  <si>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</si>
  <si>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</si>
  <si>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</si>
  <si>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</si>
  <si>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</si>
  <si>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</si>
  <si>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</si>
  <si>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</si>
  <si>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</si>
  <si>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</si>
  <si>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</si>
  <si>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</si>
  <si>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</si>
  <si>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</si>
  <si>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</si>
  <si>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</si>
  <si>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</si>
  <si>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</si>
  <si>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</si>
  <si>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</si>
  <si>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</si>
  <si>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</si>
  <si>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</si>
  <si>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</si>
  <si>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</si>
  <si>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</si>
  <si>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</si>
  <si>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</si>
  <si>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</si>
  <si>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</si>
  <si>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</si>
  <si>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</si>
  <si>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</si>
  <si>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</si>
  <si>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</si>
  <si>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</si>
  <si>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</si>
  <si>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</si>
  <si>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</si>
  <si>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</si>
  <si>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</si>
  <si>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</si>
  <si>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</si>
  <si>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</si>
  <si>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</si>
  <si>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</si>
  <si>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</si>
  <si>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</si>
  <si>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</si>
  <si>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</si>
  <si>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</si>
  <si>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</si>
  <si>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</si>
  <si>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</si>
  <si>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</si>
  <si>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</si>
  <si>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</si>
  <si>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</si>
  <si>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</si>
  <si>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</si>
  <si>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</si>
  <si>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</si>
  <si>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</si>
  <si>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</si>
  <si>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</si>
  <si>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</si>
  <si>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</si>
  <si>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</si>
  <si>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</si>
  <si>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</si>
  <si>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</si>
  <si>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</si>
  <si>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</si>
  <si>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</si>
  <si>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</si>
  <si>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</si>
  <si>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</si>
  <si>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</si>
  <si>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</si>
  <si>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</si>
  <si>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</si>
  <si>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</si>
  <si>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</si>
  <si>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</si>
  <si>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</si>
  <si>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</si>
  <si>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</si>
  <si>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</si>
  <si>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</si>
  <si>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</si>
  <si>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</si>
  <si>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</si>
  <si>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</si>
  <si>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</si>
  <si>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</si>
  <si>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</si>
  <si>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</si>
  <si>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</si>
  <si>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</si>
  <si>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</si>
  <si>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</si>
  <si>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</si>
  <si>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</si>
  <si>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</si>
  <si>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</si>
  <si>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</si>
  <si>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</si>
  <si>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</si>
  <si>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</si>
  <si>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</si>
  <si>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</si>
  <si>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</si>
  <si>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</si>
  <si>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</si>
  <si>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</si>
  <si>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</si>
  <si>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</si>
  <si>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</si>
  <si>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</si>
  <si>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</si>
  <si>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</si>
  <si>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</si>
  <si>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</si>
  <si>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</si>
  <si>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</si>
  <si>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</si>
  <si>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</si>
  <si>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</si>
  <si>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</si>
  <si>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</si>
  <si>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</si>
  <si>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</si>
  <si>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</si>
  <si>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</si>
  <si>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</si>
  <si>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</si>
  <si>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</si>
  <si>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</si>
  <si>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</si>
  <si>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</si>
  <si>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</si>
  <si>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</si>
  <si>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</si>
  <si>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</si>
  <si>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</si>
  <si>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</si>
  <si>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</si>
  <si>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</si>
  <si>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</si>
  <si>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</si>
  <si>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</si>
  <si>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</si>
  <si>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</si>
  <si>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</si>
  <si>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</si>
  <si>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</si>
  <si>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</si>
  <si>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</si>
  <si>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</si>
  <si>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</si>
  <si>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</si>
  <si>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</si>
  <si>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</si>
  <si>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</si>
  <si>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</si>
  <si>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</si>
  <si>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</si>
  <si>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</si>
  <si>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</si>
  <si>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</si>
  <si>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</si>
  <si>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</si>
  <si>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</si>
  <si>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</si>
  <si>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</si>
  <si>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</si>
  <si>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</si>
  <si>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</si>
  <si>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</si>
  <si>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</si>
  <si>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</si>
  <si>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</si>
  <si>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</si>
  <si>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</si>
  <si>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</si>
  <si>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</si>
  <si>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</si>
  <si>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</si>
  <si>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</si>
  <si>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</si>
  <si>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</si>
  <si>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</si>
  <si>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</si>
  <si>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</si>
  <si>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</si>
  <si>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</si>
  <si>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</si>
  <si>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</si>
  <si>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</si>
  <si>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</si>
  <si>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</si>
  <si>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</si>
  <si>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</si>
  <si>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</si>
  <si>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</si>
  <si>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</si>
  <si>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</si>
  <si>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</si>
  <si>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</si>
  <si>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</si>
  <si>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</si>
  <si>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</si>
  <si>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</si>
  <si>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</si>
  <si>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</si>
  <si>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</si>
  <si>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</si>
  <si>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</si>
  <si>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</si>
  <si>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</si>
  <si>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</si>
  <si>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</si>
  <si>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</si>
  <si>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</si>
  <si>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</si>
  <si>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</si>
  <si>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</si>
  <si>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</si>
  <si>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</si>
  <si>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</si>
  <si>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</si>
  <si>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</si>
  <si>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</si>
  <si>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</si>
  <si>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</si>
  <si>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</si>
  <si>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</si>
  <si>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</si>
  <si>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</si>
  <si>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</si>
  <si>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</si>
  <si>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</si>
  <si>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</si>
  <si>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</si>
  <si>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</si>
  <si>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</si>
  <si>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</si>
  <si>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</si>
  <si>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</si>
  <si>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</si>
  <si>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</si>
  <si>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</si>
  <si>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</si>
  <si>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</si>
  <si>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</si>
  <si>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</si>
  <si>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</si>
  <si>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</si>
  <si>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</si>
  <si>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</si>
  <si>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</si>
  <si>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</si>
  <si>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</si>
  <si>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</si>
  <si>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</si>
  <si>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</si>
  <si>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</si>
  <si>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</si>
  <si>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</si>
  <si>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</si>
  <si>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</si>
  <si>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</si>
  <si>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</si>
  <si>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</si>
  <si>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</si>
  <si>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</si>
  <si>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</si>
  <si>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</si>
  <si>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</si>
  <si>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</si>
  <si>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</si>
  <si>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</si>
  <si>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</si>
  <si>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</si>
  <si>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</si>
  <si>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</si>
  <si>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</si>
  <si>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</si>
  <si>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</si>
  <si>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</si>
  <si>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</si>
  <si>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</si>
  <si>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</si>
  <si>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</si>
  <si>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</si>
  <si>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</si>
  <si>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</si>
  <si>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</si>
  <si>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</si>
  <si>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</si>
  <si>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</si>
  <si>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</si>
  <si>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</si>
  <si>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</si>
  <si>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</si>
  <si>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</si>
  <si>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</si>
  <si>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</si>
  <si>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</si>
  <si>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</si>
  <si>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</si>
  <si>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</si>
  <si>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</si>
  <si>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</si>
  <si>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</si>
  <si>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</si>
  <si>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</si>
  <si>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</si>
  <si>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</si>
  <si>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</si>
  <si>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</si>
  <si>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</si>
  <si>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</si>
  <si>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</si>
  <si>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</si>
  <si>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</si>
  <si>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</si>
  <si>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</si>
  <si>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</si>
  <si>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</si>
  <si>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</si>
  <si>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</si>
  <si>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</si>
  <si>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</si>
  <si>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</si>
  <si>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</si>
  <si>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</si>
  <si>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</si>
  <si>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</si>
  <si>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</si>
  <si>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</si>
  <si>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</si>
  <si>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</si>
  <si>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</si>
  <si>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</si>
  <si>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</si>
  <si>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</si>
  <si>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</si>
  <si>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</si>
  <si>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</si>
  <si>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</si>
  <si>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主要原因是：追加人员经费中的正常晋升薪级、职评人员增资、21年新增13人绩效工资核增、一次性核增20年绩效工资及西城区奖励激励机制年末核增等；公用年末追加食堂厨工缺口；项目年末追加购置经费。</t>
    <phoneticPr fontId="4" type="noConversion"/>
  </si>
  <si>
    <t>主要原因是受新冠疫情影响，外出培训减少，结余财政收回。</t>
    <phoneticPr fontId="4" type="noConversion"/>
  </si>
  <si>
    <t>主要原因是财政预算核定基数与社保要求口径不一致造成，年末结余由财政统一收回。</t>
    <phoneticPr fontId="4" type="noConversion"/>
  </si>
  <si>
    <t>主要原因是财政预算核定基数与医保要求口径不一致造成，年末结余由财政统一收回。</t>
    <phoneticPr fontId="4" type="noConversion"/>
  </si>
  <si>
    <t>主要原因是：因2020年受疫情影响1-8月未开园各项公用经费支出相应减少，2021年恢复正常。2021年新增13人，人员工资等相应项目随之增长。</t>
    <phoneticPr fontId="4" type="noConversion"/>
  </si>
  <si>
    <t>主要原因是疫情原因公车使用较少，且没有发生加油充值支出。</t>
    <phoneticPr fontId="4" type="noConversion"/>
  </si>
  <si>
    <t>主要原因是是由于实际计算基数按上年工资总额计算与财政预算系统按当年计算的口径不同造成，不足部分已由财政追加经费。</t>
    <phoneticPr fontId="4" type="noConversion"/>
  </si>
  <si>
    <t>我园成立于1949年，是北京市一级一类示范幼儿园，2001年成为北京市首批市级示范园。幼儿园主要职责为学龄前儿童提供保育和教育服务。我园包括本部和后海分部和白米分部三个部分，在新世纪新的教育形势下，我们力争把北海幼儿园办成集对外交流、人才培养、教育研究、社区服务为一体的新型学前教育机构。全园共27个教学班，其中26个日托班，1个半日班。班级数量比20年减少一个班。年末在园幼儿768名。</t>
    <phoneticPr fontId="4" type="noConversion"/>
  </si>
  <si>
    <t>主要原因是设备购置类项目有采购结余，年末已收回财政。</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</si>
</sst>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8" sqref="C8"/>
    </sheetView>
  </sheetViews>
  <sheetFormatPr defaultRowHeight="13.8"/>
  <cols>
    <col min="1" max="1" width="16.44140625" customWidth="1"/>
    <col min="2" max="2" width="12.77734375" bestFit="1" customWidth="1"/>
  </cols>
  <sheetData>
    <row r="1" spans="1:14" ht="37.950000000000003" customHeight="1">
      <c r="A1" s="27" t="s">
        <v>0</v>
      </c>
      <c r="B1" s="28">
        <v>255076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北京市北海幼儿园</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95"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23.6640625" style="36" customWidth="1"/>
    <col min="3" max="4" width="7.21875" style="40" customWidth="1"/>
    <col min="5" max="5" width="8.44140625" style="41" customWidth="1"/>
    <col min="6" max="6" width="19.6640625" style="36" customWidth="1"/>
    <col min="7" max="8" width="13.6640625" style="36" customWidth="1"/>
    <col min="9" max="16384" width="8.88671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0" zoomScale="90" zoomScaleNormal="90" workbookViewId="0">
      <selection sqref="A1:N1"/>
    </sheetView>
  </sheetViews>
  <sheetFormatPr defaultRowHeight="17.399999999999999"/>
  <cols>
    <col min="3" max="3" width="8.88671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0"/>
  <sheetViews>
    <sheetView zoomScaleNormal="100" workbookViewId="0">
      <selection activeCell="A91" activeCellId="7" sqref="A41:XFD41 A44:XFD44 A47:XFD47 A56:XFD56 A58:XFD58 A65:XFD65 A75:XFD75 A91:XFD91"/>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2" customHeight="1">
      <c r="A4" s="87" t="s">
        <v>485</v>
      </c>
      <c r="B4" s="87"/>
      <c r="C4" s="87"/>
      <c r="D4" s="87"/>
      <c r="E4" s="87"/>
      <c r="F4" s="87"/>
      <c r="G4" s="87"/>
      <c r="H4" s="87"/>
      <c r="I4" s="87"/>
      <c r="J4" s="87"/>
      <c r="K4" s="87"/>
      <c r="L4" s="87"/>
      <c r="M4" s="87"/>
      <c r="N4" s="19"/>
    </row>
    <row r="5" spans="1:14" ht="18" customHeight="1">
      <c r="A5" s="7" t="s">
        <v>176</v>
      </c>
    </row>
    <row r="6" spans="1:14" ht="18" customHeight="1">
      <c r="A6" s="88" t="s">
        <v>245</v>
      </c>
      <c r="B6" s="88"/>
      <c r="C6" s="10">
        <v>181</v>
      </c>
      <c r="D6" s="10" t="s">
        <v>247</v>
      </c>
      <c r="E6" s="8">
        <f>_xlfn.IFNA(VLOOKUP(封面!B1,'2021决算导出'!A:C,3,FALSE),"")</f>
        <v>173</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64761158.119999997</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4681554.82</v>
      </c>
      <c r="I8" s="16" t="s">
        <v>179</v>
      </c>
      <c r="J8" s="30" t="str">
        <f>IF(ISNA(VLOOKUP(封面!B1,'2020决算导出'!A:D,4,FALSE)),"",IF(D8-VLOOKUP(封面!B1,'2020决算导出'!A:D,4,FALSE)&gt;0,"增长","下降"))</f>
        <v>增长</v>
      </c>
      <c r="K8" s="31">
        <f>IF(ISNA(VLOOKUP(封面!B1,'2020决算导出'!A:D,4,FALSE)),"",H8/VLOOKUP(封面!B1,'2020决算导出'!A:D,4,FALSE))</f>
        <v>7.7922532154935192E-2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64761158.119999997</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4681554.82</v>
      </c>
      <c r="I10" s="16" t="s">
        <v>179</v>
      </c>
      <c r="J10" s="30" t="str">
        <f>IF(ISNA(VLOOKUP(封面!B1,'2020决算导出'!A:E,5,FALSE)),"",IF(D10-VLOOKUP(封面!B1,'2020决算导出'!A:E,5,FALSE)&gt;0,"增长","下降"))</f>
        <v>增长</v>
      </c>
      <c r="K10" s="31">
        <f>IF(ISNA(VLOOKUP(封面!B1,'2020决算导出'!A:E,5,FALSE)),"",H10/VLOOKUP(封面!B1,'2020决算导出'!A:E,5,FALSE))</f>
        <v>7.7922532154935192E-2</v>
      </c>
      <c r="L10" s="7" t="s">
        <v>314</v>
      </c>
    </row>
    <row r="11" spans="1:14" ht="18" customHeight="1">
      <c r="A11" s="88" t="s">
        <v>181</v>
      </c>
      <c r="B11" s="88"/>
      <c r="C11" s="88"/>
      <c r="D11" s="14">
        <f>_xlfn.IFNA(VLOOKUP(封面!B1,'2021决算导出'!A:F,6,FALSE),"")</f>
        <v>64761158.119999997</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64676158.119999997</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4596554.82</v>
      </c>
      <c r="I17" s="7" t="s">
        <v>179</v>
      </c>
      <c r="J17" s="30" t="str">
        <f>IF(ISNA(VLOOKUP(封面!B1,'2020决算导出'!A:K,11,FALSE)),"",IF(D17-VLOOKUP(封面!B1,'2020决算导出'!A:K,11,FALSE)&gt;0,"增长","下降"))</f>
        <v>增长</v>
      </c>
      <c r="K17" s="31">
        <f>IF(ISNA(VLOOKUP(封面!B1,'2020决算导出'!A:K,11,FALSE)),"",H17/VLOOKUP(封面!B1,'2020决算导出'!A:K,11,FALSE))</f>
        <v>7.6507742520330532E-2</v>
      </c>
      <c r="L17" s="7" t="s">
        <v>317</v>
      </c>
    </row>
    <row r="18" spans="1:13" ht="18" customHeight="1">
      <c r="A18" s="88" t="s">
        <v>189</v>
      </c>
      <c r="B18" s="88"/>
      <c r="C18" s="88"/>
      <c r="D18" s="14">
        <f>_xlfn.IFNA(VLOOKUP(封面!B1,'2021决算导出'!A:L,12,FALSE),"")</f>
        <v>61178518.109999999</v>
      </c>
      <c r="E18" s="7" t="s">
        <v>179</v>
      </c>
      <c r="F18" s="88" t="s">
        <v>190</v>
      </c>
      <c r="G18" s="88"/>
      <c r="H18" s="29">
        <f>D18/$D$17</f>
        <v>0.94592072083950185</v>
      </c>
      <c r="I18" s="7" t="s">
        <v>315</v>
      </c>
    </row>
    <row r="19" spans="1:13" ht="18" customHeight="1">
      <c r="A19" s="88" t="s">
        <v>191</v>
      </c>
      <c r="B19" s="88"/>
      <c r="C19" s="88"/>
      <c r="D19" s="14">
        <f>_xlfn.IFNA(VLOOKUP(封面!B1,'2021决算导出'!A:M,13,FALSE),"")</f>
        <v>3497640.01</v>
      </c>
      <c r="E19" s="7" t="s">
        <v>179</v>
      </c>
      <c r="F19" s="88" t="s">
        <v>190</v>
      </c>
      <c r="G19" s="88"/>
      <c r="H19" s="29">
        <f t="shared" ref="H19:H20" si="1">D19/$D$17</f>
        <v>5.4079279160498164E-2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64761158.119999997</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4681554.82</v>
      </c>
      <c r="J22" s="7" t="s">
        <v>179</v>
      </c>
      <c r="K22" s="30" t="str">
        <f>IF(ISNA(VLOOKUP(封面!B1,'2020决算导出'!A:O,15,FALSE)),"",IF(E22-VLOOKUP(封面!B1,'2020决算导出'!A:O,15,FALSE)&gt;0,"增长","下降"))</f>
        <v>增长</v>
      </c>
      <c r="L22" s="31">
        <f>IF(ISNA(VLOOKUP(封面!B1,'2020决算导出'!A:O,15,FALSE)),"",I22/VLOOKUP(封面!B1,'2020决算导出'!A:O,15,FALSE))</f>
        <v>7.7922532154935192E-2</v>
      </c>
      <c r="M22" s="7" t="s">
        <v>313</v>
      </c>
    </row>
    <row r="23" spans="1:13" ht="63.6" customHeight="1">
      <c r="B23" s="89" t="s">
        <v>482</v>
      </c>
      <c r="C23" s="89"/>
      <c r="D23" s="89"/>
      <c r="E23" s="89"/>
      <c r="F23" s="89"/>
      <c r="G23" s="89"/>
      <c r="H23" s="89"/>
      <c r="I23" s="89"/>
      <c r="J23" s="89"/>
      <c r="K23" s="89"/>
      <c r="L23" s="89"/>
      <c r="M23" s="89"/>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64676158.119999997</v>
      </c>
      <c r="G26" s="83"/>
      <c r="H26" s="7" t="s">
        <v>179</v>
      </c>
      <c r="I26" s="10" t="s">
        <v>196</v>
      </c>
      <c r="J26" s="10"/>
      <c r="K26" s="10"/>
      <c r="L26" s="10"/>
      <c r="M26" s="10"/>
    </row>
    <row r="27" spans="1:13" ht="18" customHeight="1">
      <c r="A27" s="88" t="s">
        <v>199</v>
      </c>
      <c r="B27" s="88"/>
      <c r="C27" s="88"/>
      <c r="D27" s="83">
        <f>_xlfn.IFNA(VLOOKUP(封面!B1,'2021决算导出'!A:Q,17,FALSE),"")</f>
        <v>45330467.990000002</v>
      </c>
      <c r="E27" s="83"/>
      <c r="F27" s="7" t="s">
        <v>179</v>
      </c>
      <c r="G27" s="84" t="s">
        <v>198</v>
      </c>
      <c r="H27" s="84"/>
      <c r="I27" s="29">
        <f>D27/$F$26</f>
        <v>0.7008837461540921</v>
      </c>
      <c r="J27" s="7" t="s">
        <v>315</v>
      </c>
      <c r="K27" s="9"/>
      <c r="L27" s="9"/>
      <c r="M27" s="9"/>
    </row>
    <row r="28" spans="1:13" ht="18" customHeight="1">
      <c r="A28" s="88" t="s">
        <v>200</v>
      </c>
      <c r="B28" s="88"/>
      <c r="C28" s="88"/>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8" t="s">
        <v>197</v>
      </c>
      <c r="B29" s="88"/>
      <c r="C29" s="88"/>
      <c r="D29" s="83">
        <f>_xlfn.IFNA(VLOOKUP(封面!B1,'2021决算导出'!A:S,19,FALSE),"")</f>
        <v>7435257.6399999997</v>
      </c>
      <c r="E29" s="83"/>
      <c r="F29" s="7" t="s">
        <v>179</v>
      </c>
      <c r="G29" s="84" t="s">
        <v>198</v>
      </c>
      <c r="H29" s="84"/>
      <c r="I29" s="29">
        <f t="shared" si="2"/>
        <v>0.11496133747160181</v>
      </c>
      <c r="J29" s="7" t="s">
        <v>315</v>
      </c>
    </row>
    <row r="30" spans="1:13" ht="18" customHeight="1">
      <c r="A30" s="88" t="s">
        <v>201</v>
      </c>
      <c r="B30" s="88"/>
      <c r="C30" s="88"/>
      <c r="D30" s="83">
        <f>_xlfn.IFNA(VLOOKUP(封面!B1,'2021决算导出'!A:T,20,FALSE),"")</f>
        <v>3987080.49</v>
      </c>
      <c r="E30" s="83"/>
      <c r="F30" s="7" t="s">
        <v>179</v>
      </c>
      <c r="G30" s="84" t="s">
        <v>198</v>
      </c>
      <c r="H30" s="84"/>
      <c r="I30" s="29">
        <f t="shared" si="2"/>
        <v>6.1646835648499404E-2</v>
      </c>
      <c r="J30" s="7" t="s">
        <v>315</v>
      </c>
    </row>
    <row r="31" spans="1:13" ht="18" customHeight="1">
      <c r="A31" s="88" t="s">
        <v>202</v>
      </c>
      <c r="B31" s="88"/>
      <c r="C31" s="88"/>
      <c r="D31" s="83">
        <f>_xlfn.IFNA(VLOOKUP(封面!B1,'2021决算导出'!A:U,21,FALSE),"")</f>
        <v>0</v>
      </c>
      <c r="E31" s="83"/>
      <c r="F31" s="7" t="s">
        <v>179</v>
      </c>
      <c r="G31" s="84" t="s">
        <v>198</v>
      </c>
      <c r="H31" s="84"/>
      <c r="I31" s="29">
        <f t="shared" si="2"/>
        <v>0</v>
      </c>
      <c r="J31" s="7" t="s">
        <v>315</v>
      </c>
    </row>
    <row r="32" spans="1:13" ht="18" customHeight="1">
      <c r="A32" s="88" t="s">
        <v>203</v>
      </c>
      <c r="B32" s="88"/>
      <c r="C32" s="88"/>
      <c r="D32" s="83">
        <f>_xlfn.IFNA(VLOOKUP(封面!B1,'2021决算导出'!A:V,22,FALSE),"")</f>
        <v>7923352</v>
      </c>
      <c r="E32" s="83"/>
      <c r="F32" s="7" t="s">
        <v>179</v>
      </c>
      <c r="G32" s="84" t="s">
        <v>198</v>
      </c>
      <c r="H32" s="84"/>
      <c r="I32" s="29">
        <f t="shared" si="2"/>
        <v>0.12250808072580673</v>
      </c>
      <c r="J32" s="7" t="s">
        <v>315</v>
      </c>
    </row>
    <row r="33" spans="1:12" ht="18" customHeight="1">
      <c r="A33" s="7" t="s">
        <v>204</v>
      </c>
    </row>
    <row r="34" spans="1:12" ht="18" customHeight="1">
      <c r="A34" s="86" t="s">
        <v>421</v>
      </c>
      <c r="B34" s="86"/>
      <c r="C34" s="86"/>
      <c r="D34" s="86"/>
      <c r="E34" s="83">
        <f>_xlfn.IFNA(VLOOKUP(封面!B1,一般公共预算财政拨款支出决算具体情况!A:C,3,FALSE),"")</f>
        <v>45330467.990000002</v>
      </c>
      <c r="F34" s="83"/>
      <c r="G34" s="7" t="s">
        <v>179</v>
      </c>
      <c r="H34" s="84" t="s">
        <v>422</v>
      </c>
      <c r="I34" s="84"/>
      <c r="J34" s="83">
        <f>_xlfn.IFNA(VLOOKUP(封面!B1,一般公共预算财政拨款支出决算具体情况!A:D,4,FALSE),"")</f>
        <v>42073937.899999999</v>
      </c>
      <c r="K34" s="83"/>
      <c r="L34" s="11" t="s">
        <v>178</v>
      </c>
    </row>
    <row r="35" spans="1:12" ht="18" customHeight="1">
      <c r="B35" s="15" t="str">
        <f>IF(E34&gt;J34,"增加","减少")</f>
        <v>增加</v>
      </c>
      <c r="C35" s="83">
        <f>ABS(E34-J34)</f>
        <v>3256530.0900000036</v>
      </c>
      <c r="D35" s="83"/>
      <c r="E35" s="7" t="s">
        <v>179</v>
      </c>
      <c r="F35" s="15" t="str">
        <f>IF(E34&gt;J34,"增长","下降")</f>
        <v>增长</v>
      </c>
      <c r="G35" s="34">
        <f>IF(J34=0,IF(E34&gt;0,1,""),C35/J34)</f>
        <v>7.7400173421846588E-2</v>
      </c>
      <c r="H35" s="7" t="s">
        <v>316</v>
      </c>
      <c r="I35" s="11" t="s">
        <v>205</v>
      </c>
    </row>
    <row r="36" spans="1:12" ht="18" customHeight="1">
      <c r="A36" s="88" t="s">
        <v>423</v>
      </c>
      <c r="B36" s="88"/>
      <c r="C36" s="88"/>
      <c r="D36" s="88"/>
      <c r="E36" s="83">
        <f>_xlfn.IFNA(VLOOKUP(封面!B1,一般公共预算财政拨款支出决算具体情况!A:E,5,FALSE),"")</f>
        <v>44819606.990000002</v>
      </c>
      <c r="F36" s="83"/>
      <c r="G36" s="7" t="s">
        <v>179</v>
      </c>
      <c r="H36" s="84" t="s">
        <v>422</v>
      </c>
      <c r="I36" s="84"/>
      <c r="J36" s="83">
        <f>_xlfn.IFNA(VLOOKUP(封面!B1,一般公共预算财政拨款支出决算具体情况!A:F,6,FALSE),"")</f>
        <v>41453517.899999999</v>
      </c>
      <c r="K36" s="83"/>
      <c r="L36" s="11" t="s">
        <v>178</v>
      </c>
    </row>
    <row r="37" spans="1:12" ht="18" customHeight="1">
      <c r="A37" s="15"/>
      <c r="B37" s="15" t="str">
        <f>IF(E36&gt;J36,"增加","减少")</f>
        <v>增加</v>
      </c>
      <c r="C37" s="83">
        <f>ABS(E36-J36)</f>
        <v>3366089.0900000036</v>
      </c>
      <c r="D37" s="83"/>
      <c r="E37" s="7" t="s">
        <v>179</v>
      </c>
      <c r="F37" s="15" t="str">
        <f>IF(E36&gt;J36,"增长","下降")</f>
        <v>增长</v>
      </c>
      <c r="G37" s="34">
        <f>IF(J36=0,IF(E36&gt;0,1,""),C37/J36)</f>
        <v>8.1201530304862352E-2</v>
      </c>
      <c r="H37" s="7" t="s">
        <v>316</v>
      </c>
    </row>
    <row r="38" spans="1:12" ht="61.5" customHeight="1">
      <c r="B38" s="87" t="s">
        <v>478</v>
      </c>
      <c r="C38" s="87"/>
      <c r="D38" s="87"/>
      <c r="E38" s="87"/>
      <c r="F38" s="87"/>
      <c r="G38" s="87"/>
      <c r="H38" s="87"/>
      <c r="I38" s="87"/>
      <c r="J38" s="87"/>
      <c r="K38" s="87"/>
      <c r="L38" s="87"/>
    </row>
    <row r="39" spans="1:12" ht="18" customHeight="1">
      <c r="A39" s="88" t="s">
        <v>424</v>
      </c>
      <c r="B39" s="88"/>
      <c r="C39" s="88"/>
      <c r="D39" s="88"/>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8" t="s">
        <v>425</v>
      </c>
      <c r="B41" s="88"/>
      <c r="C41" s="88"/>
      <c r="D41" s="88"/>
      <c r="E41" s="83">
        <f>_xlfn.IFNA(VLOOKUP(封面!B1,一般公共预算财政拨款支出决算具体情况!A:I,9,FALSE),"")</f>
        <v>0</v>
      </c>
      <c r="F41" s="83"/>
      <c r="G41" s="7" t="s">
        <v>179</v>
      </c>
      <c r="H41" s="84" t="s">
        <v>422</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8" t="s">
        <v>426</v>
      </c>
      <c r="B43" s="88"/>
      <c r="C43" s="88"/>
      <c r="D43" s="88"/>
      <c r="E43" s="83">
        <f>_xlfn.IFNA(VLOOKUP(封面!B1,一般公共预算财政拨款支出决算具体情况!A:K,11,FALSE),"")</f>
        <v>0</v>
      </c>
      <c r="F43" s="83"/>
      <c r="G43" s="7" t="s">
        <v>179</v>
      </c>
      <c r="H43" s="84" t="s">
        <v>422</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8" t="s">
        <v>427</v>
      </c>
      <c r="B45" s="88"/>
      <c r="C45" s="88"/>
      <c r="D45" s="88"/>
      <c r="E45" s="83">
        <f>_xlfn.IFNA(VLOOKUP(封面!B1,一般公共预算财政拨款支出决算具体情况!A:M,13,FALSE),"")</f>
        <v>7130</v>
      </c>
      <c r="F45" s="83"/>
      <c r="G45" s="7" t="s">
        <v>179</v>
      </c>
      <c r="H45" s="84" t="s">
        <v>422</v>
      </c>
      <c r="I45" s="84"/>
      <c r="J45" s="83">
        <f>_xlfn.IFNA(VLOOKUP(封面!B1,一般公共预算财政拨款支出决算具体情况!A:N,14,FALSE),"")</f>
        <v>114920</v>
      </c>
      <c r="K45" s="83"/>
      <c r="L45" s="11" t="s">
        <v>178</v>
      </c>
    </row>
    <row r="46" spans="1:12" ht="18" customHeight="1">
      <c r="A46" s="15"/>
      <c r="B46" s="15" t="str">
        <f>IF(E45&gt;J45,"增加","减少")</f>
        <v>减少</v>
      </c>
      <c r="C46" s="83">
        <f>ABS(E45-J45)</f>
        <v>107790</v>
      </c>
      <c r="D46" s="83"/>
      <c r="E46" s="7" t="s">
        <v>179</v>
      </c>
      <c r="F46" s="15" t="str">
        <f>IF(E45&gt;J45,"增长","下降")</f>
        <v>下降</v>
      </c>
      <c r="G46" s="34">
        <f>IF(J45=0,IF(E45&gt;0,1,""),C46/J45)</f>
        <v>0.93795683954054998</v>
      </c>
      <c r="H46" s="7" t="s">
        <v>316</v>
      </c>
    </row>
    <row r="47" spans="1:12" ht="36" customHeight="1">
      <c r="B47" s="87" t="s">
        <v>479</v>
      </c>
      <c r="C47" s="87"/>
      <c r="D47" s="87"/>
      <c r="E47" s="87"/>
      <c r="F47" s="87"/>
      <c r="G47" s="87"/>
      <c r="H47" s="87"/>
      <c r="I47" s="87"/>
      <c r="J47" s="87"/>
      <c r="K47" s="87"/>
      <c r="L47" s="87"/>
    </row>
    <row r="48" spans="1:12" ht="18" customHeight="1">
      <c r="A48" s="85" t="s">
        <v>428</v>
      </c>
      <c r="B48" s="85"/>
      <c r="C48" s="85"/>
      <c r="D48" s="85"/>
      <c r="E48" s="83">
        <f>_xlfn.IFNA(VLOOKUP(封面!B1,一般公共预算财政拨款支出决算具体情况!A:O,15,FALSE),"")</f>
        <v>503731</v>
      </c>
      <c r="F48" s="83"/>
      <c r="G48" s="7" t="s">
        <v>179</v>
      </c>
      <c r="H48" s="84" t="s">
        <v>422</v>
      </c>
      <c r="I48" s="84"/>
      <c r="J48" s="83">
        <f>_xlfn.IFNA(VLOOKUP(封面!B1,一般公共预算财政拨款支出决算具体情况!A:P,16,FALSE),"")</f>
        <v>505500</v>
      </c>
      <c r="K48" s="83"/>
      <c r="L48" s="11" t="s">
        <v>178</v>
      </c>
    </row>
    <row r="49" spans="1:12" ht="18" customHeight="1">
      <c r="A49" s="15"/>
      <c r="B49" s="15" t="str">
        <f>IF(E48&gt;J48,"增加","减少")</f>
        <v>减少</v>
      </c>
      <c r="C49" s="83">
        <f>ABS(E48-J48)</f>
        <v>1769</v>
      </c>
      <c r="D49" s="83"/>
      <c r="E49" s="7" t="s">
        <v>179</v>
      </c>
      <c r="F49" s="15" t="str">
        <f>IF(E48&gt;J48,"增长","下降")</f>
        <v>下降</v>
      </c>
      <c r="G49" s="34">
        <f>IF(J48=0,IF(E48&gt;0,1,""),C49/J48)</f>
        <v>3.4995054401582592E-3</v>
      </c>
      <c r="H49" s="7" t="s">
        <v>316</v>
      </c>
    </row>
    <row r="50" spans="1:12" ht="36" customHeight="1">
      <c r="B50" s="87" t="s">
        <v>486</v>
      </c>
      <c r="C50" s="87"/>
      <c r="D50" s="87"/>
      <c r="E50" s="87"/>
      <c r="F50" s="87"/>
      <c r="G50" s="87"/>
      <c r="H50" s="87"/>
      <c r="I50" s="87"/>
      <c r="J50" s="87"/>
      <c r="K50" s="87"/>
      <c r="L50" s="87"/>
    </row>
    <row r="51" spans="1:12" ht="18" customHeight="1">
      <c r="A51" s="90" t="s">
        <v>429</v>
      </c>
      <c r="B51" s="90"/>
      <c r="C51" s="90"/>
      <c r="D51" s="90"/>
      <c r="E51" s="83">
        <f>_xlfn.IFNA(VLOOKUP(封面!B1,一般公共预算财政拨款支出决算具体情况!A:Q,17,FALSE),"")</f>
        <v>0</v>
      </c>
      <c r="F51" s="83"/>
      <c r="G51" s="7" t="s">
        <v>179</v>
      </c>
      <c r="H51" s="86" t="s">
        <v>430</v>
      </c>
      <c r="I51" s="86"/>
      <c r="J51" s="86"/>
      <c r="K51" s="86"/>
      <c r="L51" s="11"/>
    </row>
    <row r="52" spans="1:12" ht="18" customHeight="1">
      <c r="A52" s="85" t="s">
        <v>472</v>
      </c>
      <c r="B52" s="85"/>
      <c r="C52" s="85"/>
      <c r="D52" s="85"/>
      <c r="E52" s="83">
        <f>_xlfn.IFNA(VLOOKUP(封面!B1,一般公共预算财政拨款支出决算具体情况!A:S,19,FALSE),"")</f>
        <v>0</v>
      </c>
      <c r="F52" s="83"/>
      <c r="G52" s="7" t="s">
        <v>179</v>
      </c>
      <c r="H52" s="86" t="s">
        <v>432</v>
      </c>
      <c r="I52" s="86"/>
      <c r="J52" s="86"/>
      <c r="K52" s="86"/>
      <c r="L52" s="11"/>
    </row>
    <row r="53" spans="1:12" ht="18" customHeight="1">
      <c r="A53" s="88" t="s">
        <v>431</v>
      </c>
      <c r="B53" s="88"/>
      <c r="C53" s="88"/>
      <c r="D53" s="88"/>
      <c r="E53" s="83">
        <f>_xlfn.IFNA(VLOOKUP(封面!B1,一般公共预算财政拨款支出决算具体情况!A:U,21,FALSE),"")</f>
        <v>0</v>
      </c>
      <c r="F53" s="83"/>
      <c r="G53" s="7" t="s">
        <v>179</v>
      </c>
      <c r="H53" s="86" t="s">
        <v>432</v>
      </c>
      <c r="I53" s="86"/>
      <c r="J53" s="86"/>
      <c r="K53" s="86"/>
      <c r="L53" s="11"/>
    </row>
    <row r="54" spans="1:12" ht="18" customHeight="1">
      <c r="A54" s="90" t="s">
        <v>433</v>
      </c>
      <c r="B54" s="90"/>
      <c r="C54" s="90"/>
      <c r="D54" s="90"/>
      <c r="E54" s="83">
        <f>_xlfn.IFNA(VLOOKUP(封面!B1,一般公共预算财政拨款支出决算具体情况!A:W,23,FALSE),"")</f>
        <v>7435257.6399999997</v>
      </c>
      <c r="F54" s="83"/>
      <c r="G54" s="7" t="s">
        <v>179</v>
      </c>
      <c r="H54" s="84" t="s">
        <v>422</v>
      </c>
      <c r="I54" s="84"/>
      <c r="J54" s="83">
        <f>_xlfn.IFNA(VLOOKUP(封面!B1,一般公共预算财政拨款支出决算具体情况!A:X,24,FALSE),"")</f>
        <v>8520348.1999999993</v>
      </c>
      <c r="K54" s="83"/>
      <c r="L54" s="11" t="s">
        <v>178</v>
      </c>
    </row>
    <row r="55" spans="1:12" ht="18" customHeight="1">
      <c r="B55" s="15" t="str">
        <f>IF(E54&gt;J54,"增加","减少")</f>
        <v>减少</v>
      </c>
      <c r="C55" s="83">
        <f>ABS(E54-J54)</f>
        <v>1085090.5599999996</v>
      </c>
      <c r="D55" s="83"/>
      <c r="E55" s="7" t="s">
        <v>179</v>
      </c>
      <c r="F55" s="15" t="str">
        <f>IF(E54&gt;J54,"增长","下降")</f>
        <v>下降</v>
      </c>
      <c r="G55" s="34">
        <f>IF(J54=0,IF(E54&gt;0,1,""),C55/J54)</f>
        <v>0.12735284222304433</v>
      </c>
      <c r="H55" s="7" t="s">
        <v>316</v>
      </c>
      <c r="I55" s="11" t="s">
        <v>205</v>
      </c>
    </row>
    <row r="56" spans="1:12" ht="18" customHeight="1">
      <c r="A56" s="85" t="s">
        <v>434</v>
      </c>
      <c r="B56" s="85"/>
      <c r="C56" s="85"/>
      <c r="D56" s="85"/>
      <c r="E56" s="83">
        <f>_xlfn.IFNA(VLOOKUP(封面!B1,一般公共预算财政拨款支出决算具体情况!A:Y,25,FALSE),"")</f>
        <v>7435257.6399999997</v>
      </c>
      <c r="F56" s="83"/>
      <c r="G56" s="7" t="s">
        <v>179</v>
      </c>
      <c r="H56" s="84" t="s">
        <v>422</v>
      </c>
      <c r="I56" s="84"/>
      <c r="J56" s="83">
        <f>_xlfn.IFNA(VLOOKUP(封面!B1,一般公共预算财政拨款支出决算具体情况!A:Z,26,FALSE),"")</f>
        <v>8520348.1999999993</v>
      </c>
      <c r="K56" s="83"/>
      <c r="L56" s="11" t="s">
        <v>178</v>
      </c>
    </row>
    <row r="57" spans="1:12" ht="18" customHeight="1">
      <c r="A57" s="15"/>
      <c r="B57" s="15" t="str">
        <f>IF(E56&gt;J56,"增加","减少")</f>
        <v>减少</v>
      </c>
      <c r="C57" s="83">
        <f>ABS(E56-J56)</f>
        <v>1085090.5599999996</v>
      </c>
      <c r="D57" s="83"/>
      <c r="E57" s="7" t="s">
        <v>179</v>
      </c>
      <c r="F57" s="15" t="str">
        <f>IF(E56&gt;J56,"增长","下降")</f>
        <v>下降</v>
      </c>
      <c r="G57" s="34">
        <f>IF(J56=0,IF(E56&gt;0,1,""),C57/J56)</f>
        <v>0.12735284222304433</v>
      </c>
      <c r="H57" s="7" t="s">
        <v>316</v>
      </c>
    </row>
    <row r="58" spans="1:12" ht="36" customHeight="1">
      <c r="B58" s="87" t="s">
        <v>480</v>
      </c>
      <c r="C58" s="87"/>
      <c r="D58" s="87"/>
      <c r="E58" s="87"/>
      <c r="F58" s="87"/>
      <c r="G58" s="87"/>
      <c r="H58" s="87"/>
      <c r="I58" s="87"/>
      <c r="J58" s="87"/>
      <c r="K58" s="87"/>
      <c r="L58" s="87"/>
    </row>
    <row r="59" spans="1:12" ht="18" customHeight="1">
      <c r="A59" s="85" t="s">
        <v>435</v>
      </c>
      <c r="B59" s="85"/>
      <c r="C59" s="85"/>
      <c r="D59" s="85"/>
      <c r="E59" s="83">
        <f>_xlfn.IFNA(VLOOKUP(封面!B1,一般公共预算财政拨款支出决算具体情况!A:AA,27,FALSE),"")</f>
        <v>0</v>
      </c>
      <c r="F59" s="83"/>
      <c r="G59" s="7" t="s">
        <v>179</v>
      </c>
      <c r="H59" s="84" t="s">
        <v>432</v>
      </c>
      <c r="I59" s="84"/>
      <c r="J59" s="83"/>
      <c r="K59" s="83"/>
      <c r="L59" s="11"/>
    </row>
    <row r="60" spans="1:12" ht="18" customHeight="1">
      <c r="A60" s="90" t="s">
        <v>436</v>
      </c>
      <c r="B60" s="90"/>
      <c r="C60" s="90"/>
      <c r="D60" s="90"/>
      <c r="E60" s="83">
        <f>_xlfn.IFNA(VLOOKUP(封面!B1,一般公共预算财政拨款支出决算具体情况!A:AC,29,FALSE),"")</f>
        <v>3987080.49</v>
      </c>
      <c r="F60" s="83"/>
      <c r="G60" s="7" t="s">
        <v>179</v>
      </c>
      <c r="H60" s="84" t="s">
        <v>422</v>
      </c>
      <c r="I60" s="84"/>
      <c r="J60" s="83">
        <f>_xlfn.IFNA(VLOOKUP(封面!B1,一般公共预算财政拨款支出决算具体情况!A:AD,30,FALSE),"")</f>
        <v>4012254.7</v>
      </c>
      <c r="K60" s="83"/>
      <c r="L60" s="11" t="s">
        <v>178</v>
      </c>
    </row>
    <row r="61" spans="1:12" ht="18" customHeight="1">
      <c r="B61" s="15" t="str">
        <f>IF(E60&gt;J60,"增加","减少")</f>
        <v>减少</v>
      </c>
      <c r="C61" s="83">
        <f>ABS(E60-J60)</f>
        <v>25174.209999999963</v>
      </c>
      <c r="D61" s="83"/>
      <c r="E61" s="7" t="s">
        <v>179</v>
      </c>
      <c r="F61" s="15" t="str">
        <f>IF(E60&gt;J60,"增长","下降")</f>
        <v>下降</v>
      </c>
      <c r="G61" s="34">
        <f>IF(J60=0,IF(E60&gt;0,1,""),C61/J60)</f>
        <v>6.2743299920615609E-3</v>
      </c>
      <c r="H61" s="7" t="s">
        <v>316</v>
      </c>
      <c r="I61" s="11" t="s">
        <v>205</v>
      </c>
    </row>
    <row r="62" spans="1:12" ht="18" customHeight="1">
      <c r="A62" s="85" t="s">
        <v>437</v>
      </c>
      <c r="B62" s="85"/>
      <c r="C62" s="85"/>
      <c r="D62" s="85"/>
      <c r="E62" s="83">
        <f>_xlfn.IFNA(VLOOKUP(封面!B1,一般公共预算财政拨款支出决算具体情况!A:AE,31,FALSE),"")</f>
        <v>3987080.49</v>
      </c>
      <c r="F62" s="83"/>
      <c r="G62" s="7" t="s">
        <v>179</v>
      </c>
      <c r="H62" s="84" t="s">
        <v>422</v>
      </c>
      <c r="I62" s="84"/>
      <c r="J62" s="83">
        <f>_xlfn.IFNA(VLOOKUP(封面!B1,一般公共预算财政拨款支出决算具体情况!A:AF,32,FALSE),"")</f>
        <v>4012254.7</v>
      </c>
      <c r="K62" s="83"/>
      <c r="L62" s="11" t="s">
        <v>178</v>
      </c>
    </row>
    <row r="63" spans="1:12" ht="18" customHeight="1">
      <c r="A63" s="15"/>
      <c r="B63" s="15" t="str">
        <f>IF(E62&gt;J62,"增加","减少")</f>
        <v>减少</v>
      </c>
      <c r="C63" s="83">
        <f>ABS(E62-J62)</f>
        <v>25174.209999999963</v>
      </c>
      <c r="D63" s="83"/>
      <c r="E63" s="7" t="s">
        <v>179</v>
      </c>
      <c r="F63" s="15" t="str">
        <f>IF(E62&gt;J62,"增长","下降")</f>
        <v>下降</v>
      </c>
      <c r="G63" s="34">
        <f>IF(J62=0,IF(E62&gt;0,1,""),C63/J62)</f>
        <v>6.2743299920615609E-3</v>
      </c>
      <c r="H63" s="7" t="s">
        <v>316</v>
      </c>
    </row>
    <row r="64" spans="1:12" ht="36" customHeight="1">
      <c r="B64" s="87" t="s">
        <v>481</v>
      </c>
      <c r="C64" s="87"/>
      <c r="D64" s="87"/>
      <c r="E64" s="87"/>
      <c r="F64" s="87"/>
      <c r="G64" s="87"/>
      <c r="H64" s="87"/>
      <c r="I64" s="87"/>
      <c r="J64" s="87"/>
      <c r="K64" s="87"/>
      <c r="L64" s="87"/>
    </row>
    <row r="65" spans="1:13" ht="18" customHeight="1">
      <c r="A65" s="90" t="s">
        <v>438</v>
      </c>
      <c r="B65" s="90"/>
      <c r="C65" s="90"/>
      <c r="D65" s="90"/>
      <c r="E65" s="83">
        <f>_xlfn.IFNA(VLOOKUP(封面!B1,一般公共预算财政拨款支出决算具体情况!A:AG,33,FALSE),"")</f>
        <v>0</v>
      </c>
      <c r="F65" s="83"/>
      <c r="G65" s="7" t="s">
        <v>179</v>
      </c>
      <c r="H65" s="84" t="s">
        <v>422</v>
      </c>
      <c r="I65" s="84"/>
      <c r="J65" s="83">
        <f>_xlfn.IFNA(VLOOKUP(封面!B1,一般公共预算财政拨款支出决算具体情况!A:AH,34,FALSE),"")</f>
        <v>0</v>
      </c>
      <c r="K65" s="83"/>
      <c r="L65" s="11" t="s">
        <v>178</v>
      </c>
    </row>
    <row r="66" spans="1:13" ht="18" customHeight="1">
      <c r="B66" s="15" t="str">
        <f>IF(E65&gt;J65,"增加","减少")</f>
        <v>减少</v>
      </c>
      <c r="C66" s="83">
        <f>ABS(E65-J65)</f>
        <v>0</v>
      </c>
      <c r="D66" s="83"/>
      <c r="E66" s="7" t="s">
        <v>179</v>
      </c>
      <c r="F66" s="15" t="str">
        <f>IF(E65&gt;J65,"增长","下降")</f>
        <v>下降</v>
      </c>
      <c r="G66" s="34" t="str">
        <f>IF(J65=0,IF(E65&gt;0,1,""),C66/J65)</f>
        <v/>
      </c>
      <c r="H66" s="7" t="s">
        <v>313</v>
      </c>
      <c r="I66" s="11" t="s">
        <v>205</v>
      </c>
    </row>
    <row r="67" spans="1:13" ht="18" customHeight="1">
      <c r="A67" s="85" t="s">
        <v>439</v>
      </c>
      <c r="B67" s="85"/>
      <c r="C67" s="85"/>
      <c r="D67" s="85"/>
      <c r="E67" s="83">
        <f>_xlfn.IFNA(VLOOKUP(封面!B1,一般公共预算财政拨款支出决算具体情况!A:AI,35,FALSE),"")</f>
        <v>0</v>
      </c>
      <c r="F67" s="83"/>
      <c r="G67" s="7" t="s">
        <v>179</v>
      </c>
      <c r="H67" s="84" t="s">
        <v>422</v>
      </c>
      <c r="I67" s="84"/>
      <c r="J67" s="83">
        <f>_xlfn.IFNA(VLOOKUP(封面!B1,一般公共预算财政拨款支出决算具体情况!A:AJ,36,FALSE),"")</f>
        <v>0</v>
      </c>
      <c r="K67" s="83"/>
      <c r="L67" s="11" t="s">
        <v>178</v>
      </c>
    </row>
    <row r="68" spans="1:13" ht="18" customHeight="1">
      <c r="A68" s="58"/>
      <c r="B68" s="15" t="str">
        <f>IF(E67&gt;J67,"增加","减少")</f>
        <v>减少</v>
      </c>
      <c r="C68" s="83">
        <f>ABS(E67-J67)</f>
        <v>0</v>
      </c>
      <c r="D68" s="83"/>
      <c r="E68" s="7" t="s">
        <v>179</v>
      </c>
      <c r="F68" s="15" t="str">
        <f>IF(E67&gt;J67,"增长","下降")</f>
        <v>下降</v>
      </c>
      <c r="G68" s="34" t="str">
        <f>IF(J67=0,IF(E67&gt;0,1,""),C68/J67)</f>
        <v/>
      </c>
      <c r="H68" s="7" t="s">
        <v>313</v>
      </c>
      <c r="I68" s="57"/>
      <c r="J68" s="56"/>
      <c r="K68" s="56"/>
      <c r="L68" s="11"/>
    </row>
    <row r="69" spans="1:13" ht="18" customHeight="1">
      <c r="A69" s="90" t="s">
        <v>473</v>
      </c>
      <c r="B69" s="90"/>
      <c r="C69" s="90"/>
      <c r="D69" s="90"/>
      <c r="E69" s="83">
        <f>_xlfn.IFNA(VLOOKUP(封面!B1,一般公共预算财政拨款支出决算具体情况!A:AK,37,FALSE),"")</f>
        <v>7923352</v>
      </c>
      <c r="F69" s="83"/>
      <c r="G69" s="7" t="s">
        <v>179</v>
      </c>
      <c r="H69" s="84" t="s">
        <v>422</v>
      </c>
      <c r="I69" s="84"/>
      <c r="J69" s="83">
        <f>_xlfn.IFNA(VLOOKUP(封面!B1,一般公共预算财政拨款支出决算具体情况!A:AL,38,FALSE),"")</f>
        <v>7513726.7999999998</v>
      </c>
      <c r="K69" s="83"/>
      <c r="L69" s="11" t="s">
        <v>178</v>
      </c>
    </row>
    <row r="70" spans="1:13" ht="18" customHeight="1">
      <c r="B70" s="15" t="str">
        <f>IF(E69&gt;J69,"增加","减少")</f>
        <v>增加</v>
      </c>
      <c r="C70" s="83">
        <f>ABS(E69-J69)</f>
        <v>409625.20000000019</v>
      </c>
      <c r="D70" s="83"/>
      <c r="E70" s="7" t="s">
        <v>179</v>
      </c>
      <c r="F70" s="15" t="str">
        <f>IF(E69&gt;J69,"增长","下降")</f>
        <v>增长</v>
      </c>
      <c r="G70" s="34">
        <f>IF(J69=0,IF(E69&gt;0,1,""),C70/J69)</f>
        <v>5.4516914296112044E-2</v>
      </c>
      <c r="H70" s="7" t="s">
        <v>316</v>
      </c>
      <c r="I70" s="11" t="s">
        <v>205</v>
      </c>
    </row>
    <row r="71" spans="1:13" ht="18" customHeight="1">
      <c r="A71" s="85" t="s">
        <v>440</v>
      </c>
      <c r="B71" s="85"/>
      <c r="C71" s="85"/>
      <c r="D71" s="85"/>
      <c r="E71" s="83">
        <f>_xlfn.IFNA(VLOOKUP(封面!B1,一般公共预算财政拨款支出决算具体情况!A:AM,39,FALSE),"")</f>
        <v>7923352</v>
      </c>
      <c r="F71" s="83"/>
      <c r="G71" s="7" t="s">
        <v>179</v>
      </c>
      <c r="H71" s="84" t="s">
        <v>422</v>
      </c>
      <c r="I71" s="84"/>
      <c r="J71" s="83">
        <f>_xlfn.IFNA(VLOOKUP(封面!B1,一般公共预算财政拨款支出决算具体情况!A:AN,40,FALSE),"")</f>
        <v>7513726.7999999998</v>
      </c>
      <c r="K71" s="83"/>
      <c r="L71" s="11" t="s">
        <v>178</v>
      </c>
    </row>
    <row r="72" spans="1:13" ht="18" customHeight="1">
      <c r="A72" s="15"/>
      <c r="B72" s="15" t="str">
        <f>IF(E71&gt;J71,"增加","减少")</f>
        <v>增加</v>
      </c>
      <c r="C72" s="83">
        <f>ABS(E71-J71)</f>
        <v>409625.20000000019</v>
      </c>
      <c r="D72" s="83"/>
      <c r="E72" s="7" t="s">
        <v>179</v>
      </c>
      <c r="F72" s="15" t="str">
        <f>IF(E71&gt;J71,"增长","下降")</f>
        <v>增长</v>
      </c>
      <c r="G72" s="34">
        <f>IF(J71=0,IF(E71&gt;0,1,""),C72/J71)</f>
        <v>5.4516914296112044E-2</v>
      </c>
      <c r="H72" s="7" t="s">
        <v>316</v>
      </c>
    </row>
    <row r="73" spans="1:13" ht="36" customHeight="1">
      <c r="B73" s="87" t="s">
        <v>484</v>
      </c>
      <c r="C73" s="87"/>
      <c r="D73" s="87"/>
      <c r="E73" s="87"/>
      <c r="F73" s="87"/>
      <c r="G73" s="87"/>
      <c r="H73" s="87"/>
      <c r="I73" s="87"/>
      <c r="J73" s="87"/>
      <c r="K73" s="87"/>
      <c r="L73" s="87"/>
    </row>
    <row r="74" spans="1:13" ht="18" customHeight="1">
      <c r="A74" s="6" t="s">
        <v>206</v>
      </c>
    </row>
    <row r="75" spans="1:13" ht="18" customHeight="1">
      <c r="A75" s="7" t="str">
        <f>IF(_xlfn.IFNA(VLOOKUP(封面!B1,'2021决算导出'!A:W,23,FALSE),"")=0,"本年度无此项支出。","")</f>
        <v>本年度无此项支出。</v>
      </c>
    </row>
    <row r="76" spans="1:13" ht="18" customHeight="1">
      <c r="A76" s="7" t="s">
        <v>207</v>
      </c>
    </row>
    <row r="77" spans="1:13" ht="18" customHeight="1">
      <c r="A77" s="88" t="s">
        <v>441</v>
      </c>
      <c r="B77" s="88"/>
      <c r="C77" s="88"/>
      <c r="D77" s="88"/>
      <c r="E77" s="88"/>
      <c r="F77" s="83">
        <f>_xlfn.IFNA(VLOOKUP(封面!B1,'2021决算导出'!A:W,23,FALSE),"")</f>
        <v>0</v>
      </c>
      <c r="G77" s="83"/>
      <c r="H77" s="7" t="s">
        <v>179</v>
      </c>
      <c r="I77" s="86" t="s">
        <v>196</v>
      </c>
      <c r="J77" s="86"/>
      <c r="K77" s="86"/>
      <c r="L77" s="86"/>
      <c r="M77" s="86"/>
    </row>
    <row r="78" spans="1:13" ht="18" customHeight="1">
      <c r="A78" s="88" t="s">
        <v>208</v>
      </c>
      <c r="B78" s="88"/>
      <c r="C78" s="88"/>
      <c r="D78" s="83">
        <f>_xlfn.IFNA(VLOOKUP(封面!B1,'2021决算导出'!A:Y,25,FALSE),"")</f>
        <v>0</v>
      </c>
      <c r="E78" s="83"/>
      <c r="F78" s="7" t="s">
        <v>179</v>
      </c>
      <c r="G78" s="84" t="s">
        <v>198</v>
      </c>
      <c r="H78" s="84"/>
      <c r="I78" s="13">
        <v>100</v>
      </c>
      <c r="J78" s="7" t="s">
        <v>183</v>
      </c>
      <c r="K78" s="9"/>
      <c r="L78" s="9"/>
      <c r="M78" s="9"/>
    </row>
    <row r="79" spans="1:13" ht="18" customHeight="1">
      <c r="A79" s="7" t="s">
        <v>209</v>
      </c>
    </row>
    <row r="80" spans="1:13" ht="18" customHeight="1">
      <c r="A80" s="86" t="s">
        <v>442</v>
      </c>
      <c r="B80" s="86"/>
      <c r="C80" s="86"/>
      <c r="D80" s="86"/>
      <c r="E80" s="83">
        <f>_xlfn.IFNA(VLOOKUP(封面!B1,'2021决算导出'!A:Y,25,FALSE),"")</f>
        <v>0</v>
      </c>
      <c r="F80" s="83"/>
      <c r="G80" s="7" t="s">
        <v>179</v>
      </c>
      <c r="H80" s="84" t="s">
        <v>422</v>
      </c>
      <c r="I80" s="84"/>
      <c r="J80" s="83">
        <f>_xlfn.IFNA(VLOOKUP(封面!B1,'2021决算导出'!A:Z,26,FALSE),"")</f>
        <v>0</v>
      </c>
      <c r="K80" s="83"/>
      <c r="L80" s="11" t="s">
        <v>178</v>
      </c>
    </row>
    <row r="81" spans="1:13" ht="18" customHeight="1">
      <c r="B81" s="15" t="str">
        <f>IF(E80&gt;J80,"增加","减少")</f>
        <v>减少</v>
      </c>
      <c r="C81" s="83">
        <f>ABS(E80-J80)</f>
        <v>0</v>
      </c>
      <c r="D81" s="83"/>
      <c r="E81" s="7" t="s">
        <v>179</v>
      </c>
      <c r="F81" s="15" t="str">
        <f>IF(E80&gt;J80,"增长","下降")</f>
        <v>下降</v>
      </c>
      <c r="G81" s="34" t="str">
        <f>IF(J80=0,IF(E80&gt;0,1,""),C81/J80)</f>
        <v/>
      </c>
      <c r="H81" s="7" t="s">
        <v>316</v>
      </c>
      <c r="I81" s="11" t="s">
        <v>205</v>
      </c>
    </row>
    <row r="82" spans="1:13" ht="18" customHeight="1">
      <c r="A82" s="85" t="s">
        <v>443</v>
      </c>
      <c r="B82" s="85"/>
      <c r="C82" s="85"/>
      <c r="D82" s="85"/>
      <c r="E82" s="83">
        <f>E80</f>
        <v>0</v>
      </c>
      <c r="F82" s="83"/>
      <c r="G82" s="7" t="s">
        <v>179</v>
      </c>
      <c r="H82" s="84" t="s">
        <v>422</v>
      </c>
      <c r="I82" s="84"/>
      <c r="J82" s="83">
        <f>J80</f>
        <v>0</v>
      </c>
      <c r="K82" s="83"/>
      <c r="L82" s="11" t="s">
        <v>178</v>
      </c>
    </row>
    <row r="83" spans="1:13" ht="18" customHeight="1">
      <c r="A83" s="15"/>
      <c r="B83" s="15" t="str">
        <f>B81</f>
        <v>减少</v>
      </c>
      <c r="C83" s="83">
        <f>C81</f>
        <v>0</v>
      </c>
      <c r="D83" s="83"/>
      <c r="E83" s="7" t="s">
        <v>179</v>
      </c>
      <c r="F83" s="15" t="str">
        <f>F81</f>
        <v>下降</v>
      </c>
      <c r="G83" s="34" t="str">
        <f>IF(J82=0,IF(E82&gt;0,1,""),C83/J82)</f>
        <v/>
      </c>
      <c r="H83" s="7" t="s">
        <v>316</v>
      </c>
    </row>
    <row r="84" spans="1:13" ht="18" customHeight="1">
      <c r="A84" s="6" t="s">
        <v>210</v>
      </c>
    </row>
    <row r="85" spans="1:13" ht="18" customHeight="1">
      <c r="A85" s="7" t="s">
        <v>211</v>
      </c>
    </row>
    <row r="86" spans="1:13" ht="18" customHeight="1">
      <c r="A86" s="6" t="s">
        <v>212</v>
      </c>
    </row>
    <row r="87" spans="1:13" ht="18" customHeight="1">
      <c r="A87" s="7" t="s">
        <v>444</v>
      </c>
      <c r="G87" s="83">
        <f>_xlfn.IFNA(VLOOKUP(封面!B1,'2021决算导出'!A:AA,27,FALSE),"")</f>
        <v>61178518.109999999</v>
      </c>
      <c r="H87" s="83"/>
      <c r="I87" s="11" t="s">
        <v>179</v>
      </c>
    </row>
    <row r="88" spans="1:13" ht="130.19999999999999" customHeight="1">
      <c r="A88" s="87" t="s">
        <v>213</v>
      </c>
      <c r="B88" s="87"/>
      <c r="C88" s="87"/>
      <c r="D88" s="87"/>
      <c r="E88" s="87"/>
      <c r="F88" s="87"/>
      <c r="G88" s="87"/>
      <c r="H88" s="87"/>
      <c r="I88" s="87"/>
      <c r="J88" s="87"/>
      <c r="K88" s="87"/>
      <c r="L88" s="87"/>
      <c r="M88" s="87"/>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G87:H87"/>
    <mergeCell ref="A88:M88"/>
    <mergeCell ref="A4:M4"/>
    <mergeCell ref="A80:D80"/>
    <mergeCell ref="E80:F80"/>
    <mergeCell ref="H80:I80"/>
    <mergeCell ref="J80:K80"/>
    <mergeCell ref="C81:D81"/>
    <mergeCell ref="A82:D82"/>
    <mergeCell ref="E82:F82"/>
    <mergeCell ref="H82:I82"/>
    <mergeCell ref="J82:K82"/>
    <mergeCell ref="B73:L73"/>
    <mergeCell ref="A77:E77"/>
    <mergeCell ref="F77:G77"/>
    <mergeCell ref="I77:M77"/>
    <mergeCell ref="A78:C78"/>
    <mergeCell ref="D78:E78"/>
    <mergeCell ref="G78:H78"/>
    <mergeCell ref="C70:D70"/>
    <mergeCell ref="A71:D71"/>
    <mergeCell ref="E71:F71"/>
    <mergeCell ref="H71:I71"/>
    <mergeCell ref="J71:K71"/>
    <mergeCell ref="C83:D83"/>
    <mergeCell ref="E56:F56"/>
    <mergeCell ref="H56:I56"/>
    <mergeCell ref="J56:K56"/>
    <mergeCell ref="C57:D57"/>
    <mergeCell ref="C68:D68"/>
    <mergeCell ref="C66:D66"/>
    <mergeCell ref="H67:I67"/>
    <mergeCell ref="J67:K67"/>
    <mergeCell ref="A60:D60"/>
    <mergeCell ref="E60:F60"/>
    <mergeCell ref="H60:I60"/>
    <mergeCell ref="J60:K60"/>
    <mergeCell ref="C61:D61"/>
    <mergeCell ref="B58:L58"/>
    <mergeCell ref="A59:D59"/>
    <mergeCell ref="H53:K53"/>
    <mergeCell ref="A54:D54"/>
    <mergeCell ref="E54:F54"/>
    <mergeCell ref="H54:I54"/>
    <mergeCell ref="J54:K54"/>
    <mergeCell ref="A53:D53"/>
    <mergeCell ref="E53:F53"/>
    <mergeCell ref="C72:D72"/>
    <mergeCell ref="A69:D69"/>
    <mergeCell ref="E69:F69"/>
    <mergeCell ref="H69:I69"/>
    <mergeCell ref="J69:K69"/>
    <mergeCell ref="A65:D65"/>
    <mergeCell ref="E65:F65"/>
    <mergeCell ref="A67:D67"/>
    <mergeCell ref="E67:F67"/>
    <mergeCell ref="A62:D62"/>
    <mergeCell ref="E62:F62"/>
    <mergeCell ref="H62:I62"/>
    <mergeCell ref="J62:K62"/>
    <mergeCell ref="C63:D63"/>
    <mergeCell ref="B64:L64"/>
    <mergeCell ref="H65:I65"/>
    <mergeCell ref="J65:K65"/>
    <mergeCell ref="B50:L50"/>
    <mergeCell ref="C46:D46"/>
    <mergeCell ref="B47:L47"/>
    <mergeCell ref="A48:D48"/>
    <mergeCell ref="E48:F48"/>
    <mergeCell ref="H48:I48"/>
    <mergeCell ref="J48:K48"/>
    <mergeCell ref="A52:D52"/>
    <mergeCell ref="E52:F52"/>
    <mergeCell ref="H52:K52"/>
    <mergeCell ref="A34:D34"/>
    <mergeCell ref="E34:F34"/>
    <mergeCell ref="H34:I34"/>
    <mergeCell ref="J34:K34"/>
    <mergeCell ref="D32:E32"/>
    <mergeCell ref="G32:H32"/>
    <mergeCell ref="A32:C32"/>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E59:F59"/>
    <mergeCell ref="H59:I59"/>
    <mergeCell ref="J59:K59"/>
    <mergeCell ref="C55:D55"/>
    <mergeCell ref="A56:D56"/>
    <mergeCell ref="H51:K51"/>
    <mergeCell ref="C40:D40"/>
    <mergeCell ref="E43:F43"/>
    <mergeCell ref="A43:D43"/>
    <mergeCell ref="C44:D44"/>
    <mergeCell ref="A45:D45"/>
    <mergeCell ref="E45:F45"/>
    <mergeCell ref="H45:I45"/>
    <mergeCell ref="J45:K45"/>
    <mergeCell ref="C42:D42"/>
    <mergeCell ref="A51:D51"/>
    <mergeCell ref="E51:F51"/>
    <mergeCell ref="H43:I43"/>
    <mergeCell ref="J43:K43"/>
    <mergeCell ref="C49:D4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7" workbookViewId="0">
      <selection activeCell="I17" sqref="I17"/>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11059.98</v>
      </c>
      <c r="G4" s="83"/>
      <c r="H4" s="7" t="s">
        <v>179</v>
      </c>
      <c r="I4" s="7" t="s">
        <v>446</v>
      </c>
    </row>
    <row r="5" spans="1:14" ht="18" customHeight="1">
      <c r="A5" s="92">
        <f>_xlfn.IFNA(VLOOKUP(封面!B1,'2021决算导出'!A:AC,29,FALSE),"")</f>
        <v>27000</v>
      </c>
      <c r="B5" s="92"/>
      <c r="C5" s="7" t="s">
        <v>178</v>
      </c>
      <c r="D5" s="30" t="str">
        <f>IF(F4&gt;A5,"增加","减少")</f>
        <v>减少</v>
      </c>
      <c r="E5" s="92">
        <f>ABS(F4-A5)</f>
        <v>15940.02</v>
      </c>
      <c r="F5" s="92"/>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1" t="s">
        <v>448</v>
      </c>
      <c r="B9" s="91"/>
      <c r="C9" s="91"/>
      <c r="D9" s="91"/>
      <c r="E9" s="91"/>
      <c r="F9" s="91"/>
      <c r="G9" s="91"/>
      <c r="H9" s="91"/>
      <c r="I9" s="91"/>
      <c r="J9" s="91"/>
      <c r="K9" s="91"/>
      <c r="L9" s="91"/>
      <c r="M9" s="91"/>
      <c r="N9" s="91"/>
    </row>
    <row r="10" spans="1:14" ht="18" customHeight="1">
      <c r="A10" s="7" t="s">
        <v>219</v>
      </c>
    </row>
    <row r="11" spans="1:14" ht="18" customHeight="1">
      <c r="A11" s="88" t="s">
        <v>449</v>
      </c>
      <c r="B11" s="88"/>
      <c r="C11" s="35">
        <f>_xlfn.IFNA(VLOOKUP(封面!B1,'2021决算导出'!A:AI,35,FALSE),"")</f>
        <v>11059.98</v>
      </c>
      <c r="D11" s="7" t="s">
        <v>179</v>
      </c>
      <c r="E11" s="88" t="s">
        <v>450</v>
      </c>
      <c r="F11" s="88"/>
      <c r="G11" s="88"/>
      <c r="H11" s="92">
        <f>_xlfn.IFNA(VLOOKUP(封面!B1,'2021决算导出'!A:AJ,36,FALSE),"")</f>
        <v>27000</v>
      </c>
      <c r="I11" s="92"/>
      <c r="J11" s="16" t="s">
        <v>178</v>
      </c>
      <c r="K11" s="30" t="str">
        <f>IF(C11&gt;H11,"增加","减少")</f>
        <v>减少</v>
      </c>
      <c r="L11" s="92">
        <f>ABS(C11-H11)</f>
        <v>15940.02</v>
      </c>
      <c r="M11" s="92"/>
      <c r="N11" s="7" t="s">
        <v>215</v>
      </c>
    </row>
    <row r="12" spans="1:14" ht="18" customHeight="1">
      <c r="A12" s="88" t="s">
        <v>451</v>
      </c>
      <c r="B12" s="88"/>
      <c r="C12" s="88"/>
      <c r="D12" s="88"/>
      <c r="E12" s="88"/>
      <c r="F12" s="92">
        <f>_xlfn.IFNA(VLOOKUP(封面!B1,'2021决算导出'!A:AK,37,FALSE),"")</f>
        <v>0</v>
      </c>
      <c r="G12" s="92"/>
      <c r="H12" s="17" t="s">
        <v>179</v>
      </c>
      <c r="I12" s="88" t="s">
        <v>450</v>
      </c>
      <c r="J12" s="88"/>
      <c r="K12" s="88"/>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36" customHeight="1">
      <c r="A14" s="87" t="s">
        <v>483</v>
      </c>
      <c r="B14" s="87"/>
      <c r="C14" s="87"/>
      <c r="D14" s="87"/>
      <c r="E14" s="87"/>
      <c r="F14" s="87"/>
      <c r="G14" s="87"/>
      <c r="H14" s="87"/>
      <c r="I14" s="87"/>
      <c r="J14" s="87"/>
      <c r="K14" s="87"/>
      <c r="L14" s="87"/>
      <c r="M14" s="87"/>
      <c r="N14" s="87"/>
    </row>
    <row r="15" spans="1:14" ht="18" customHeight="1">
      <c r="A15" s="88" t="s">
        <v>452</v>
      </c>
      <c r="B15" s="88"/>
      <c r="C15" s="88"/>
      <c r="D15" s="8">
        <f>_xlfn.IFNA(VLOOKUP(封面!B1,'2021决算导出'!A:AM,39,FALSE),"")</f>
        <v>0</v>
      </c>
      <c r="E15" s="7" t="s">
        <v>220</v>
      </c>
      <c r="F15" s="88" t="s">
        <v>221</v>
      </c>
      <c r="G15" s="88"/>
      <c r="H15" s="92">
        <f>IF(D15=0,0,F12/D15)</f>
        <v>0</v>
      </c>
      <c r="I15" s="92"/>
      <c r="J15" s="7" t="s">
        <v>215</v>
      </c>
    </row>
    <row r="16" spans="1:14" ht="18" customHeight="1">
      <c r="A16" s="84" t="s">
        <v>453</v>
      </c>
      <c r="B16" s="84"/>
      <c r="C16" s="84"/>
      <c r="D16" s="84"/>
      <c r="E16" s="84"/>
      <c r="F16" s="92">
        <f>_xlfn.IFNA(VLOOKUP(封面!B1,'2021决算导出'!A:AO,41,FALSE),"")</f>
        <v>11059.98</v>
      </c>
      <c r="G16" s="92" t="s">
        <v>179</v>
      </c>
      <c r="H16" s="7" t="s">
        <v>179</v>
      </c>
      <c r="I16" s="7" t="s">
        <v>450</v>
      </c>
      <c r="L16" s="92">
        <f>_xlfn.IFNA(VLOOKUP(封面!B1,'2021决算导出'!A:AP,42,FALSE),"")</f>
        <v>27000</v>
      </c>
      <c r="M16" s="92" t="s">
        <v>179</v>
      </c>
      <c r="N16" s="7" t="s">
        <v>179</v>
      </c>
    </row>
    <row r="17" spans="1:14" ht="18" customHeight="1">
      <c r="A17" s="15" t="str">
        <f>IF(F16&gt;L16,"增加","减少")</f>
        <v>减少</v>
      </c>
      <c r="B17" s="92">
        <f>ABS(F16-L16)</f>
        <v>15940.02</v>
      </c>
      <c r="C17" s="92"/>
      <c r="D17" s="7" t="s">
        <v>215</v>
      </c>
    </row>
    <row r="18" spans="1:14" ht="36" customHeight="1">
      <c r="A18" s="87" t="s">
        <v>222</v>
      </c>
      <c r="B18" s="87"/>
      <c r="C18" s="87"/>
      <c r="D18" s="87"/>
      <c r="E18" s="87"/>
      <c r="F18" s="87"/>
      <c r="G18" s="87"/>
      <c r="H18" s="87"/>
      <c r="I18" s="87"/>
      <c r="J18" s="87"/>
      <c r="K18" s="87"/>
      <c r="L18" s="87"/>
      <c r="M18" s="87"/>
      <c r="N18" s="87"/>
    </row>
    <row r="19" spans="1:14" ht="18" customHeight="1">
      <c r="A19" s="88" t="s">
        <v>454</v>
      </c>
      <c r="B19" s="88"/>
      <c r="C19" s="88"/>
      <c r="D19" s="88"/>
      <c r="E19" s="88"/>
      <c r="F19" s="88"/>
      <c r="G19" s="92">
        <f>_xlfn.IFNA(VLOOKUP(封面!B1,'2021决算导出'!A:AQ,43,FALSE),"")</f>
        <v>0</v>
      </c>
      <c r="H19" s="92" t="s">
        <v>179</v>
      </c>
      <c r="I19" s="7" t="s">
        <v>179</v>
      </c>
      <c r="J19" s="7" t="s">
        <v>223</v>
      </c>
      <c r="L19" s="92">
        <f>_xlfn.IFNA(VLOOKUP(封面!B1,'2021决算导出'!A:AR,44,FALSE),"")</f>
        <v>6778.4</v>
      </c>
      <c r="M19" s="92" t="s">
        <v>179</v>
      </c>
      <c r="N19" s="7" t="s">
        <v>179</v>
      </c>
    </row>
    <row r="20" spans="1:14" ht="18" customHeight="1">
      <c r="A20" s="88" t="s">
        <v>224</v>
      </c>
      <c r="B20" s="88"/>
      <c r="C20" s="92">
        <f>_xlfn.IFNA(VLOOKUP(封面!B1,'2021决算导出'!A:AS,45,FALSE),"")</f>
        <v>1911.53</v>
      </c>
      <c r="D20" s="92" t="s">
        <v>179</v>
      </c>
      <c r="E20" s="7" t="s">
        <v>179</v>
      </c>
      <c r="F20" s="88" t="s">
        <v>225</v>
      </c>
      <c r="G20" s="88"/>
      <c r="H20" s="88"/>
      <c r="I20" s="92">
        <f>_xlfn.IFNA(VLOOKUP(封面!B1,'2021决算导出'!A:AT,46,FALSE),"")</f>
        <v>2370.0500000000002</v>
      </c>
      <c r="J20" s="92" t="s">
        <v>179</v>
      </c>
      <c r="K20" s="7" t="s">
        <v>215</v>
      </c>
    </row>
    <row r="21" spans="1:14" ht="18" customHeight="1">
      <c r="A21" s="88" t="s">
        <v>455</v>
      </c>
      <c r="B21" s="88"/>
      <c r="C21" s="88"/>
      <c r="D21" s="8">
        <f>_xlfn.IFNA(VLOOKUP(封面!B1,'2021决算导出'!A:AU,47,FALSE),"")</f>
        <v>1</v>
      </c>
      <c r="E21" s="86" t="s">
        <v>407</v>
      </c>
      <c r="F21" s="86"/>
      <c r="G21" s="86"/>
      <c r="H21" s="86"/>
      <c r="I21" s="86"/>
      <c r="J21" s="86"/>
      <c r="K21" s="86"/>
      <c r="L21" s="86"/>
      <c r="M21" s="54">
        <f>F16/D21</f>
        <v>11059.98</v>
      </c>
      <c r="N21" s="7" t="s">
        <v>215</v>
      </c>
    </row>
    <row r="22" spans="1:14" ht="18" customHeight="1">
      <c r="A22" s="6" t="s">
        <v>226</v>
      </c>
    </row>
    <row r="23" spans="1:14" ht="18" customHeight="1">
      <c r="A23" s="7" t="s">
        <v>227</v>
      </c>
    </row>
    <row r="24" spans="1:14" ht="18" customHeight="1">
      <c r="A24" s="6" t="s">
        <v>228</v>
      </c>
    </row>
    <row r="25" spans="1:14" ht="18" customHeight="1">
      <c r="A25" s="88" t="s">
        <v>456</v>
      </c>
      <c r="B25" s="88"/>
      <c r="C25" s="88"/>
      <c r="D25" s="88"/>
      <c r="E25" s="83">
        <f>_xlfn.IFNA(VLOOKUP(封面!B1,'2021决算导出'!A:AW,49,FALSE),"")</f>
        <v>1522341.62</v>
      </c>
      <c r="F25" s="83"/>
      <c r="G25" s="7" t="s">
        <v>179</v>
      </c>
      <c r="H25" s="88" t="s">
        <v>229</v>
      </c>
      <c r="I25" s="88"/>
      <c r="J25" s="88"/>
      <c r="K25" s="88"/>
      <c r="L25" s="83">
        <f>_xlfn.IFNA(VLOOKUP(封面!B1,'2021决算导出'!A:AX,50,FALSE),"")</f>
        <v>44407.8</v>
      </c>
      <c r="M25" s="83" t="s">
        <v>179</v>
      </c>
      <c r="N25" s="7" t="s">
        <v>179</v>
      </c>
    </row>
    <row r="26" spans="1:14" ht="18" customHeight="1">
      <c r="A26" s="88" t="s">
        <v>230</v>
      </c>
      <c r="B26" s="88"/>
      <c r="C26" s="88"/>
      <c r="D26" s="83">
        <f>_xlfn.IFNA(VLOOKUP(封面!B1,'2021决算导出'!A:AY,51,FALSE),"")</f>
        <v>0</v>
      </c>
      <c r="E26" s="83" t="s">
        <v>179</v>
      </c>
      <c r="F26" s="7" t="s">
        <v>179</v>
      </c>
      <c r="G26" s="88" t="s">
        <v>231</v>
      </c>
      <c r="H26" s="88"/>
      <c r="I26" s="88"/>
      <c r="J26" s="83">
        <f>_xlfn.IFNA(VLOOKUP(封面!B1,'2021决算导出'!A:AZ,52,FALSE),"")</f>
        <v>1477934</v>
      </c>
      <c r="K26" s="83" t="s">
        <v>179</v>
      </c>
      <c r="L26" s="7" t="s">
        <v>215</v>
      </c>
    </row>
    <row r="27" spans="1:14" ht="18" customHeight="1">
      <c r="A27" s="88" t="s">
        <v>232</v>
      </c>
      <c r="B27" s="88"/>
      <c r="C27" s="88"/>
      <c r="D27" s="88"/>
      <c r="E27" s="83">
        <f>_xlfn.IFNA(VLOOKUP(封面!B1,'2021决算导出'!A:BA,53,FALSE),"")</f>
        <v>1101266</v>
      </c>
      <c r="F27" s="83" t="s">
        <v>179</v>
      </c>
      <c r="G27" s="7" t="s">
        <v>179</v>
      </c>
      <c r="H27" s="84" t="s">
        <v>233</v>
      </c>
      <c r="I27" s="84"/>
      <c r="J27" s="84"/>
      <c r="K27" s="29">
        <f>E27/$E$25</f>
        <v>0.72340267488712551</v>
      </c>
      <c r="L27" s="18" t="s">
        <v>314</v>
      </c>
      <c r="M27" s="7" t="s">
        <v>408</v>
      </c>
    </row>
    <row r="28" spans="1:14" ht="18" customHeight="1">
      <c r="A28" s="88" t="s">
        <v>234</v>
      </c>
      <c r="B28" s="88"/>
      <c r="C28" s="88"/>
      <c r="D28" s="88"/>
      <c r="E28" s="83">
        <f>_xlfn.IFNA(VLOOKUP(封面!B1,'2021决算导出'!A:BB,54,FALSE),"")</f>
        <v>42865.8</v>
      </c>
      <c r="F28" s="83" t="s">
        <v>179</v>
      </c>
      <c r="G28" s="7" t="s">
        <v>179</v>
      </c>
      <c r="H28" s="84" t="s">
        <v>233</v>
      </c>
      <c r="I28" s="84"/>
      <c r="J28" s="84"/>
      <c r="K28" s="29">
        <f>E28/$E$25</f>
        <v>2.8157805998892678E-2</v>
      </c>
      <c r="L28" s="18" t="s">
        <v>316</v>
      </c>
    </row>
    <row r="29" spans="1:14" ht="18" customHeight="1">
      <c r="A29" s="6" t="s">
        <v>235</v>
      </c>
    </row>
    <row r="30" spans="1:14" ht="18" customHeight="1">
      <c r="A30" s="88" t="s">
        <v>457</v>
      </c>
      <c r="B30" s="88"/>
      <c r="C30" s="8">
        <f>_xlfn.IFNA(VLOOKUP(封面!B1,'2021决算导出'!A:BC,55,FALSE),"")</f>
        <v>1</v>
      </c>
      <c r="D30" s="7" t="s">
        <v>236</v>
      </c>
      <c r="M30" s="92">
        <f>_xlfn.IFNA(VLOOKUP(封面!B1,'2021决算导出'!A:BD,56,FALSE),"")</f>
        <v>250580</v>
      </c>
      <c r="N30" s="92" t="s">
        <v>179</v>
      </c>
    </row>
    <row r="31" spans="1:14" ht="18" customHeight="1">
      <c r="A31" s="12" t="s">
        <v>237</v>
      </c>
      <c r="B31" s="88" t="s">
        <v>238</v>
      </c>
      <c r="C31" s="88"/>
      <c r="D31" s="88"/>
      <c r="E31" s="88"/>
      <c r="F31" s="88"/>
      <c r="G31" s="8">
        <f>_xlfn.IFNA(VLOOKUP(封面!B1,'2021决算导出'!A:BE,57,FALSE),"")</f>
        <v>2</v>
      </c>
      <c r="H31" s="7" t="s">
        <v>239</v>
      </c>
      <c r="J31" s="7" t="s">
        <v>240</v>
      </c>
    </row>
    <row r="32" spans="1:14" ht="18" customHeight="1">
      <c r="A32" s="12">
        <f>_xlfn.IFNA(VLOOKUP(封面!B1,'2021决算导出'!A:BF,58,FALSE),"")</f>
        <v>2</v>
      </c>
      <c r="B32" s="7" t="s">
        <v>241</v>
      </c>
    </row>
    <row r="33" spans="1:14" ht="18" customHeight="1">
      <c r="A33" s="6" t="s">
        <v>242</v>
      </c>
    </row>
    <row r="34" spans="1:14" ht="18" customHeight="1">
      <c r="A34" s="7" t="s">
        <v>243</v>
      </c>
    </row>
    <row r="35" spans="1:14" ht="18" customHeight="1">
      <c r="A35" s="6" t="s">
        <v>244</v>
      </c>
    </row>
    <row r="36" spans="1:14" ht="375.6" customHeight="1">
      <c r="A36" s="87" t="s">
        <v>474</v>
      </c>
      <c r="B36" s="87"/>
      <c r="C36" s="87"/>
      <c r="D36" s="87"/>
      <c r="E36" s="87"/>
      <c r="F36" s="87"/>
      <c r="G36" s="87"/>
      <c r="H36" s="87"/>
      <c r="I36" s="87"/>
      <c r="J36" s="87"/>
      <c r="K36" s="87"/>
      <c r="L36" s="87"/>
      <c r="M36" s="87"/>
      <c r="N36" s="87"/>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0" sqref="A10:N10"/>
    </sheetView>
  </sheetViews>
  <sheetFormatPr defaultRowHeight="13.8"/>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9" customWidth="1"/>
    <col min="2" max="2" width="15.44140625" style="61" customWidth="1"/>
    <col min="3" max="3" width="5.88671875" style="61" customWidth="1"/>
    <col min="4" max="6" width="13.33203125" style="61" customWidth="1"/>
    <col min="7" max="8" width="12.44140625" style="61" customWidth="1"/>
    <col min="9" max="9" width="9" style="61" customWidth="1"/>
    <col min="10" max="10" width="12.21875" style="61" customWidth="1"/>
    <col min="11" max="13" width="13.33203125" style="61" customWidth="1"/>
    <col min="14" max="14" width="12.6640625" style="61" customWidth="1"/>
    <col min="15" max="20" width="13.33203125" style="61" customWidth="1"/>
    <col min="21" max="21" width="11.44140625" style="61" customWidth="1"/>
    <col min="22" max="22" width="13.33203125" style="61" customWidth="1"/>
    <col min="23" max="23" width="11" style="61" customWidth="1"/>
    <col min="24" max="24" width="11.6640625" style="70" customWidth="1"/>
    <col min="25" max="25" width="10.44140625" style="61" customWidth="1"/>
    <col min="26" max="26" width="10.33203125" style="61" customWidth="1"/>
    <col min="27" max="27" width="13.33203125" style="61" customWidth="1"/>
    <col min="28" max="28" width="11" style="61" customWidth="1"/>
    <col min="29" max="29" width="10.88671875" style="61" customWidth="1"/>
    <col min="30" max="34" width="7.44140625" style="61" customWidth="1"/>
    <col min="35" max="35" width="13.33203125" style="61" customWidth="1"/>
    <col min="36" max="36" width="11.21875" style="61" customWidth="1"/>
    <col min="37" max="40" width="6.88671875" style="61" customWidth="1"/>
    <col min="41" max="41" width="12.44140625" style="61" customWidth="1"/>
    <col min="42" max="42" width="11.77734375" style="61" customWidth="1"/>
    <col min="43" max="46" width="11.109375" style="61" customWidth="1"/>
    <col min="47" max="47" width="8.4414062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44140625" style="61" customWidth="1"/>
    <col min="59" max="16384" width="8.88671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7"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18.88671875" style="36" customWidth="1"/>
    <col min="3" max="3" width="8.88671875" style="36"/>
    <col min="4" max="4" width="11.109375" style="73" customWidth="1"/>
    <col min="5" max="5" width="8.88671875" style="73"/>
    <col min="6" max="10" width="8.88671875" style="36"/>
    <col min="11" max="11" width="8.88671875" style="73"/>
    <col min="12" max="14" width="8.88671875" style="36"/>
    <col min="15" max="15" width="8.88671875" style="73"/>
    <col min="16" max="16384" width="8.88671875" style="36"/>
  </cols>
  <sheetData>
    <row r="1" spans="1:58" ht="60">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2022-09-02T05:47:15Z</dcterms:modified>
</cp:coreProperties>
</file>