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2022.5.11备份\E\glt\预决算\民团决算资料\2021年决算\2021年决算公开\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A61" i="5"/>
  <c r="J57" i="5"/>
  <c r="E57" i="5"/>
  <c r="J55" i="5"/>
  <c r="E55" i="5"/>
  <c r="J50" i="5"/>
  <c r="J52" i="5"/>
  <c r="E52" i="5"/>
  <c r="E50" i="5"/>
  <c r="E49" i="5"/>
  <c r="J46" i="5"/>
  <c r="E46" i="5"/>
  <c r="J44" i="5"/>
  <c r="E44"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1" i="5" l="1"/>
  <c r="E41" i="5"/>
  <c r="J39" i="5"/>
  <c r="E39" i="5"/>
  <c r="J36" i="5"/>
  <c r="E36" i="5"/>
  <c r="J34" i="5"/>
  <c r="E34" i="5"/>
  <c r="B58" i="5" l="1"/>
  <c r="F47" i="5"/>
  <c r="C51" i="5"/>
  <c r="G51" i="5" s="1"/>
  <c r="C56" i="5"/>
  <c r="G56" i="5" s="1"/>
  <c r="F35" i="5"/>
  <c r="F53" i="5"/>
  <c r="C58" i="5"/>
  <c r="G58" i="5" s="1"/>
  <c r="F58" i="5"/>
  <c r="F56" i="5"/>
  <c r="B56" i="5"/>
  <c r="B53" i="5"/>
  <c r="C53" i="5"/>
  <c r="G53" i="5" s="1"/>
  <c r="F51" i="5"/>
  <c r="B51" i="5"/>
  <c r="C47" i="5"/>
  <c r="G47" i="5" s="1"/>
  <c r="F37" i="5"/>
  <c r="F40" i="5"/>
  <c r="F45" i="5"/>
  <c r="B47" i="5"/>
  <c r="B45" i="5"/>
  <c r="C45" i="5"/>
  <c r="G45" i="5" s="1"/>
  <c r="C42" i="5"/>
  <c r="G42" i="5" s="1"/>
  <c r="C35" i="5"/>
  <c r="G35" i="5" s="1"/>
  <c r="B42" i="5"/>
  <c r="F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4" i="6" l="1"/>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<sst xmlns="http://schemas.openxmlformats.org/spreadsheetml/2006/main" count="4789" uniqueCount="468">
  <si>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</si>
  <si>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</si>
  <si>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</si>
  <si>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</si>
  <si>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</si>
  <si>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</si>
  <si>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</si>
  <si>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</si>
  <si>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</si>
  <si>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</si>
  <si>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</si>
  <si>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</si>
  <si>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</si>
  <si>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</si>
  <si>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</si>
  <si>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</si>
  <si>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</si>
  <si>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</si>
  <si>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</si>
  <si>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</si>
  <si>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</si>
  <si>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</si>
  <si>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</si>
  <si>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</si>
  <si>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</si>
  <si>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</si>
  <si>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</si>
  <si>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</si>
  <si>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</si>
  <si>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</si>
  <si>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</si>
  <si>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</si>
  <si>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</si>
  <si>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</si>
  <si>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</si>
  <si>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</si>
  <si>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</si>
  <si>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</si>
  <si>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</si>
  <si>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</si>
  <si>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</si>
  <si>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</si>
  <si>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</si>
  <si>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</si>
  <si>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</si>
  <si>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</si>
  <si>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</si>
  <si>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</si>
  <si>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</si>
  <si>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</si>
  <si>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</si>
  <si>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</si>
  <si>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</si>
  <si>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</si>
  <si>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</si>
  <si>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</si>
  <si>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</si>
  <si>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</si>
  <si>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</si>
  <si>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</si>
  <si>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</si>
  <si>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</si>
  <si>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</si>
  <si>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</si>
  <si>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</si>
  <si>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</si>
  <si>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</si>
  <si>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</si>
  <si>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</si>
  <si>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</si>
  <si>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</si>
  <si>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</si>
  <si>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</si>
  <si>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</si>
  <si>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</si>
  <si>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</si>
  <si>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</si>
  <si>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</si>
  <si>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</si>
  <si>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</si>
  <si>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</si>
  <si>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</si>
  <si>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</si>
  <si>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</si>
  <si>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</si>
  <si>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</si>
  <si>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</si>
  <si>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</si>
  <si>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</si>
  <si>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</si>
  <si>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</si>
  <si>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</si>
  <si>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</si>
  <si>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</si>
  <si>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</si>
  <si>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</si>
  <si>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</si>
  <si>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</si>
  <si>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</si>
  <si>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</si>
  <si>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</si>
  <si>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</si>
  <si>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</si>
  <si>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</si>
  <si>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</si>
  <si>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</si>
  <si>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</si>
  <si>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</si>
  <si>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</si>
  <si>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</si>
  <si>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</si>
  <si>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</si>
  <si>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</si>
  <si>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</si>
  <si>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</si>
  <si>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</si>
  <si>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</si>
  <si>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</si>
  <si>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</si>
  <si>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</si>
  <si>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</si>
  <si>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</si>
  <si>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</si>
  <si>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</si>
  <si>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</si>
  <si>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</si>
  <si>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</si>
  <si>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</si>
  <si>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</si>
  <si>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</si>
  <si>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</si>
  <si>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</si>
  <si>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</si>
  <si>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</si>
  <si>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</si>
  <si>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</si>
  <si>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</si>
  <si>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</si>
  <si>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</si>
  <si>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</si>
  <si>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</si>
  <si>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</si>
  <si>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</si>
  <si>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</si>
  <si>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</si>
  <si>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</si>
  <si>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</si>
  <si>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</si>
  <si>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</si>
  <si>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</si>
  <si>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</si>
  <si>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</si>
  <si>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</si>
  <si>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</si>
  <si>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</si>
  <si>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</si>
  <si>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</si>
  <si>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</si>
  <si>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</si>
  <si>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</si>
  <si>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</si>
  <si>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</si>
  <si>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</si>
  <si>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</si>
  <si>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</si>
  <si>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</si>
  <si>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</si>
  <si>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</si>
  <si>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</si>
  <si>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</si>
  <si>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</si>
  <si>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</si>
  <si>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</si>
  <si>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</si>
  <si>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</si>
  <si>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</si>
  <si>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</si>
  <si>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</si>
  <si>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</si>
  <si>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</si>
  <si>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</si>
  <si>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</si>
  <si>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</si>
  <si>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</si>
  <si>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</si>
  <si>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</si>
  <si>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</si>
  <si>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</si>
  <si>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</si>
  <si>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</si>
  <si>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</si>
  <si>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</si>
  <si>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</si>
  <si>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</si>
  <si>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</si>
  <si>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</si>
  <si>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</si>
  <si>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</si>
  <si>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</si>
  <si>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</si>
  <si>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</si>
  <si>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</si>
  <si>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</si>
  <si>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</si>
  <si>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</si>
  <si>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</si>
  <si>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</si>
  <si>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</si>
  <si>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</si>
  <si>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</si>
  <si>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</si>
  <si>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</si>
  <si>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</si>
  <si>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</si>
  <si>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</si>
  <si>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</si>
  <si>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</si>
  <si>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</si>
  <si>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</si>
  <si>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</si>
  <si>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</si>
  <si>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</si>
  <si>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</si>
  <si>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</si>
  <si>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</si>
  <si>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</si>
  <si>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</si>
  <si>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</si>
  <si>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</si>
  <si>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</si>
  <si>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</si>
  <si>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</si>
  <si>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</si>
  <si>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</si>
  <si>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</si>
  <si>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</si>
  <si>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</si>
  <si>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</si>
  <si>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</si>
  <si>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</si>
  <si>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</si>
  <si>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</si>
  <si>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</si>
  <si>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</si>
  <si>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</si>
  <si>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</si>
  <si>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</si>
  <si>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</si>
  <si>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</si>
  <si>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</si>
  <si>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</si>
  <si>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</si>
  <si>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</si>
  <si>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</si>
  <si>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</si>
  <si>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</si>
  <si>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</si>
  <si>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</si>
  <si>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</si>
  <si>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</si>
  <si>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</si>
  <si>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</si>
  <si>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</si>
  <si>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</si>
  <si>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</si>
  <si>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</si>
  <si>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</si>
  <si>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</si>
  <si>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</si>
  <si>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</si>
  <si>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</si>
  <si>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</si>
  <si>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</si>
  <si>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</si>
  <si>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</si>
  <si>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</si>
  <si>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</si>
  <si>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</si>
  <si>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</si>
  <si>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</si>
  <si>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</si>
  <si>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</si>
  <si>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</si>
  <si>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</si>
  <si>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</si>
  <si>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</si>
  <si>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</si>
  <si>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</si>
  <si>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</si>
  <si>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</si>
  <si>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</si>
  <si>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</si>
  <si>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</si>
  <si>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</si>
  <si>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</si>
  <si>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</si>
  <si>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</si>
  <si>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</si>
  <si>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</si>
  <si>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</si>
  <si>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</si>
  <si>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</si>
  <si>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</si>
  <si>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</si>
  <si>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</si>
  <si>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</si>
  <si>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</si>
  <si>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</si>
  <si>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</si>
  <si>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</si>
  <si>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</si>
  <si>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</si>
  <si>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</si>
  <si>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</si>
  <si>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</si>
  <si>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</si>
  <si>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</si>
  <si>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</si>
  <si>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</si>
  <si>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</si>
  <si>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</si>
  <si>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</si>
  <si>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</si>
  <si>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</si>
  <si>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</si>
  <si>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</si>
  <si>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</si>
  <si>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</si>
  <si>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</si>
  <si>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</si>
  <si>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</si>
  <si>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</si>
  <si>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</si>
  <si>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</si>
  <si>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</si>
  <si>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</si>
  <si>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</si>
  <si>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</si>
  <si>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</si>
  <si>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</si>
  <si>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</si>
  <si>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</si>
  <si>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</si>
  <si>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</si>
  <si>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</si>
  <si>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</si>
  <si>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</si>
  <si>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</si>
  <si>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</si>
  <si>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</si>
  <si>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</si>
  <si>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</si>
  <si>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</si>
  <si>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</si>
  <si>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</si>
  <si>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</si>
  <si>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</si>
  <si>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</si>
  <si>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</si>
  <si>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</si>
  <si>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</si>
  <si>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</si>
  <si>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</si>
  <si>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</si>
  <si>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</si>
  <si>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</si>
  <si>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</si>
  <si>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</si>
  <si>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</si>
  <si>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</si>
  <si>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</si>
  <si>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</si>
  <si>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</si>
  <si>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</si>
  <si>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</si>
  <si>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</si>
  <si>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</si>
  <si>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</si>
  <si>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</si>
  <si>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</si>
  <si>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</si>
  <si>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</si>
  <si>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</si>
  <si>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</si>
  <si>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</si>
  <si>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</si>
  <si>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</si>
  <si>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</si>
  <si>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</si>
  <si>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</si>
  <si>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</si>
  <si>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</si>
  <si>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</si>
  <si>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</si>
  <si>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</si>
  <si>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</si>
  <si>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</si>
  <si>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</si>
  <si>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</si>
  <si>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</si>
  <si>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</si>
  <si>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</si>
  <si>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</si>
  <si>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</si>
  <si>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</si>
  <si>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</si>
  <si>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</si>
  <si>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</si>
  <si>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</si>
  <si>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</si>
  <si>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</si>
  <si>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</si>
  <si>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</si>
  <si>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</si>
  <si>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</si>
  <si>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</si>
  <si>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</si>
  <si>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</si>
  <si>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</si>
  <si>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</si>
  <si>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</si>
  <si>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</si>
  <si>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2021年年初无预算。</t>
  </si>
  <si>
    <t>行政事业单位养老支出（款）2021年度决算</t>
  </si>
  <si>
    <t>抚恤（款）2021年度决算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</si>
  <si>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</si>
  <si>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</si>
  <si>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</si>
  <si>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</si>
  <si>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</si>
  <si>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</si>
  <si>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</si>
  <si>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</si>
  <si>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</si>
  <si>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</si>
  <si>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</si>
  <si>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</si>
  <si>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</si>
  <si>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</si>
  <si>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</si>
  <si>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</si>
  <si>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</si>
  <si>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</si>
  <si>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</si>
  <si>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</si>
  <si>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</si>
  <si>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</si>
  <si>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</si>
  <si>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</si>
  <si>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</si>
  <si>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</si>
  <si>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</si>
  <si>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</si>
  <si>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</si>
  <si>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</si>
  <si>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</si>
  <si>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</si>
  <si>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</si>
  <si>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</si>
  <si>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机构设置：北京市西城区民族团结幼儿园由原回民幼儿园于2007年6月正式更名为北京市西城区民族团结幼儿园。是一所市级示范园，也是西城区唯一一所市立民族幼儿园。幼儿园设保教部门、财务部门、人事部门、保健部门、食堂部门、安全部门，人员编制87人，现有在册职工79人，其中在岗职工79人，退休人员24人，全园共有20个教学班，截止2021年12月底在园幼儿数 476人。
主要职责：解决适龄儿童入园问题  ，为幼儿提供更好的保育教育服务。</t>
    <phoneticPr fontId="4" type="noConversion"/>
  </si>
  <si>
    <t>主要原因是1、商品和服务支出增加，主要为保安保洁等物业费增加；维修费增加用于安装监控、低压电增容等。2、工资福利支出比去年增加，主要2021年新增教职工较多，新增教师14名，其中教师12名，保健医1名，厨师1名。</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</si>
  <si>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</si>
  <si>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</si>
  <si>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</si>
  <si>
    <t>主要原因是人员变化及增加扩班设备等。</t>
    <phoneticPr fontId="4" type="noConversion"/>
  </si>
  <si>
    <t>主要原因是：设备购置按实际金额支付。</t>
    <phoneticPr fontId="4" type="noConversion"/>
  </si>
  <si>
    <t>主要原因是人员变动及缴费基数变动。</t>
    <phoneticPr fontId="4" type="noConversion"/>
  </si>
  <si>
    <t>主要原因是：人员变动及缴费基数变动。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</si>
</sst>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9">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22" fillId="0" borderId="0" xfId="0" applyFont="1" applyAlignment="1">
      <alignment horizontal="left" vertical="top" wrapTex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6" t="s">
        <v>0</v>
      </c>
      <c r="B1" s="27">
        <v>255083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北京市西城区民族团结幼儿园</v>
      </c>
      <c r="B11" s="75"/>
      <c r="C11" s="75"/>
      <c r="D11" s="75"/>
      <c r="E11" s="75"/>
      <c r="F11" s="75"/>
      <c r="G11" s="75"/>
      <c r="H11" s="75"/>
      <c r="I11" s="75"/>
      <c r="J11" s="75"/>
      <c r="K11" s="75"/>
      <c r="L11" s="75"/>
      <c r="M11" s="75"/>
      <c r="N11" s="1"/>
    </row>
    <row r="12" spans="1:14" ht="72" customHeight="1">
      <c r="A12" s="75" t="s">
        <v>406</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318</v>
      </c>
      <c r="B1" s="41" t="s">
        <v>355</v>
      </c>
      <c r="C1" s="71" t="s">
        <v>356</v>
      </c>
      <c r="D1" s="71" t="s">
        <v>357</v>
      </c>
      <c r="E1" s="41" t="s">
        <v>358</v>
      </c>
      <c r="F1" s="41" t="s">
        <v>359</v>
      </c>
      <c r="G1" s="41" t="s">
        <v>360</v>
      </c>
      <c r="H1" s="41" t="s">
        <v>361</v>
      </c>
      <c r="I1" s="41" t="s">
        <v>362</v>
      </c>
      <c r="J1" s="41" t="s">
        <v>363</v>
      </c>
      <c r="K1" s="41" t="s">
        <v>364</v>
      </c>
      <c r="L1" s="41" t="s">
        <v>365</v>
      </c>
      <c r="M1" s="41" t="s">
        <v>366</v>
      </c>
      <c r="N1" s="41" t="s">
        <v>367</v>
      </c>
      <c r="O1" s="41" t="s">
        <v>368</v>
      </c>
      <c r="P1" s="41" t="s">
        <v>369</v>
      </c>
      <c r="Q1" s="71" t="s">
        <v>370</v>
      </c>
      <c r="R1" s="71" t="s">
        <v>371</v>
      </c>
      <c r="S1" s="72" t="s">
        <v>453</v>
      </c>
      <c r="T1" s="72" t="s">
        <v>454</v>
      </c>
      <c r="U1" s="41" t="s">
        <v>372</v>
      </c>
      <c r="V1" s="41" t="s">
        <v>373</v>
      </c>
      <c r="W1" s="71" t="s">
        <v>374</v>
      </c>
      <c r="X1" s="71" t="s">
        <v>375</v>
      </c>
      <c r="Y1" s="41" t="s">
        <v>376</v>
      </c>
      <c r="Z1" s="41" t="s">
        <v>377</v>
      </c>
      <c r="AA1" s="41" t="s">
        <v>378</v>
      </c>
      <c r="AB1" s="41" t="s">
        <v>379</v>
      </c>
      <c r="AC1" s="71" t="s">
        <v>380</v>
      </c>
      <c r="AD1" s="71" t="s">
        <v>381</v>
      </c>
      <c r="AE1" s="41" t="s">
        <v>382</v>
      </c>
      <c r="AF1" s="41" t="s">
        <v>383</v>
      </c>
      <c r="AG1" s="71" t="s">
        <v>384</v>
      </c>
      <c r="AH1" s="71" t="s">
        <v>385</v>
      </c>
      <c r="AI1" s="41" t="s">
        <v>386</v>
      </c>
      <c r="AJ1" s="41" t="s">
        <v>387</v>
      </c>
      <c r="AK1" s="71" t="s">
        <v>388</v>
      </c>
      <c r="AL1" s="71"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444</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445</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449</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449</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443</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443</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443</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443</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443</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443</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443</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443</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443</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443</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443</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449</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449</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444</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444</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444</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444</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444</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444</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445</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445</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445</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445</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445</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445</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449</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394</v>
      </c>
      <c r="B1" s="51" t="s">
        <v>395</v>
      </c>
    </row>
    <row r="2" spans="1:6">
      <c r="A2" s="70" t="s">
        <v>396</v>
      </c>
      <c r="B2" s="70">
        <v>2050101</v>
      </c>
      <c r="C2" s="70"/>
      <c r="D2" s="70"/>
      <c r="E2" s="70"/>
      <c r="F2" s="70">
        <v>205</v>
      </c>
    </row>
    <row r="3" spans="1:6">
      <c r="A3" s="70" t="s">
        <v>397</v>
      </c>
      <c r="B3" s="70">
        <v>2050102</v>
      </c>
      <c r="C3" s="70"/>
      <c r="D3" s="70"/>
      <c r="E3" s="70"/>
      <c r="F3" s="70">
        <v>206</v>
      </c>
    </row>
    <row r="4" spans="1:6">
      <c r="A4" s="70" t="s">
        <v>325</v>
      </c>
      <c r="B4" s="70">
        <v>2050201</v>
      </c>
      <c r="C4" s="70"/>
      <c r="D4" s="70"/>
      <c r="E4" s="70"/>
      <c r="F4" s="70">
        <v>208</v>
      </c>
    </row>
    <row r="5" spans="1:6">
      <c r="A5" s="70" t="s">
        <v>326</v>
      </c>
      <c r="B5" s="70">
        <v>2050202</v>
      </c>
      <c r="C5" s="70"/>
      <c r="D5" s="70"/>
      <c r="E5" s="70"/>
      <c r="F5" s="70">
        <v>210</v>
      </c>
    </row>
    <row r="6" spans="1:6">
      <c r="A6" s="70" t="s">
        <v>341</v>
      </c>
      <c r="B6" s="70">
        <v>2050203</v>
      </c>
      <c r="C6" s="70"/>
      <c r="D6" s="70"/>
      <c r="E6" s="70"/>
      <c r="F6" s="70">
        <v>212</v>
      </c>
    </row>
    <row r="7" spans="1:6">
      <c r="A7" s="70" t="s">
        <v>327</v>
      </c>
      <c r="B7" s="70">
        <v>2050204</v>
      </c>
      <c r="C7" s="70"/>
      <c r="D7" s="70"/>
      <c r="E7" s="70"/>
      <c r="F7" s="70">
        <v>221</v>
      </c>
    </row>
    <row r="8" spans="1:6">
      <c r="A8" s="70" t="s">
        <v>328</v>
      </c>
      <c r="B8" s="70">
        <v>2050299</v>
      </c>
      <c r="C8" s="70"/>
      <c r="D8" s="70"/>
      <c r="E8" s="70"/>
      <c r="F8" s="70">
        <v>229</v>
      </c>
    </row>
    <row r="9" spans="1:6">
      <c r="A9" s="70" t="s">
        <v>342</v>
      </c>
      <c r="B9" s="70">
        <v>2050302</v>
      </c>
      <c r="C9" s="70"/>
      <c r="D9" s="70"/>
      <c r="E9" s="70"/>
      <c r="F9" s="70">
        <v>234</v>
      </c>
    </row>
    <row r="10" spans="1:6">
      <c r="A10" s="70" t="s">
        <v>398</v>
      </c>
      <c r="B10" s="70">
        <v>2050304</v>
      </c>
      <c r="C10" s="70"/>
      <c r="D10" s="70"/>
      <c r="E10" s="70"/>
      <c r="F10" s="70">
        <v>213</v>
      </c>
    </row>
    <row r="11" spans="1:6">
      <c r="A11" s="70" t="s">
        <v>343</v>
      </c>
      <c r="B11" s="70">
        <v>2050399</v>
      </c>
      <c r="C11" s="70"/>
      <c r="D11" s="70"/>
      <c r="E11" s="70"/>
      <c r="F11" s="70"/>
    </row>
    <row r="12" spans="1:6">
      <c r="A12" s="70" t="s">
        <v>352</v>
      </c>
      <c r="B12" s="70">
        <v>2050403</v>
      </c>
      <c r="C12" s="70"/>
      <c r="D12" s="70"/>
      <c r="E12" s="70"/>
      <c r="F12" s="70"/>
    </row>
    <row r="13" spans="1:6">
      <c r="A13" s="70" t="s">
        <v>353</v>
      </c>
      <c r="B13" s="70">
        <v>2050404</v>
      </c>
      <c r="C13" s="70"/>
      <c r="D13" s="70"/>
      <c r="E13" s="70"/>
      <c r="F13" s="70"/>
    </row>
    <row r="14" spans="1:6">
      <c r="A14" s="70" t="s">
        <v>346</v>
      </c>
      <c r="B14" s="70">
        <v>2050701</v>
      </c>
      <c r="C14" s="70"/>
      <c r="D14" s="70"/>
      <c r="E14" s="70"/>
      <c r="F14" s="70"/>
    </row>
    <row r="15" spans="1:6">
      <c r="A15" s="70" t="s">
        <v>348</v>
      </c>
      <c r="B15" s="70">
        <v>2050702</v>
      </c>
      <c r="C15" s="70"/>
      <c r="D15" s="70"/>
      <c r="E15" s="70"/>
      <c r="F15" s="70"/>
    </row>
    <row r="16" spans="1:6">
      <c r="A16" s="70" t="s">
        <v>347</v>
      </c>
      <c r="B16" s="70">
        <v>2050799</v>
      </c>
      <c r="C16" s="70"/>
      <c r="D16" s="70"/>
      <c r="E16" s="70"/>
      <c r="F16" s="70"/>
    </row>
    <row r="17" spans="1:6">
      <c r="A17" s="70" t="s">
        <v>350</v>
      </c>
      <c r="B17" s="70">
        <v>2050801</v>
      </c>
      <c r="C17" s="70"/>
      <c r="D17" s="70"/>
      <c r="E17" s="70"/>
      <c r="F17" s="70"/>
    </row>
    <row r="18" spans="1:6">
      <c r="A18" s="70" t="s">
        <v>329</v>
      </c>
      <c r="B18" s="70">
        <v>2050803</v>
      </c>
      <c r="C18" s="70"/>
      <c r="D18" s="70"/>
      <c r="E18" s="70"/>
      <c r="F18" s="70"/>
    </row>
    <row r="19" spans="1:6">
      <c r="A19" s="70" t="s">
        <v>330</v>
      </c>
      <c r="B19" s="70">
        <v>2050903</v>
      </c>
      <c r="C19" s="70"/>
      <c r="D19" s="70"/>
      <c r="E19" s="70"/>
      <c r="F19" s="70"/>
    </row>
    <row r="20" spans="1:6">
      <c r="A20" s="70" t="s">
        <v>331</v>
      </c>
      <c r="B20" s="70">
        <v>2050904</v>
      </c>
      <c r="C20" s="70"/>
      <c r="D20" s="70"/>
      <c r="E20" s="70"/>
      <c r="F20" s="70"/>
    </row>
    <row r="21" spans="1:6">
      <c r="A21" s="70" t="s">
        <v>344</v>
      </c>
      <c r="B21" s="70">
        <v>2050905</v>
      </c>
      <c r="C21" s="70"/>
      <c r="D21" s="70"/>
      <c r="E21" s="70"/>
      <c r="F21" s="70"/>
    </row>
    <row r="22" spans="1:6">
      <c r="A22" s="70" t="s">
        <v>345</v>
      </c>
      <c r="B22" s="70">
        <v>2050999</v>
      </c>
      <c r="C22" s="70"/>
      <c r="D22" s="70"/>
      <c r="E22" s="70"/>
      <c r="F22" s="70"/>
    </row>
    <row r="23" spans="1:6">
      <c r="A23" s="70" t="s">
        <v>449</v>
      </c>
      <c r="B23" s="70">
        <v>2060499</v>
      </c>
      <c r="C23" s="70" t="s">
        <v>450</v>
      </c>
      <c r="D23" s="70"/>
      <c r="E23" s="70"/>
      <c r="F23" s="70"/>
    </row>
    <row r="24" spans="1:6">
      <c r="A24" s="70" t="s">
        <v>349</v>
      </c>
      <c r="B24" s="70">
        <v>2060702</v>
      </c>
      <c r="C24" s="70"/>
      <c r="D24" s="70"/>
      <c r="E24" s="70"/>
      <c r="F24" s="70"/>
    </row>
    <row r="25" spans="1:6">
      <c r="A25" s="70" t="s">
        <v>399</v>
      </c>
      <c r="B25" s="70">
        <v>2080501</v>
      </c>
      <c r="C25" s="70"/>
      <c r="D25" s="70"/>
      <c r="E25" s="70"/>
      <c r="F25" s="70"/>
    </row>
    <row r="26" spans="1:6">
      <c r="A26" s="70" t="s">
        <v>332</v>
      </c>
      <c r="B26" s="70">
        <v>2080502</v>
      </c>
      <c r="C26" s="70"/>
      <c r="D26" s="70"/>
      <c r="E26" s="70"/>
      <c r="F26" s="70"/>
    </row>
    <row r="27" spans="1:6">
      <c r="A27" s="70" t="s">
        <v>333</v>
      </c>
      <c r="B27" s="70">
        <v>2080505</v>
      </c>
      <c r="C27" s="70"/>
      <c r="D27" s="70"/>
      <c r="E27" s="70"/>
      <c r="F27" s="70"/>
    </row>
    <row r="28" spans="1:6">
      <c r="A28" s="70" t="s">
        <v>334</v>
      </c>
      <c r="B28" s="70">
        <v>2080506</v>
      </c>
      <c r="C28" s="70"/>
      <c r="D28" s="70"/>
      <c r="E28" s="70"/>
      <c r="F28" s="70"/>
    </row>
    <row r="29" spans="1:6">
      <c r="A29" s="70" t="s">
        <v>335</v>
      </c>
      <c r="B29" s="70">
        <v>2080801</v>
      </c>
      <c r="C29" s="70"/>
      <c r="D29" s="70"/>
      <c r="E29" s="70"/>
      <c r="F29" s="70"/>
    </row>
    <row r="30" spans="1:6">
      <c r="A30" s="70" t="s">
        <v>400</v>
      </c>
      <c r="B30" s="70">
        <v>2101101</v>
      </c>
      <c r="C30" s="70"/>
      <c r="D30" s="70"/>
      <c r="E30" s="70"/>
      <c r="F30" s="70"/>
    </row>
    <row r="31" spans="1:6">
      <c r="A31" s="70" t="s">
        <v>336</v>
      </c>
      <c r="B31" s="70">
        <v>2101102</v>
      </c>
      <c r="C31" s="70"/>
      <c r="D31" s="70"/>
      <c r="E31" s="70"/>
      <c r="F31" s="70"/>
    </row>
    <row r="32" spans="1:6">
      <c r="A32" s="70" t="s">
        <v>337</v>
      </c>
      <c r="B32" s="70">
        <v>2101199</v>
      </c>
      <c r="C32" s="70"/>
      <c r="D32" s="70"/>
      <c r="E32" s="70"/>
      <c r="F32" s="70"/>
    </row>
    <row r="33" spans="1:6">
      <c r="A33" s="70" t="s">
        <v>354</v>
      </c>
      <c r="B33" s="70">
        <v>2120399</v>
      </c>
      <c r="C33" s="70"/>
      <c r="D33" s="70"/>
      <c r="E33" s="70"/>
      <c r="F33" s="70"/>
    </row>
    <row r="34" spans="1:6">
      <c r="A34" s="70" t="s">
        <v>451</v>
      </c>
      <c r="B34" s="70">
        <v>2120801</v>
      </c>
      <c r="C34" s="70" t="s">
        <v>450</v>
      </c>
      <c r="D34" s="70" t="s">
        <v>452</v>
      </c>
      <c r="E34" s="70"/>
      <c r="F34" s="70"/>
    </row>
    <row r="35" spans="1:6">
      <c r="A35" s="70" t="s">
        <v>351</v>
      </c>
      <c r="B35" s="70">
        <v>2130506</v>
      </c>
      <c r="C35" s="70">
        <v>2020</v>
      </c>
      <c r="D35" s="70"/>
      <c r="E35" s="70"/>
      <c r="F35" s="70"/>
    </row>
    <row r="36" spans="1:6">
      <c r="A36" s="70" t="s">
        <v>338</v>
      </c>
      <c r="B36" s="70">
        <v>2210201</v>
      </c>
      <c r="C36" s="70"/>
      <c r="D36" s="70"/>
      <c r="E36" s="70"/>
      <c r="F36" s="70"/>
    </row>
    <row r="37" spans="1:6">
      <c r="A37" s="70" t="s">
        <v>339</v>
      </c>
      <c r="B37" s="70">
        <v>2210202</v>
      </c>
      <c r="C37" s="70"/>
      <c r="D37" s="70"/>
      <c r="E37" s="70"/>
      <c r="F37" s="70"/>
    </row>
    <row r="38" spans="1:6">
      <c r="A38" s="70" t="s">
        <v>340</v>
      </c>
      <c r="B38" s="70">
        <v>2210203</v>
      </c>
      <c r="C38" s="70"/>
      <c r="D38" s="70"/>
      <c r="E38" s="70"/>
      <c r="F38" s="70"/>
    </row>
    <row r="39" spans="1:6">
      <c r="A39" s="70" t="s">
        <v>401</v>
      </c>
      <c r="B39" s="70">
        <v>2296003</v>
      </c>
      <c r="C39" s="70"/>
      <c r="D39" s="70"/>
      <c r="E39" s="70"/>
      <c r="F39" s="70"/>
    </row>
    <row r="40" spans="1:6">
      <c r="A40" s="70" t="s">
        <v>402</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6" t="s">
        <v>173</v>
      </c>
      <c r="B1" s="76"/>
      <c r="C1" s="76"/>
      <c r="D1" s="76"/>
      <c r="E1" s="76"/>
      <c r="F1" s="76"/>
      <c r="G1" s="76"/>
      <c r="H1" s="76"/>
      <c r="I1" s="76"/>
      <c r="J1" s="76"/>
      <c r="K1" s="76"/>
      <c r="L1" s="76"/>
      <c r="M1" s="76"/>
      <c r="N1" s="76"/>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7" t="s">
        <v>411</v>
      </c>
      <c r="B10" s="77"/>
      <c r="C10" s="77"/>
      <c r="D10" s="77"/>
      <c r="E10" s="77"/>
      <c r="F10" s="77"/>
      <c r="G10" s="77"/>
      <c r="H10" s="77"/>
      <c r="I10" s="77"/>
      <c r="J10" s="77"/>
      <c r="K10" s="77"/>
      <c r="L10" s="77"/>
      <c r="M10" s="77"/>
      <c r="N10" s="77"/>
    </row>
    <row r="11" spans="1:14" ht="78" customHeight="1">
      <c r="A11" s="78" t="s">
        <v>456</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8"/>
  <sheetViews>
    <sheetView topLeftCell="A49" zoomScaleNormal="100" workbookViewId="0">
      <selection activeCell="B59" sqref="B59:L59"/>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408</v>
      </c>
      <c r="B1" s="77"/>
      <c r="C1" s="77"/>
      <c r="D1" s="77"/>
      <c r="E1" s="77"/>
      <c r="F1" s="77"/>
      <c r="G1" s="77"/>
      <c r="H1" s="77"/>
      <c r="I1" s="77"/>
      <c r="J1" s="77"/>
      <c r="K1" s="77"/>
      <c r="L1" s="77"/>
      <c r="M1" s="77"/>
      <c r="N1" s="55"/>
    </row>
    <row r="2" spans="1:14" ht="18" customHeight="1">
      <c r="A2" s="6" t="s">
        <v>174</v>
      </c>
    </row>
    <row r="3" spans="1:14" ht="18" customHeight="1">
      <c r="A3" s="7" t="s">
        <v>175</v>
      </c>
    </row>
    <row r="4" spans="1:14" ht="103.5" customHeight="1">
      <c r="A4" s="79" t="s">
        <v>459</v>
      </c>
      <c r="B4" s="79"/>
      <c r="C4" s="79"/>
      <c r="D4" s="79"/>
      <c r="E4" s="79"/>
      <c r="F4" s="79"/>
      <c r="G4" s="79"/>
      <c r="H4" s="79"/>
      <c r="I4" s="79"/>
      <c r="J4" s="79"/>
      <c r="K4" s="79"/>
      <c r="L4" s="79"/>
      <c r="M4" s="79"/>
      <c r="N4" s="18"/>
    </row>
    <row r="5" spans="1:14" ht="18" customHeight="1">
      <c r="A5" s="7" t="s">
        <v>176</v>
      </c>
    </row>
    <row r="6" spans="1:14" ht="18" customHeight="1">
      <c r="A6" s="84" t="s">
        <v>241</v>
      </c>
      <c r="B6" s="84"/>
      <c r="C6" s="10">
        <v>87</v>
      </c>
      <c r="D6" s="10" t="s">
        <v>243</v>
      </c>
      <c r="E6" s="8">
        <f>_xlfn.IFNA(VLOOKUP(封面!B1,'2021决算导出'!A:C,3,FALSE),"")</f>
        <v>79</v>
      </c>
      <c r="F6" s="10" t="s">
        <v>244</v>
      </c>
      <c r="G6" s="10"/>
      <c r="H6" s="10"/>
      <c r="I6" s="10"/>
      <c r="J6" s="10"/>
      <c r="K6" s="10"/>
      <c r="L6" s="10"/>
      <c r="M6" s="10"/>
      <c r="N6" s="10"/>
    </row>
    <row r="7" spans="1:14" ht="18" customHeight="1">
      <c r="A7" s="6" t="s">
        <v>177</v>
      </c>
    </row>
    <row r="8" spans="1:14" ht="18" customHeight="1">
      <c r="A8" s="84" t="s">
        <v>412</v>
      </c>
      <c r="B8" s="84"/>
      <c r="C8" s="84"/>
      <c r="D8" s="13">
        <f>_xlfn.IFNA(VLOOKUP(封面!B1,'2021决算导出'!A:D,4,FALSE),"")</f>
        <v>26609094.850000001</v>
      </c>
      <c r="E8" s="7" t="s">
        <v>179</v>
      </c>
      <c r="F8" s="19" t="s">
        <v>245</v>
      </c>
      <c r="G8" s="29" t="str">
        <f>IF(ISNA(VLOOKUP(封面!B1,'2020决算导出'!A:D,4,FALSE)),"",IF(D8-VLOOKUP(封面!B1,'2020决算导出'!A:D,4,FALSE)&gt;0,"增加","减少"))</f>
        <v>增加</v>
      </c>
      <c r="H8" s="32">
        <f>IF(ISNA(VLOOKUP(封面!B1,'2020决算导出'!A:D,4,FALSE)),"",IF(D8-VLOOKUP(封面!B1,'2020决算导出'!A:D,4,FALSE)&gt;0,D8-VLOOKUP(封面!B1,'2020决算导出'!A:D,4,FALSE),VLOOKUP(封面!B1,'2020决算导出'!A:D,4,FALSE)-D8))</f>
        <v>1850185.0200000033</v>
      </c>
      <c r="I8" s="15" t="s">
        <v>179</v>
      </c>
      <c r="J8" s="29" t="str">
        <f>IF(ISNA(VLOOKUP(封面!B1,'2020决算导出'!A:D,4,FALSE)),"",IF(D8-VLOOKUP(封面!B1,'2020决算导出'!A:D,4,FALSE)&gt;0,"增长","下降"))</f>
        <v>增长</v>
      </c>
      <c r="K8" s="30">
        <f>IF(ISNA(VLOOKUP(封面!B1,'2020决算导出'!A:D,4,FALSE)),"",H8/VLOOKUP(封面!B1,'2020决算导出'!A:D,4,FALSE))</f>
        <v>7.4728048718775253E-2</v>
      </c>
      <c r="L8" s="7" t="s">
        <v>309</v>
      </c>
    </row>
    <row r="9" spans="1:14" ht="18" customHeight="1">
      <c r="A9" s="7" t="s">
        <v>180</v>
      </c>
      <c r="G9" s="31"/>
      <c r="H9" s="31"/>
      <c r="I9" s="31"/>
      <c r="J9" s="31"/>
      <c r="K9" s="31"/>
    </row>
    <row r="10" spans="1:14" ht="18" customHeight="1">
      <c r="A10" s="84" t="s">
        <v>413</v>
      </c>
      <c r="B10" s="84"/>
      <c r="C10" s="84"/>
      <c r="D10" s="13">
        <f>_xlfn.IFNA(VLOOKUP(封面!B1,'2021决算导出'!A:E,5,FALSE),"")</f>
        <v>26609094.850000001</v>
      </c>
      <c r="E10" s="7" t="s">
        <v>179</v>
      </c>
      <c r="F10" s="19" t="s">
        <v>245</v>
      </c>
      <c r="G10" s="29" t="str">
        <f>IF(ISNA(VLOOKUP(封面!B1,'2020决算导出'!A:E,5,FALSE)),"",IF(D10-VLOOKUP(封面!B1,'2020决算导出'!A:E,5,FALSE)&gt;0,"增加","减少"))</f>
        <v>增加</v>
      </c>
      <c r="H10" s="32">
        <f>IF(ISNA(VLOOKUP(封面!B1,'2020决算导出'!A:E,5,FALSE)),"",IF(D10-VLOOKUP(封面!B1,'2020决算导出'!A:E,5,FALSE)&gt;0,D10-VLOOKUP(封面!B1,'2020决算导出'!A:E,5,FALSE),VLOOKUP(封面!B1,'2020决算导出'!A:E,5,FALSE)-D10))</f>
        <v>1850185.0200000033</v>
      </c>
      <c r="I10" s="15" t="s">
        <v>179</v>
      </c>
      <c r="J10" s="29" t="str">
        <f>IF(ISNA(VLOOKUP(封面!B1,'2020决算导出'!A:E,5,FALSE)),"",IF(D10-VLOOKUP(封面!B1,'2020决算导出'!A:E,5,FALSE)&gt;0,"增长","下降"))</f>
        <v>增长</v>
      </c>
      <c r="K10" s="30">
        <f>IF(ISNA(VLOOKUP(封面!B1,'2020决算导出'!A:E,5,FALSE)),"",H10/VLOOKUP(封面!B1,'2020决算导出'!A:E,5,FALSE))</f>
        <v>7.4728048718775253E-2</v>
      </c>
      <c r="L10" s="7" t="s">
        <v>310</v>
      </c>
    </row>
    <row r="11" spans="1:14" ht="18" customHeight="1">
      <c r="A11" s="84" t="s">
        <v>181</v>
      </c>
      <c r="B11" s="84"/>
      <c r="C11" s="84"/>
      <c r="D11" s="13">
        <f>_xlfn.IFNA(VLOOKUP(封面!B1,'2021决算导出'!A:F,6,FALSE),"")</f>
        <v>26609094.850000001</v>
      </c>
      <c r="E11" s="7" t="s">
        <v>179</v>
      </c>
      <c r="F11" s="84" t="s">
        <v>182</v>
      </c>
      <c r="G11" s="84"/>
      <c r="H11" s="28">
        <f>D11/$D$10</f>
        <v>1</v>
      </c>
      <c r="I11" s="7" t="s">
        <v>311</v>
      </c>
    </row>
    <row r="12" spans="1:14" ht="18" customHeight="1">
      <c r="A12" s="84" t="s">
        <v>183</v>
      </c>
      <c r="B12" s="84"/>
      <c r="C12" s="84"/>
      <c r="D12" s="13">
        <f>_xlfn.IFNA(VLOOKUP(封面!B1,'2021决算导出'!A:G,7,FALSE),"")</f>
        <v>0</v>
      </c>
      <c r="E12" s="7" t="s">
        <v>179</v>
      </c>
      <c r="F12" s="84" t="s">
        <v>182</v>
      </c>
      <c r="G12" s="84"/>
      <c r="H12" s="28">
        <f t="shared" ref="H12:H15" si="0">D12/$D$10</f>
        <v>0</v>
      </c>
      <c r="I12" s="7" t="s">
        <v>311</v>
      </c>
    </row>
    <row r="13" spans="1:14" ht="18" customHeight="1">
      <c r="A13" s="84" t="s">
        <v>184</v>
      </c>
      <c r="B13" s="84"/>
      <c r="C13" s="84"/>
      <c r="D13" s="13">
        <f>_xlfn.IFNA(VLOOKUP(封面!B1,'2021决算导出'!A:H,8,FALSE),"")</f>
        <v>0</v>
      </c>
      <c r="E13" s="7" t="s">
        <v>179</v>
      </c>
      <c r="F13" s="84" t="s">
        <v>182</v>
      </c>
      <c r="G13" s="84"/>
      <c r="H13" s="28">
        <f t="shared" si="0"/>
        <v>0</v>
      </c>
      <c r="I13" s="7" t="s">
        <v>311</v>
      </c>
    </row>
    <row r="14" spans="1:14" ht="18" customHeight="1">
      <c r="A14" s="84" t="s">
        <v>185</v>
      </c>
      <c r="B14" s="84"/>
      <c r="C14" s="84"/>
      <c r="D14" s="13">
        <f>_xlfn.IFNA(VLOOKUP(封面!B1,'2021决算导出'!A:I,9,FALSE),"")</f>
        <v>0</v>
      </c>
      <c r="E14" s="7" t="s">
        <v>179</v>
      </c>
      <c r="F14" s="84" t="s">
        <v>182</v>
      </c>
      <c r="G14" s="84"/>
      <c r="H14" s="28">
        <f t="shared" si="0"/>
        <v>0</v>
      </c>
      <c r="I14" s="7" t="s">
        <v>311</v>
      </c>
    </row>
    <row r="15" spans="1:14" ht="18" customHeight="1">
      <c r="A15" s="84" t="s">
        <v>186</v>
      </c>
      <c r="B15" s="84"/>
      <c r="C15" s="84"/>
      <c r="D15" s="13">
        <f>_xlfn.IFNA(VLOOKUP(封面!B1,'2021决算导出'!A:J,10,FALSE),"")</f>
        <v>0</v>
      </c>
      <c r="E15" s="7" t="s">
        <v>179</v>
      </c>
      <c r="F15" s="84" t="s">
        <v>182</v>
      </c>
      <c r="G15" s="84"/>
      <c r="H15" s="28">
        <f t="shared" si="0"/>
        <v>0</v>
      </c>
      <c r="I15" s="7" t="s">
        <v>312</v>
      </c>
    </row>
    <row r="16" spans="1:14" ht="18" customHeight="1">
      <c r="A16" s="7" t="s">
        <v>187</v>
      </c>
    </row>
    <row r="17" spans="1:13" ht="18" customHeight="1">
      <c r="A17" s="84" t="s">
        <v>414</v>
      </c>
      <c r="B17" s="84"/>
      <c r="C17" s="84"/>
      <c r="D17" s="13">
        <f>_xlfn.IFNA(VLOOKUP(封面!B1,'2021决算导出'!A:K,11,FALSE),"")</f>
        <v>26609094.850000001</v>
      </c>
      <c r="E17" s="7" t="s">
        <v>179</v>
      </c>
      <c r="F17" s="19" t="s">
        <v>245</v>
      </c>
      <c r="G17" s="29" t="str">
        <f>IF(ISNA(VLOOKUP(封面!B1,'2020决算导出'!A:K,11,FALSE)),"",IF(D17-VLOOKUP(封面!B1,'2020决算导出'!A:K,11,FALSE)&gt;0,"增加","减少"))</f>
        <v>增加</v>
      </c>
      <c r="H17" s="32">
        <f>IF(ISNA(VLOOKUP(封面!B1,'2020决算导出'!A:K,11,FALSE)),"",IF(D17-VLOOKUP(封面!B1,'2020决算导出'!A:K,11,FALSE)&gt;0,D17-VLOOKUP(封面!B1,'2020决算导出'!A:K,11,FALSE),VLOOKUP(封面!B1,'2020决算导出'!A:K,11,FALSE)-D17))</f>
        <v>1850185.0200000033</v>
      </c>
      <c r="I17" s="7" t="s">
        <v>179</v>
      </c>
      <c r="J17" s="29" t="str">
        <f>IF(ISNA(VLOOKUP(封面!B1,'2020决算导出'!A:K,11,FALSE)),"",IF(D17-VLOOKUP(封面!B1,'2020决算导出'!A:K,11,FALSE)&gt;0,"增长","下降"))</f>
        <v>增长</v>
      </c>
      <c r="K17" s="30">
        <f>IF(ISNA(VLOOKUP(封面!B1,'2020决算导出'!A:K,11,FALSE)),"",H17/VLOOKUP(封面!B1,'2020决算导出'!A:K,11,FALSE))</f>
        <v>7.4728048718775253E-2</v>
      </c>
      <c r="L17" s="7" t="s">
        <v>313</v>
      </c>
    </row>
    <row r="18" spans="1:13" ht="18" customHeight="1">
      <c r="A18" s="84" t="s">
        <v>188</v>
      </c>
      <c r="B18" s="84"/>
      <c r="C18" s="84"/>
      <c r="D18" s="13">
        <f>_xlfn.IFNA(VLOOKUP(封面!B1,'2021决算导出'!A:L,12,FALSE),"")</f>
        <v>24423731.579999998</v>
      </c>
      <c r="E18" s="7" t="s">
        <v>179</v>
      </c>
      <c r="F18" s="84" t="s">
        <v>189</v>
      </c>
      <c r="G18" s="84"/>
      <c r="H18" s="28">
        <f>D18/$D$17</f>
        <v>0.91787156675868653</v>
      </c>
      <c r="I18" s="7" t="s">
        <v>311</v>
      </c>
    </row>
    <row r="19" spans="1:13" ht="18" customHeight="1">
      <c r="A19" s="84" t="s">
        <v>190</v>
      </c>
      <c r="B19" s="84"/>
      <c r="C19" s="84"/>
      <c r="D19" s="13">
        <f>_xlfn.IFNA(VLOOKUP(封面!B1,'2021决算导出'!A:M,13,FALSE),"")</f>
        <v>2185363.27</v>
      </c>
      <c r="E19" s="7" t="s">
        <v>179</v>
      </c>
      <c r="F19" s="84" t="s">
        <v>189</v>
      </c>
      <c r="G19" s="84"/>
      <c r="H19" s="28">
        <f t="shared" ref="H19:H20" si="1">D19/$D$17</f>
        <v>8.2128433241313345E-2</v>
      </c>
      <c r="I19" s="7" t="s">
        <v>311</v>
      </c>
    </row>
    <row r="20" spans="1:13" ht="18" customHeight="1">
      <c r="A20" s="84" t="s">
        <v>191</v>
      </c>
      <c r="B20" s="84"/>
      <c r="C20" s="84"/>
      <c r="D20" s="13">
        <f>_xlfn.IFNA(VLOOKUP(封面!B1,'2021决算导出'!A:N,14,FALSE),"")</f>
        <v>0</v>
      </c>
      <c r="E20" s="7" t="s">
        <v>179</v>
      </c>
      <c r="F20" s="84" t="s">
        <v>189</v>
      </c>
      <c r="G20" s="84"/>
      <c r="H20" s="28">
        <f t="shared" si="1"/>
        <v>0</v>
      </c>
      <c r="I20" s="7" t="s">
        <v>312</v>
      </c>
    </row>
    <row r="21" spans="1:13" ht="18" customHeight="1">
      <c r="A21" s="6" t="s">
        <v>192</v>
      </c>
    </row>
    <row r="22" spans="1:13" ht="18" customHeight="1">
      <c r="A22" s="84" t="s">
        <v>415</v>
      </c>
      <c r="B22" s="84"/>
      <c r="C22" s="84"/>
      <c r="D22" s="84"/>
      <c r="E22" s="82">
        <f>_xlfn.IFNA(VLOOKUP(封面!B1,'2021决算导出'!A:O,15,FALSE),"")</f>
        <v>26609094.850000001</v>
      </c>
      <c r="F22" s="82"/>
      <c r="G22" s="14" t="s">
        <v>245</v>
      </c>
      <c r="H22" s="29" t="str">
        <f>IF(ISNA(VLOOKUP(封面!B1,'2020决算导出'!A:O,15,FALSE)),"",IF(E22-VLOOKUP(封面!B1,'2020决算导出'!A:O,15,FALSE)&gt;0,"增加","减少"))</f>
        <v>增加</v>
      </c>
      <c r="I22" s="32">
        <f>IF(ISNA(VLOOKUP(封面!B1,'2020决算导出'!A:O,15,FALSE)),"",IF(E22-VLOOKUP(封面!B1,'2020决算导出'!A:O,15,FALSE)&gt;0,E22-VLOOKUP(封面!B1,'2020决算导出'!A:O,15,FALSE),VLOOKUP(封面!B1,'2020决算导出'!A:O,15,FALSE)-E22))</f>
        <v>1850185.0200000033</v>
      </c>
      <c r="J22" s="7" t="s">
        <v>179</v>
      </c>
      <c r="K22" s="29" t="str">
        <f>IF(ISNA(VLOOKUP(封面!B1,'2020决算导出'!A:O,15,FALSE)),"",IF(E22-VLOOKUP(封面!B1,'2020决算导出'!A:O,15,FALSE)&gt;0,"增长","下降"))</f>
        <v>增长</v>
      </c>
      <c r="L22" s="30">
        <f>IF(ISNA(VLOOKUP(封面!B1,'2020决算导出'!A:O,15,FALSE)),"",I22/VLOOKUP(封面!B1,'2020决算导出'!A:O,15,FALSE))</f>
        <v>7.4728048718775253E-2</v>
      </c>
      <c r="M22" s="7" t="s">
        <v>309</v>
      </c>
    </row>
    <row r="23" spans="1:13" ht="63.6" customHeight="1">
      <c r="B23" s="86" t="s">
        <v>460</v>
      </c>
      <c r="C23" s="86"/>
      <c r="D23" s="86"/>
      <c r="E23" s="86"/>
      <c r="F23" s="86"/>
      <c r="G23" s="86"/>
      <c r="H23" s="86"/>
      <c r="I23" s="86"/>
      <c r="J23" s="86"/>
      <c r="K23" s="86"/>
      <c r="L23" s="86"/>
      <c r="M23" s="86"/>
    </row>
    <row r="24" spans="1:13" ht="18" customHeight="1">
      <c r="A24" s="6" t="s">
        <v>193</v>
      </c>
    </row>
    <row r="25" spans="1:13" ht="18" customHeight="1">
      <c r="A25" s="7" t="s">
        <v>194</v>
      </c>
    </row>
    <row r="26" spans="1:13" ht="18" customHeight="1">
      <c r="A26" s="84" t="s">
        <v>416</v>
      </c>
      <c r="B26" s="84"/>
      <c r="C26" s="84"/>
      <c r="D26" s="84"/>
      <c r="E26" s="84"/>
      <c r="F26" s="82">
        <f>_xlfn.IFNA(VLOOKUP(封面!B1,'2021决算导出'!A:P,16,FALSE),"")</f>
        <v>26609094.850000001</v>
      </c>
      <c r="G26" s="82"/>
      <c r="H26" s="7" t="s">
        <v>179</v>
      </c>
      <c r="I26" s="10" t="s">
        <v>195</v>
      </c>
      <c r="J26" s="10"/>
      <c r="K26" s="10"/>
      <c r="L26" s="10"/>
      <c r="M26" s="10"/>
    </row>
    <row r="27" spans="1:13" ht="18" customHeight="1">
      <c r="A27" s="84" t="s">
        <v>198</v>
      </c>
      <c r="B27" s="84"/>
      <c r="C27" s="84"/>
      <c r="D27" s="82">
        <f>_xlfn.IFNA(VLOOKUP(封面!B1,'2021决算导出'!A:Q,17,FALSE),"")</f>
        <v>20137236.16</v>
      </c>
      <c r="E27" s="82"/>
      <c r="F27" s="7" t="s">
        <v>179</v>
      </c>
      <c r="G27" s="83" t="s">
        <v>197</v>
      </c>
      <c r="H27" s="83"/>
      <c r="I27" s="28">
        <f>D27/$F$26</f>
        <v>0.75678020141297664</v>
      </c>
      <c r="J27" s="7" t="s">
        <v>311</v>
      </c>
      <c r="K27" s="9"/>
      <c r="L27" s="9"/>
      <c r="M27" s="9"/>
    </row>
    <row r="28" spans="1:13" ht="18" customHeight="1">
      <c r="A28" s="84" t="s">
        <v>199</v>
      </c>
      <c r="B28" s="84"/>
      <c r="C28" s="84"/>
      <c r="D28" s="82">
        <f>_xlfn.IFNA(VLOOKUP(封面!B1,'2021决算导出'!A:R,18,FALSE),"")</f>
        <v>0</v>
      </c>
      <c r="E28" s="82"/>
      <c r="F28" s="7" t="s">
        <v>179</v>
      </c>
      <c r="G28" s="83" t="s">
        <v>197</v>
      </c>
      <c r="H28" s="83"/>
      <c r="I28" s="28">
        <f t="shared" ref="I28:I32" si="2">D28/$F$26</f>
        <v>0</v>
      </c>
      <c r="J28" s="7" t="s">
        <v>311</v>
      </c>
      <c r="K28" s="9"/>
      <c r="L28" s="9"/>
      <c r="M28" s="9"/>
    </row>
    <row r="29" spans="1:13" ht="18" customHeight="1">
      <c r="A29" s="84" t="s">
        <v>196</v>
      </c>
      <c r="B29" s="84"/>
      <c r="C29" s="84"/>
      <c r="D29" s="82">
        <f>_xlfn.IFNA(VLOOKUP(封面!B1,'2021决算导出'!A:S,19,FALSE),"")</f>
        <v>2353487.14</v>
      </c>
      <c r="E29" s="82"/>
      <c r="F29" s="7" t="s">
        <v>179</v>
      </c>
      <c r="G29" s="83" t="s">
        <v>197</v>
      </c>
      <c r="H29" s="83"/>
      <c r="I29" s="28">
        <f t="shared" si="2"/>
        <v>8.8446719186316108E-2</v>
      </c>
      <c r="J29" s="7" t="s">
        <v>311</v>
      </c>
    </row>
    <row r="30" spans="1:13" ht="18" customHeight="1">
      <c r="A30" s="84" t="s">
        <v>200</v>
      </c>
      <c r="B30" s="84"/>
      <c r="C30" s="84"/>
      <c r="D30" s="82">
        <f>_xlfn.IFNA(VLOOKUP(封面!B1,'2021决算导出'!A:T,20,FALSE),"")</f>
        <v>1311254.55</v>
      </c>
      <c r="E30" s="82"/>
      <c r="F30" s="7" t="s">
        <v>179</v>
      </c>
      <c r="G30" s="83" t="s">
        <v>197</v>
      </c>
      <c r="H30" s="83"/>
      <c r="I30" s="28">
        <f t="shared" si="2"/>
        <v>4.9278434963374938E-2</v>
      </c>
      <c r="J30" s="7" t="s">
        <v>311</v>
      </c>
    </row>
    <row r="31" spans="1:13" ht="18" customHeight="1">
      <c r="A31" s="84" t="s">
        <v>201</v>
      </c>
      <c r="B31" s="84"/>
      <c r="C31" s="84"/>
      <c r="D31" s="82">
        <f>_xlfn.IFNA(VLOOKUP(封面!B1,'2021决算导出'!A:U,21,FALSE),"")</f>
        <v>0</v>
      </c>
      <c r="E31" s="82"/>
      <c r="F31" s="7" t="s">
        <v>179</v>
      </c>
      <c r="G31" s="83" t="s">
        <v>197</v>
      </c>
      <c r="H31" s="83"/>
      <c r="I31" s="28">
        <f t="shared" si="2"/>
        <v>0</v>
      </c>
      <c r="J31" s="7" t="s">
        <v>311</v>
      </c>
    </row>
    <row r="32" spans="1:13" ht="18" customHeight="1">
      <c r="A32" s="84" t="s">
        <v>202</v>
      </c>
      <c r="B32" s="84"/>
      <c r="C32" s="84"/>
      <c r="D32" s="82">
        <f>_xlfn.IFNA(VLOOKUP(封面!B1,'2021决算导出'!A:V,22,FALSE),"")</f>
        <v>2807117</v>
      </c>
      <c r="E32" s="82"/>
      <c r="F32" s="7" t="s">
        <v>179</v>
      </c>
      <c r="G32" s="83" t="s">
        <v>197</v>
      </c>
      <c r="H32" s="83"/>
      <c r="I32" s="28">
        <f t="shared" si="2"/>
        <v>0.10549464443733229</v>
      </c>
      <c r="J32" s="7" t="s">
        <v>311</v>
      </c>
    </row>
    <row r="33" spans="1:12" ht="18" customHeight="1">
      <c r="A33" s="7" t="s">
        <v>203</v>
      </c>
    </row>
    <row r="34" spans="1:12" ht="18" customHeight="1">
      <c r="A34" s="80" t="s">
        <v>417</v>
      </c>
      <c r="B34" s="80"/>
      <c r="C34" s="80"/>
      <c r="D34" s="80"/>
      <c r="E34" s="82">
        <f>_xlfn.IFNA(VLOOKUP(封面!B1,一般公共预算财政拨款支出决算具体情况!A:C,3,FALSE),"")</f>
        <v>20137236.16</v>
      </c>
      <c r="F34" s="82"/>
      <c r="G34" s="7" t="s">
        <v>179</v>
      </c>
      <c r="H34" s="83" t="s">
        <v>418</v>
      </c>
      <c r="I34" s="83"/>
      <c r="J34" s="82">
        <f>_xlfn.IFNA(VLOOKUP(封面!B1,一般公共预算财政拨款支出决算具体情况!A:D,4,FALSE),"")</f>
        <v>16975618.050000001</v>
      </c>
      <c r="K34" s="82"/>
      <c r="L34" s="11" t="s">
        <v>178</v>
      </c>
    </row>
    <row r="35" spans="1:12" ht="18" customHeight="1">
      <c r="B35" s="14" t="str">
        <f>IF(E34&gt;J34,"增加","减少")</f>
        <v>增加</v>
      </c>
      <c r="C35" s="82">
        <f>ABS(E34-J34)</f>
        <v>3161618.1099999994</v>
      </c>
      <c r="D35" s="82"/>
      <c r="E35" s="7" t="s">
        <v>179</v>
      </c>
      <c r="F35" s="14" t="str">
        <f>IF(E34&gt;J34,"增长","下降")</f>
        <v>增长</v>
      </c>
      <c r="G35" s="33">
        <f>IF(J34=0,IF(E34&gt;0,1,""),C35/J34)</f>
        <v>0.18624465399066864</v>
      </c>
      <c r="H35" s="7" t="s">
        <v>312</v>
      </c>
      <c r="I35" s="11" t="s">
        <v>204</v>
      </c>
    </row>
    <row r="36" spans="1:12" ht="18" customHeight="1">
      <c r="A36" s="84" t="s">
        <v>419</v>
      </c>
      <c r="B36" s="84"/>
      <c r="C36" s="84"/>
      <c r="D36" s="84"/>
      <c r="E36" s="82">
        <f>_xlfn.IFNA(VLOOKUP(封面!B1,一般公共预算财政拨款支出决算具体情况!A:E,5,FALSE),"")</f>
        <v>20036627.170000002</v>
      </c>
      <c r="F36" s="82"/>
      <c r="G36" s="7" t="s">
        <v>179</v>
      </c>
      <c r="H36" s="83" t="s">
        <v>418</v>
      </c>
      <c r="I36" s="83"/>
      <c r="J36" s="82">
        <f>_xlfn.IFNA(VLOOKUP(封面!B1,一般公共预算财政拨款支出决算具体情况!A:F,6,FALSE),"")</f>
        <v>16874138.050000001</v>
      </c>
      <c r="K36" s="82"/>
      <c r="L36" s="11" t="s">
        <v>178</v>
      </c>
    </row>
    <row r="37" spans="1:12" ht="18" customHeight="1">
      <c r="A37" s="14"/>
      <c r="B37" s="14" t="str">
        <f>IF(E36&gt;J36,"增加","减少")</f>
        <v>增加</v>
      </c>
      <c r="C37" s="82">
        <f>ABS(E36-J36)</f>
        <v>3162489.120000001</v>
      </c>
      <c r="D37" s="82"/>
      <c r="E37" s="7" t="s">
        <v>179</v>
      </c>
      <c r="F37" s="14" t="str">
        <f>IF(E36&gt;J36,"增长","下降")</f>
        <v>增长</v>
      </c>
      <c r="G37" s="33">
        <f>IF(J36=0,IF(E36&gt;0,1,""),C37/J36)</f>
        <v>0.18741633561543614</v>
      </c>
      <c r="H37" s="7" t="s">
        <v>312</v>
      </c>
    </row>
    <row r="38" spans="1:12" ht="36" customHeight="1">
      <c r="B38" s="79" t="s">
        <v>464</v>
      </c>
      <c r="C38" s="79"/>
      <c r="D38" s="79"/>
      <c r="E38" s="79"/>
      <c r="F38" s="79"/>
      <c r="G38" s="79"/>
      <c r="H38" s="79"/>
      <c r="I38" s="79"/>
      <c r="J38" s="79"/>
      <c r="K38" s="79"/>
      <c r="L38" s="79"/>
    </row>
    <row r="39" spans="1:12" ht="18" customHeight="1">
      <c r="A39" s="84" t="s">
        <v>420</v>
      </c>
      <c r="B39" s="84"/>
      <c r="C39" s="84"/>
      <c r="D39" s="84"/>
      <c r="E39" s="82">
        <f>_xlfn.IFNA(VLOOKUP(封面!B1,一般公共预算财政拨款支出决算具体情况!A:M,13,FALSE),"")</f>
        <v>44200</v>
      </c>
      <c r="F39" s="82"/>
      <c r="G39" s="7" t="s">
        <v>179</v>
      </c>
      <c r="H39" s="83" t="s">
        <v>418</v>
      </c>
      <c r="I39" s="83"/>
      <c r="J39" s="82">
        <f>_xlfn.IFNA(VLOOKUP(封面!B1,一般公共预算财政拨款支出决算具体情况!A:N,14,FALSE),"")</f>
        <v>44200</v>
      </c>
      <c r="K39" s="82"/>
      <c r="L39" s="11" t="s">
        <v>178</v>
      </c>
    </row>
    <row r="40" spans="1:12" ht="18" customHeight="1">
      <c r="A40" s="14"/>
      <c r="B40" s="14" t="str">
        <f>IF(E39&gt;J39,"增加","减少")</f>
        <v>减少</v>
      </c>
      <c r="C40" s="82">
        <f>ABS(E39-J39)</f>
        <v>0</v>
      </c>
      <c r="D40" s="82"/>
      <c r="E40" s="7" t="s">
        <v>179</v>
      </c>
      <c r="F40" s="14" t="str">
        <f>IF(E39&gt;J39,"增长","下降")</f>
        <v>下降</v>
      </c>
      <c r="G40" s="33">
        <f>IF(J39=0,IF(E39&gt;0,1,""),C40/J39)</f>
        <v>0</v>
      </c>
      <c r="H40" s="7" t="s">
        <v>312</v>
      </c>
    </row>
    <row r="41" spans="1:12" ht="18" customHeight="1">
      <c r="A41" s="85" t="s">
        <v>421</v>
      </c>
      <c r="B41" s="85"/>
      <c r="C41" s="85"/>
      <c r="D41" s="85"/>
      <c r="E41" s="82">
        <f>_xlfn.IFNA(VLOOKUP(封面!B1,一般公共预算财政拨款支出决算具体情况!A:O,15,FALSE),"")</f>
        <v>56408.99</v>
      </c>
      <c r="F41" s="82"/>
      <c r="G41" s="7" t="s">
        <v>179</v>
      </c>
      <c r="H41" s="83" t="s">
        <v>418</v>
      </c>
      <c r="I41" s="83"/>
      <c r="J41" s="82">
        <f>_xlfn.IFNA(VLOOKUP(封面!B1,一般公共预算财政拨款支出决算具体情况!A:P,16,FALSE),"")</f>
        <v>57280</v>
      </c>
      <c r="K41" s="82"/>
      <c r="L41" s="11" t="s">
        <v>178</v>
      </c>
    </row>
    <row r="42" spans="1:12" ht="18" customHeight="1">
      <c r="A42" s="14"/>
      <c r="B42" s="14" t="str">
        <f>IF(E41&gt;J41,"增加","减少")</f>
        <v>减少</v>
      </c>
      <c r="C42" s="82">
        <f>ABS(E41-J41)</f>
        <v>871.01000000000204</v>
      </c>
      <c r="D42" s="82"/>
      <c r="E42" s="7" t="s">
        <v>179</v>
      </c>
      <c r="F42" s="14" t="str">
        <f>IF(E41&gt;J41,"增长","下降")</f>
        <v>下降</v>
      </c>
      <c r="G42" s="33">
        <f>IF(J41=0,IF(E41&gt;0,1,""),C42/J41)</f>
        <v>1.5206180167597802E-2</v>
      </c>
      <c r="H42" s="7" t="s">
        <v>312</v>
      </c>
    </row>
    <row r="43" spans="1:12" ht="36" customHeight="1">
      <c r="B43" s="79" t="s">
        <v>465</v>
      </c>
      <c r="C43" s="79"/>
      <c r="D43" s="79"/>
      <c r="E43" s="79"/>
      <c r="F43" s="79"/>
      <c r="G43" s="79"/>
      <c r="H43" s="79"/>
      <c r="I43" s="79"/>
      <c r="J43" s="79"/>
      <c r="K43" s="79"/>
      <c r="L43" s="79"/>
    </row>
    <row r="44" spans="1:12" ht="18" customHeight="1">
      <c r="A44" s="81" t="s">
        <v>461</v>
      </c>
      <c r="B44" s="81"/>
      <c r="C44" s="81"/>
      <c r="D44" s="81"/>
      <c r="E44" s="82">
        <f>_xlfn.IFNA(VLOOKUP(封面!B1,一般公共预算财政拨款支出决算具体情况!A:W,23,FALSE),"")</f>
        <v>2353487.14</v>
      </c>
      <c r="F44" s="82"/>
      <c r="G44" s="7" t="s">
        <v>179</v>
      </c>
      <c r="H44" s="83" t="s">
        <v>418</v>
      </c>
      <c r="I44" s="83"/>
      <c r="J44" s="82">
        <f>_xlfn.IFNA(VLOOKUP(封面!B1,一般公共预算财政拨款支出决算具体情况!A:X,24,FALSE),"")</f>
        <v>2903152.93</v>
      </c>
      <c r="K44" s="82"/>
      <c r="L44" s="11" t="s">
        <v>178</v>
      </c>
    </row>
    <row r="45" spans="1:12" ht="18" customHeight="1">
      <c r="B45" s="14" t="str">
        <f>IF(E44&gt;J44,"增加","减少")</f>
        <v>减少</v>
      </c>
      <c r="C45" s="82">
        <f>ABS(E44-J44)</f>
        <v>549665.79</v>
      </c>
      <c r="D45" s="82"/>
      <c r="E45" s="7" t="s">
        <v>179</v>
      </c>
      <c r="F45" s="14" t="str">
        <f>IF(E44&gt;J44,"增长","下降")</f>
        <v>下降</v>
      </c>
      <c r="G45" s="33">
        <f>IF(J44=0,IF(E44&gt;0,1,""),C45/J44)</f>
        <v>0.18933408030971349</v>
      </c>
      <c r="H45" s="7" t="s">
        <v>312</v>
      </c>
      <c r="I45" s="11" t="s">
        <v>204</v>
      </c>
    </row>
    <row r="46" spans="1:12" ht="18" customHeight="1">
      <c r="A46" s="85" t="s">
        <v>423</v>
      </c>
      <c r="B46" s="85"/>
      <c r="C46" s="85"/>
      <c r="D46" s="85"/>
      <c r="E46" s="82">
        <f>_xlfn.IFNA(VLOOKUP(封面!B1,一般公共预算财政拨款支出决算具体情况!A:Y,25,FALSE),"")</f>
        <v>2353487.14</v>
      </c>
      <c r="F46" s="82"/>
      <c r="G46" s="7" t="s">
        <v>179</v>
      </c>
      <c r="H46" s="83" t="s">
        <v>418</v>
      </c>
      <c r="I46" s="83"/>
      <c r="J46" s="82">
        <f>_xlfn.IFNA(VLOOKUP(封面!B1,一般公共预算财政拨款支出决算具体情况!A:Z,26,FALSE),"")</f>
        <v>2903152.93</v>
      </c>
      <c r="K46" s="82"/>
      <c r="L46" s="11" t="s">
        <v>178</v>
      </c>
    </row>
    <row r="47" spans="1:12" ht="18" customHeight="1">
      <c r="A47" s="14"/>
      <c r="B47" s="14" t="str">
        <f>IF(E46&gt;J46,"增加","减少")</f>
        <v>减少</v>
      </c>
      <c r="C47" s="82">
        <f>ABS(E46-J46)</f>
        <v>549665.79</v>
      </c>
      <c r="D47" s="82"/>
      <c r="E47" s="7" t="s">
        <v>179</v>
      </c>
      <c r="F47" s="14" t="str">
        <f>IF(E46&gt;J46,"增长","下降")</f>
        <v>下降</v>
      </c>
      <c r="G47" s="33">
        <f>IF(J46=0,IF(E46&gt;0,1,""),C47/J46)</f>
        <v>0.18933408030971349</v>
      </c>
      <c r="H47" s="7" t="s">
        <v>312</v>
      </c>
    </row>
    <row r="48" spans="1:12" ht="36" customHeight="1">
      <c r="B48" s="79" t="s">
        <v>466</v>
      </c>
      <c r="C48" s="79"/>
      <c r="D48" s="79"/>
      <c r="E48" s="79"/>
      <c r="F48" s="79"/>
      <c r="G48" s="79"/>
      <c r="H48" s="79"/>
      <c r="I48" s="79"/>
      <c r="J48" s="79"/>
      <c r="K48" s="79"/>
      <c r="L48" s="79"/>
    </row>
    <row r="49" spans="1:12" ht="18" customHeight="1">
      <c r="A49" s="85" t="s">
        <v>424</v>
      </c>
      <c r="B49" s="85"/>
      <c r="C49" s="85"/>
      <c r="D49" s="85"/>
      <c r="E49" s="82">
        <f>_xlfn.IFNA(VLOOKUP(封面!B1,一般公共预算财政拨款支出决算具体情况!A:AA,27,FALSE),"")</f>
        <v>0</v>
      </c>
      <c r="F49" s="82"/>
      <c r="G49" s="7" t="s">
        <v>179</v>
      </c>
      <c r="H49" s="83" t="s">
        <v>422</v>
      </c>
      <c r="I49" s="83"/>
      <c r="J49" s="82"/>
      <c r="K49" s="82"/>
      <c r="L49" s="11"/>
    </row>
    <row r="50" spans="1:12" ht="18" customHeight="1">
      <c r="A50" s="81" t="s">
        <v>462</v>
      </c>
      <c r="B50" s="81"/>
      <c r="C50" s="81"/>
      <c r="D50" s="81"/>
      <c r="E50" s="82">
        <f>_xlfn.IFNA(VLOOKUP(封面!B1,一般公共预算财政拨款支出决算具体情况!A:AC,29,FALSE),"")</f>
        <v>1311254.55</v>
      </c>
      <c r="F50" s="82"/>
      <c r="G50" s="7" t="s">
        <v>179</v>
      </c>
      <c r="H50" s="83" t="s">
        <v>418</v>
      </c>
      <c r="I50" s="83"/>
      <c r="J50" s="82">
        <f>_xlfn.IFNA(VLOOKUP(封面!B1,一般公共预算财政拨款支出决算具体情况!A:AD,30,FALSE),"")</f>
        <v>1431929.92</v>
      </c>
      <c r="K50" s="82"/>
      <c r="L50" s="11" t="s">
        <v>178</v>
      </c>
    </row>
    <row r="51" spans="1:12" ht="18" customHeight="1">
      <c r="B51" s="14" t="str">
        <f>IF(E50&gt;J50,"增加","减少")</f>
        <v>减少</v>
      </c>
      <c r="C51" s="82">
        <f>ABS(E50-J50)</f>
        <v>120675.36999999988</v>
      </c>
      <c r="D51" s="82"/>
      <c r="E51" s="7" t="s">
        <v>179</v>
      </c>
      <c r="F51" s="14" t="str">
        <f>IF(E50&gt;J50,"增长","下降")</f>
        <v>下降</v>
      </c>
      <c r="G51" s="33">
        <f>IF(J50=0,IF(E50&gt;0,1,""),C51/J50)</f>
        <v>8.4274634054716788E-2</v>
      </c>
      <c r="H51" s="7" t="s">
        <v>312</v>
      </c>
      <c r="I51" s="11" t="s">
        <v>204</v>
      </c>
    </row>
    <row r="52" spans="1:12" ht="18" customHeight="1">
      <c r="A52" s="85" t="s">
        <v>425</v>
      </c>
      <c r="B52" s="85"/>
      <c r="C52" s="85"/>
      <c r="D52" s="85"/>
      <c r="E52" s="82">
        <f>_xlfn.IFNA(VLOOKUP(封面!B1,一般公共预算财政拨款支出决算具体情况!A:AE,31,FALSE),"")</f>
        <v>1311254.55</v>
      </c>
      <c r="F52" s="82"/>
      <c r="G52" s="7" t="s">
        <v>179</v>
      </c>
      <c r="H52" s="83" t="s">
        <v>418</v>
      </c>
      <c r="I52" s="83"/>
      <c r="J52" s="82">
        <f>_xlfn.IFNA(VLOOKUP(封面!B1,一般公共预算财政拨款支出决算具体情况!A:AF,32,FALSE),"")</f>
        <v>1431929.92</v>
      </c>
      <c r="K52" s="82"/>
      <c r="L52" s="11" t="s">
        <v>178</v>
      </c>
    </row>
    <row r="53" spans="1:12" ht="18" customHeight="1">
      <c r="A53" s="14"/>
      <c r="B53" s="14" t="str">
        <f>IF(E52&gt;J52,"增加","减少")</f>
        <v>减少</v>
      </c>
      <c r="C53" s="82">
        <f>ABS(E52-J52)</f>
        <v>120675.36999999988</v>
      </c>
      <c r="D53" s="82"/>
      <c r="E53" s="7" t="s">
        <v>179</v>
      </c>
      <c r="F53" s="14" t="str">
        <f>IF(E52&gt;J52,"增长","下降")</f>
        <v>下降</v>
      </c>
      <c r="G53" s="33">
        <f>IF(J52=0,IF(E52&gt;0,1,""),C53/J52)</f>
        <v>8.4274634054716788E-2</v>
      </c>
      <c r="H53" s="7" t="s">
        <v>312</v>
      </c>
    </row>
    <row r="54" spans="1:12" ht="36" customHeight="1">
      <c r="B54" s="79" t="s">
        <v>467</v>
      </c>
      <c r="C54" s="79"/>
      <c r="D54" s="79"/>
      <c r="E54" s="79"/>
      <c r="F54" s="79"/>
      <c r="G54" s="79"/>
      <c r="H54" s="79"/>
      <c r="I54" s="79"/>
      <c r="J54" s="79"/>
      <c r="K54" s="79"/>
      <c r="L54" s="79"/>
    </row>
    <row r="55" spans="1:12" ht="18" customHeight="1">
      <c r="A55" s="81" t="s">
        <v>463</v>
      </c>
      <c r="B55" s="81"/>
      <c r="C55" s="81"/>
      <c r="D55" s="81"/>
      <c r="E55" s="82">
        <f>_xlfn.IFNA(VLOOKUP(封面!B1,一般公共预算财政拨款支出决算具体情况!A:AK,37,FALSE),"")</f>
        <v>2807117</v>
      </c>
      <c r="F55" s="82"/>
      <c r="G55" s="7" t="s">
        <v>179</v>
      </c>
      <c r="H55" s="83" t="s">
        <v>418</v>
      </c>
      <c r="I55" s="83"/>
      <c r="J55" s="82">
        <f>_xlfn.IFNA(VLOOKUP(封面!B1,一般公共预算财政拨款支出决算具体情况!A:AL,38,FALSE),"")</f>
        <v>2720249.4699999997</v>
      </c>
      <c r="K55" s="82"/>
      <c r="L55" s="11" t="s">
        <v>178</v>
      </c>
    </row>
    <row r="56" spans="1:12" ht="18" customHeight="1">
      <c r="B56" s="14" t="str">
        <f>IF(E55&gt;J55,"增加","减少")</f>
        <v>增加</v>
      </c>
      <c r="C56" s="82">
        <f>ABS(E55-J55)</f>
        <v>86867.530000000261</v>
      </c>
      <c r="D56" s="82"/>
      <c r="E56" s="7" t="s">
        <v>179</v>
      </c>
      <c r="F56" s="14" t="str">
        <f>IF(E55&gt;J55,"增长","下降")</f>
        <v>增长</v>
      </c>
      <c r="G56" s="33">
        <f>IF(J55=0,IF(E55&gt;0,1,""),C56/J55)</f>
        <v>3.1933663054808083E-2</v>
      </c>
      <c r="H56" s="7" t="s">
        <v>312</v>
      </c>
      <c r="I56" s="11" t="s">
        <v>204</v>
      </c>
    </row>
    <row r="57" spans="1:12" ht="18" customHeight="1">
      <c r="A57" s="85" t="s">
        <v>426</v>
      </c>
      <c r="B57" s="85"/>
      <c r="C57" s="85"/>
      <c r="D57" s="85"/>
      <c r="E57" s="82">
        <f>_xlfn.IFNA(VLOOKUP(封面!B1,一般公共预算财政拨款支出决算具体情况!A:AM,39,FALSE),"")</f>
        <v>2807117</v>
      </c>
      <c r="F57" s="82"/>
      <c r="G57" s="7" t="s">
        <v>179</v>
      </c>
      <c r="H57" s="83" t="s">
        <v>418</v>
      </c>
      <c r="I57" s="83"/>
      <c r="J57" s="82">
        <f>_xlfn.IFNA(VLOOKUP(封面!B1,一般公共预算财政拨款支出决算具体情况!A:AN,40,FALSE),"")</f>
        <v>2720249.4699999997</v>
      </c>
      <c r="K57" s="82"/>
      <c r="L57" s="11" t="s">
        <v>178</v>
      </c>
    </row>
    <row r="58" spans="1:12" ht="18" customHeight="1">
      <c r="A58" s="14"/>
      <c r="B58" s="14" t="str">
        <f>IF(E57&gt;J57,"增加","减少")</f>
        <v>增加</v>
      </c>
      <c r="C58" s="82">
        <f>ABS(E57-J57)</f>
        <v>86867.530000000261</v>
      </c>
      <c r="D58" s="82"/>
      <c r="E58" s="7" t="s">
        <v>179</v>
      </c>
      <c r="F58" s="14" t="str">
        <f>IF(E57&gt;J57,"增长","下降")</f>
        <v>增长</v>
      </c>
      <c r="G58" s="33">
        <f>IF(J57=0,IF(E57&gt;0,1,""),C58/J57)</f>
        <v>3.1933663054808083E-2</v>
      </c>
      <c r="H58" s="7" t="s">
        <v>312</v>
      </c>
    </row>
    <row r="59" spans="1:12" ht="36" customHeight="1">
      <c r="B59" s="79" t="s">
        <v>467</v>
      </c>
      <c r="C59" s="79"/>
      <c r="D59" s="79"/>
      <c r="E59" s="79"/>
      <c r="F59" s="79"/>
      <c r="G59" s="79"/>
      <c r="H59" s="79"/>
      <c r="I59" s="79"/>
      <c r="J59" s="79"/>
      <c r="K59" s="79"/>
      <c r="L59" s="79"/>
    </row>
    <row r="60" spans="1:12" ht="18" customHeight="1">
      <c r="A60" s="6" t="s">
        <v>205</v>
      </c>
    </row>
    <row r="61" spans="1:12" ht="18" customHeight="1">
      <c r="A61" s="7" t="str">
        <f>IF(_xlfn.IFNA(VLOOKUP(封面!B1,'2021决算导出'!A:W,23,FALSE),"")=0,"本年度无此项支出。","")</f>
        <v>本年度无此项支出。</v>
      </c>
    </row>
    <row r="62" spans="1:12" ht="18" customHeight="1">
      <c r="A62" s="6" t="s">
        <v>206</v>
      </c>
    </row>
    <row r="63" spans="1:12" ht="18" customHeight="1">
      <c r="A63" s="7" t="s">
        <v>207</v>
      </c>
    </row>
    <row r="64" spans="1:12" ht="18" customHeight="1">
      <c r="A64" s="6" t="s">
        <v>208</v>
      </c>
    </row>
    <row r="65" spans="1:13" ht="18" customHeight="1">
      <c r="A65" s="7" t="s">
        <v>427</v>
      </c>
      <c r="G65" s="82">
        <f>_xlfn.IFNA(VLOOKUP(封面!B1,'2021决算导出'!A:AA,27,FALSE),"")</f>
        <v>24423731.579999998</v>
      </c>
      <c r="H65" s="82"/>
      <c r="I65" s="11" t="s">
        <v>179</v>
      </c>
    </row>
    <row r="66" spans="1:13" ht="130.15" customHeight="1">
      <c r="A66" s="79" t="s">
        <v>209</v>
      </c>
      <c r="B66" s="79"/>
      <c r="C66" s="79"/>
      <c r="D66" s="79"/>
      <c r="E66" s="79"/>
      <c r="F66" s="79"/>
      <c r="G66" s="79"/>
      <c r="H66" s="79"/>
      <c r="I66" s="79"/>
      <c r="J66" s="79"/>
      <c r="K66" s="79"/>
      <c r="L66" s="79"/>
      <c r="M66" s="79"/>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6">
    <mergeCell ref="G65:H65"/>
    <mergeCell ref="A66:M66"/>
    <mergeCell ref="A4:M4"/>
    <mergeCell ref="B59:L59"/>
    <mergeCell ref="C56:D56"/>
    <mergeCell ref="A57:D57"/>
    <mergeCell ref="E57:F57"/>
    <mergeCell ref="H57:I57"/>
    <mergeCell ref="J57:K57"/>
    <mergeCell ref="C58:D58"/>
    <mergeCell ref="A55:D55"/>
    <mergeCell ref="E55:F55"/>
    <mergeCell ref="H55:I55"/>
    <mergeCell ref="J55:K55"/>
    <mergeCell ref="E46:F46"/>
    <mergeCell ref="H46:I46"/>
    <mergeCell ref="J46:K46"/>
    <mergeCell ref="C47:D47"/>
    <mergeCell ref="A50:D50"/>
    <mergeCell ref="E50:F50"/>
    <mergeCell ref="H50:I50"/>
    <mergeCell ref="J50:K50"/>
    <mergeCell ref="C51:D51"/>
    <mergeCell ref="B48:L48"/>
    <mergeCell ref="A52:D52"/>
    <mergeCell ref="E52:F52"/>
    <mergeCell ref="H52:I52"/>
    <mergeCell ref="J52:K52"/>
    <mergeCell ref="C53:D53"/>
    <mergeCell ref="B54:L54"/>
    <mergeCell ref="C42:D42"/>
    <mergeCell ref="B43:L43"/>
    <mergeCell ref="C40:D40"/>
    <mergeCell ref="A41:D41"/>
    <mergeCell ref="E41:F41"/>
    <mergeCell ref="H41:I41"/>
    <mergeCell ref="J41:K41"/>
    <mergeCell ref="A39:D39"/>
    <mergeCell ref="E39:F39"/>
    <mergeCell ref="H39:I39"/>
    <mergeCell ref="J39:K39"/>
    <mergeCell ref="B38:L38"/>
    <mergeCell ref="C35:D35"/>
    <mergeCell ref="C37:D37"/>
    <mergeCell ref="A36:D36"/>
    <mergeCell ref="E36:F36"/>
    <mergeCell ref="H36:I36"/>
    <mergeCell ref="J36:K36"/>
    <mergeCell ref="A34:D34"/>
    <mergeCell ref="E34:F34"/>
    <mergeCell ref="H34:I34"/>
    <mergeCell ref="J34:K34"/>
    <mergeCell ref="D32:E32"/>
    <mergeCell ref="G32:H32"/>
    <mergeCell ref="A32:C32"/>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A44:D44"/>
    <mergeCell ref="E44:F44"/>
    <mergeCell ref="H44:I44"/>
    <mergeCell ref="J44:K44"/>
    <mergeCell ref="A49:D49"/>
    <mergeCell ref="E49:F49"/>
    <mergeCell ref="H49:I49"/>
    <mergeCell ref="J49:K49"/>
    <mergeCell ref="C45:D45"/>
    <mergeCell ref="A46:D46"/>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workbookViewId="0">
      <selection activeCell="A27" sqref="A27:XFD27"/>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7" t="s">
        <v>409</v>
      </c>
      <c r="B1" s="77"/>
      <c r="C1" s="77"/>
      <c r="D1" s="77"/>
      <c r="E1" s="77"/>
      <c r="F1" s="77"/>
      <c r="G1" s="77"/>
      <c r="H1" s="77"/>
      <c r="I1" s="77"/>
      <c r="J1" s="77"/>
      <c r="K1" s="77"/>
      <c r="L1" s="77"/>
      <c r="M1" s="77"/>
      <c r="N1" s="77"/>
    </row>
    <row r="2" spans="1:14" ht="18" customHeight="1">
      <c r="A2" s="6" t="s">
        <v>210</v>
      </c>
    </row>
    <row r="3" spans="1:14" ht="18" customHeight="1">
      <c r="A3" s="15" t="str">
        <f>IF(_xlfn.IFNA(VLOOKUP(封面!B1,'2021决算导出'!A:AB,28,FALSE),"")=0,"本年度无此项支出。","")</f>
        <v>本年度无此项支出。</v>
      </c>
    </row>
    <row r="4" spans="1:14" ht="18" customHeight="1">
      <c r="A4" s="7" t="s">
        <v>428</v>
      </c>
      <c r="F4" s="82">
        <f>_xlfn.IFNA(VLOOKUP(封面!B1,'2021决算导出'!A:AB,28,FALSE),"")</f>
        <v>0</v>
      </c>
      <c r="G4" s="82"/>
      <c r="H4" s="7" t="s">
        <v>179</v>
      </c>
      <c r="I4" s="7" t="s">
        <v>429</v>
      </c>
    </row>
    <row r="5" spans="1:14" ht="18" customHeight="1">
      <c r="A5" s="88">
        <f>_xlfn.IFNA(VLOOKUP(封面!B1,'2021决算导出'!A:AC,29,FALSE),"")</f>
        <v>0</v>
      </c>
      <c r="B5" s="88"/>
      <c r="C5" s="7" t="s">
        <v>178</v>
      </c>
      <c r="D5" s="29" t="str">
        <f>IF(F4&gt;A5,"增加","减少")</f>
        <v>减少</v>
      </c>
      <c r="E5" s="88">
        <f>ABS(F4-A5)</f>
        <v>0</v>
      </c>
      <c r="F5" s="88"/>
      <c r="G5" s="7" t="s">
        <v>212</v>
      </c>
    </row>
    <row r="6" spans="1:14" ht="18" customHeight="1">
      <c r="A6" s="7" t="s">
        <v>213</v>
      </c>
    </row>
    <row r="7" spans="1:14" ht="18" customHeight="1">
      <c r="A7" s="54" t="s">
        <v>430</v>
      </c>
      <c r="B7" s="18"/>
      <c r="C7" s="18"/>
      <c r="D7" s="18"/>
      <c r="E7" s="18"/>
      <c r="F7" s="18"/>
      <c r="G7" s="18"/>
      <c r="H7" s="18"/>
      <c r="I7" s="18"/>
      <c r="J7" s="18"/>
      <c r="K7" s="18"/>
      <c r="L7" s="18"/>
      <c r="M7" s="18"/>
      <c r="N7" s="18"/>
    </row>
    <row r="8" spans="1:14" ht="18" customHeight="1">
      <c r="A8" s="7" t="s">
        <v>214</v>
      </c>
    </row>
    <row r="9" spans="1:14" ht="39" customHeight="1">
      <c r="A9" s="87" t="s">
        <v>431</v>
      </c>
      <c r="B9" s="87"/>
      <c r="C9" s="87"/>
      <c r="D9" s="87"/>
      <c r="E9" s="87"/>
      <c r="F9" s="87"/>
      <c r="G9" s="87"/>
      <c r="H9" s="87"/>
      <c r="I9" s="87"/>
      <c r="J9" s="87"/>
      <c r="K9" s="87"/>
      <c r="L9" s="87"/>
      <c r="M9" s="87"/>
      <c r="N9" s="87"/>
    </row>
    <row r="10" spans="1:14" ht="18" customHeight="1">
      <c r="A10" s="7" t="s">
        <v>215</v>
      </c>
    </row>
    <row r="11" spans="1:14" ht="18" customHeight="1">
      <c r="A11" s="84" t="s">
        <v>432</v>
      </c>
      <c r="B11" s="84"/>
      <c r="C11" s="34">
        <f>_xlfn.IFNA(VLOOKUP(封面!B1,'2021决算导出'!A:AI,35,FALSE),"")</f>
        <v>0</v>
      </c>
      <c r="D11" s="7" t="s">
        <v>179</v>
      </c>
      <c r="E11" s="84" t="s">
        <v>433</v>
      </c>
      <c r="F11" s="84"/>
      <c r="G11" s="84"/>
      <c r="H11" s="88">
        <f>_xlfn.IFNA(VLOOKUP(封面!B1,'2021决算导出'!A:AJ,36,FALSE),"")</f>
        <v>0</v>
      </c>
      <c r="I11" s="88"/>
      <c r="J11" s="15" t="s">
        <v>178</v>
      </c>
      <c r="K11" s="29" t="str">
        <f>IF(C11&gt;H11,"增加","减少")</f>
        <v>减少</v>
      </c>
      <c r="L11" s="88">
        <f>ABS(C11-H11)</f>
        <v>0</v>
      </c>
      <c r="M11" s="88"/>
      <c r="N11" s="7" t="s">
        <v>211</v>
      </c>
    </row>
    <row r="12" spans="1:14" ht="18" customHeight="1">
      <c r="A12" s="84" t="s">
        <v>434</v>
      </c>
      <c r="B12" s="84"/>
      <c r="C12" s="84"/>
      <c r="D12" s="84"/>
      <c r="E12" s="84"/>
      <c r="F12" s="88">
        <f>_xlfn.IFNA(VLOOKUP(封面!B1,'2021决算导出'!A:AK,37,FALSE),"")</f>
        <v>0</v>
      </c>
      <c r="G12" s="88"/>
      <c r="H12" s="16" t="s">
        <v>179</v>
      </c>
      <c r="I12" s="84" t="s">
        <v>433</v>
      </c>
      <c r="J12" s="84"/>
      <c r="K12" s="84"/>
      <c r="L12" s="88">
        <f>_xlfn.IFNA(VLOOKUP(封面!B1,'2021决算导出'!A:AL,38,FALSE),"")</f>
        <v>0</v>
      </c>
      <c r="M12" s="88"/>
      <c r="N12" s="7" t="s">
        <v>178</v>
      </c>
    </row>
    <row r="13" spans="1:14" ht="18" customHeight="1">
      <c r="A13" s="14" t="str">
        <f>IF(F12&gt;L12,"增加","减少")</f>
        <v>减少</v>
      </c>
      <c r="B13" s="88">
        <f>ABS(F12-L12)</f>
        <v>0</v>
      </c>
      <c r="C13" s="88"/>
      <c r="D13" s="7" t="s">
        <v>211</v>
      </c>
      <c r="H13" s="88"/>
      <c r="I13" s="88"/>
      <c r="J13" s="15"/>
    </row>
    <row r="14" spans="1:14" ht="18" customHeight="1">
      <c r="A14" s="84" t="s">
        <v>435</v>
      </c>
      <c r="B14" s="84"/>
      <c r="C14" s="84"/>
      <c r="D14" s="8">
        <f>_xlfn.IFNA(VLOOKUP(封面!B1,'2021决算导出'!A:AM,39,FALSE),"")</f>
        <v>0</v>
      </c>
      <c r="E14" s="7" t="s">
        <v>216</v>
      </c>
      <c r="F14" s="84" t="s">
        <v>217</v>
      </c>
      <c r="G14" s="84"/>
      <c r="H14" s="88">
        <f>IF(D14=0,0,F12/D14)</f>
        <v>0</v>
      </c>
      <c r="I14" s="88"/>
      <c r="J14" s="7" t="s">
        <v>211</v>
      </c>
    </row>
    <row r="15" spans="1:14" ht="18" customHeight="1">
      <c r="A15" s="83" t="s">
        <v>436</v>
      </c>
      <c r="B15" s="83"/>
      <c r="C15" s="83"/>
      <c r="D15" s="83"/>
      <c r="E15" s="83"/>
      <c r="F15" s="88">
        <f>_xlfn.IFNA(VLOOKUP(封面!B1,'2021决算导出'!A:AO,41,FALSE),"")</f>
        <v>0</v>
      </c>
      <c r="G15" s="88" t="s">
        <v>179</v>
      </c>
      <c r="H15" s="7" t="s">
        <v>179</v>
      </c>
      <c r="I15" s="7" t="s">
        <v>433</v>
      </c>
      <c r="L15" s="88">
        <f>_xlfn.IFNA(VLOOKUP(封面!B1,'2021决算导出'!A:AP,42,FALSE),"")</f>
        <v>0</v>
      </c>
      <c r="M15" s="88" t="s">
        <v>179</v>
      </c>
      <c r="N15" s="7" t="s">
        <v>179</v>
      </c>
    </row>
    <row r="16" spans="1:14" ht="18" customHeight="1">
      <c r="A16" s="14" t="str">
        <f>IF(F15&gt;L15,"增加","减少")</f>
        <v>减少</v>
      </c>
      <c r="B16" s="88">
        <f>ABS(F15-L15)</f>
        <v>0</v>
      </c>
      <c r="C16" s="88"/>
      <c r="D16" s="7" t="s">
        <v>211</v>
      </c>
    </row>
    <row r="17" spans="1:14" ht="36" customHeight="1">
      <c r="A17" s="79" t="s">
        <v>218</v>
      </c>
      <c r="B17" s="79"/>
      <c r="C17" s="79"/>
      <c r="D17" s="79"/>
      <c r="E17" s="79"/>
      <c r="F17" s="79"/>
      <c r="G17" s="79"/>
      <c r="H17" s="79"/>
      <c r="I17" s="79"/>
      <c r="J17" s="79"/>
      <c r="K17" s="79"/>
      <c r="L17" s="79"/>
      <c r="M17" s="79"/>
      <c r="N17" s="79"/>
    </row>
    <row r="18" spans="1:14" ht="18" customHeight="1">
      <c r="A18" s="84" t="s">
        <v>437</v>
      </c>
      <c r="B18" s="84"/>
      <c r="C18" s="84"/>
      <c r="D18" s="84"/>
      <c r="E18" s="84"/>
      <c r="F18" s="84"/>
      <c r="G18" s="88">
        <f>_xlfn.IFNA(VLOOKUP(封面!B1,'2021决算导出'!A:AQ,43,FALSE),"")</f>
        <v>0</v>
      </c>
      <c r="H18" s="88" t="s">
        <v>179</v>
      </c>
      <c r="I18" s="7" t="s">
        <v>179</v>
      </c>
      <c r="J18" s="7" t="s">
        <v>219</v>
      </c>
      <c r="L18" s="88">
        <f>_xlfn.IFNA(VLOOKUP(封面!B1,'2021决算导出'!A:AR,44,FALSE),"")</f>
        <v>0</v>
      </c>
      <c r="M18" s="88" t="s">
        <v>179</v>
      </c>
      <c r="N18" s="7" t="s">
        <v>179</v>
      </c>
    </row>
    <row r="19" spans="1:14" ht="18" customHeight="1">
      <c r="A19" s="84" t="s">
        <v>220</v>
      </c>
      <c r="B19" s="84"/>
      <c r="C19" s="88">
        <f>_xlfn.IFNA(VLOOKUP(封面!B1,'2021决算导出'!A:AS,45,FALSE),"")</f>
        <v>0</v>
      </c>
      <c r="D19" s="88" t="s">
        <v>179</v>
      </c>
      <c r="E19" s="7" t="s">
        <v>179</v>
      </c>
      <c r="F19" s="84" t="s">
        <v>221</v>
      </c>
      <c r="G19" s="84"/>
      <c r="H19" s="84"/>
      <c r="I19" s="88">
        <f>_xlfn.IFNA(VLOOKUP(封面!B1,'2021决算导出'!A:AT,46,FALSE),"")</f>
        <v>0</v>
      </c>
      <c r="J19" s="88" t="s">
        <v>179</v>
      </c>
      <c r="K19" s="7" t="s">
        <v>211</v>
      </c>
    </row>
    <row r="20" spans="1:14" ht="18" customHeight="1">
      <c r="A20" s="84" t="s">
        <v>438</v>
      </c>
      <c r="B20" s="84"/>
      <c r="C20" s="84"/>
      <c r="D20" s="8">
        <f>_xlfn.IFNA(VLOOKUP(封面!B1,'2021决算导出'!A:AU,47,FALSE),"")</f>
        <v>0</v>
      </c>
      <c r="E20" s="80" t="s">
        <v>403</v>
      </c>
      <c r="F20" s="80"/>
      <c r="G20" s="80"/>
      <c r="H20" s="80"/>
      <c r="I20" s="80"/>
      <c r="J20" s="80"/>
      <c r="K20" s="80"/>
      <c r="L20" s="80"/>
      <c r="M20" s="53" t="e">
        <f>F15/D20</f>
        <v>#DIV/0!</v>
      </c>
      <c r="N20" s="7" t="s">
        <v>211</v>
      </c>
    </row>
    <row r="21" spans="1:14" ht="18" customHeight="1">
      <c r="A21" s="6" t="s">
        <v>222</v>
      </c>
    </row>
    <row r="22" spans="1:14" ht="18" customHeight="1">
      <c r="A22" s="7" t="s">
        <v>223</v>
      </c>
    </row>
    <row r="23" spans="1:14" ht="18" customHeight="1">
      <c r="A23" s="6" t="s">
        <v>224</v>
      </c>
    </row>
    <row r="24" spans="1:14" ht="18" customHeight="1">
      <c r="A24" s="84" t="s">
        <v>439</v>
      </c>
      <c r="B24" s="84"/>
      <c r="C24" s="84"/>
      <c r="D24" s="84"/>
      <c r="E24" s="82">
        <f>_xlfn.IFNA(VLOOKUP(封面!B1,'2021决算导出'!A:AW,49,FALSE),"")</f>
        <v>496995.4</v>
      </c>
      <c r="F24" s="82"/>
      <c r="G24" s="7" t="s">
        <v>179</v>
      </c>
      <c r="H24" s="84" t="s">
        <v>225</v>
      </c>
      <c r="I24" s="84"/>
      <c r="J24" s="84"/>
      <c r="K24" s="84"/>
      <c r="L24" s="82">
        <f>_xlfn.IFNA(VLOOKUP(封面!B1,'2021决算导出'!A:AX,50,FALSE),"")</f>
        <v>21855</v>
      </c>
      <c r="M24" s="82" t="s">
        <v>179</v>
      </c>
      <c r="N24" s="7" t="s">
        <v>179</v>
      </c>
    </row>
    <row r="25" spans="1:14" ht="18" customHeight="1">
      <c r="A25" s="84" t="s">
        <v>226</v>
      </c>
      <c r="B25" s="84"/>
      <c r="C25" s="84"/>
      <c r="D25" s="82">
        <f>_xlfn.IFNA(VLOOKUP(封面!B1,'2021决算导出'!A:AY,51,FALSE),"")</f>
        <v>0</v>
      </c>
      <c r="E25" s="82" t="s">
        <v>179</v>
      </c>
      <c r="F25" s="7" t="s">
        <v>179</v>
      </c>
      <c r="G25" s="84" t="s">
        <v>227</v>
      </c>
      <c r="H25" s="84"/>
      <c r="I25" s="84"/>
      <c r="J25" s="82">
        <f>_xlfn.IFNA(VLOOKUP(封面!B1,'2021决算导出'!A:AZ,52,FALSE),"")</f>
        <v>475140</v>
      </c>
      <c r="K25" s="82" t="s">
        <v>179</v>
      </c>
      <c r="L25" s="7" t="s">
        <v>211</v>
      </c>
    </row>
    <row r="26" spans="1:14" ht="18" customHeight="1">
      <c r="A26" s="84" t="s">
        <v>228</v>
      </c>
      <c r="B26" s="84"/>
      <c r="C26" s="84"/>
      <c r="D26" s="84"/>
      <c r="E26" s="82">
        <f>_xlfn.IFNA(VLOOKUP(封面!B1,'2021决算导出'!A:BA,53,FALSE),"")</f>
        <v>496995</v>
      </c>
      <c r="F26" s="82" t="s">
        <v>179</v>
      </c>
      <c r="G26" s="7" t="s">
        <v>179</v>
      </c>
      <c r="H26" s="83" t="s">
        <v>229</v>
      </c>
      <c r="I26" s="83"/>
      <c r="J26" s="83"/>
      <c r="K26" s="28">
        <f>E26/$E$24</f>
        <v>0.99999919516357694</v>
      </c>
      <c r="L26" s="17" t="s">
        <v>310</v>
      </c>
      <c r="M26" s="7" t="s">
        <v>404</v>
      </c>
    </row>
    <row r="27" spans="1:14" ht="18" customHeight="1">
      <c r="A27" s="84" t="s">
        <v>230</v>
      </c>
      <c r="B27" s="84"/>
      <c r="C27" s="84"/>
      <c r="D27" s="84"/>
      <c r="E27" s="82">
        <f>_xlfn.IFNA(VLOOKUP(封面!B1,'2021决算导出'!A:BB,54,FALSE),"")</f>
        <v>496995.4</v>
      </c>
      <c r="F27" s="82" t="s">
        <v>179</v>
      </c>
      <c r="G27" s="7" t="s">
        <v>179</v>
      </c>
      <c r="H27" s="83" t="s">
        <v>229</v>
      </c>
      <c r="I27" s="83"/>
      <c r="J27" s="83"/>
      <c r="K27" s="28">
        <f>E27/$E$24</f>
        <v>1</v>
      </c>
      <c r="L27" s="17" t="s">
        <v>312</v>
      </c>
    </row>
    <row r="28" spans="1:14" ht="18" customHeight="1">
      <c r="A28" s="6" t="s">
        <v>231</v>
      </c>
    </row>
    <row r="29" spans="1:14" ht="18" customHeight="1">
      <c r="A29" s="84" t="s">
        <v>440</v>
      </c>
      <c r="B29" s="84"/>
      <c r="C29" s="8">
        <f>_xlfn.IFNA(VLOOKUP(封面!B1,'2021决算导出'!A:BC,55,FALSE),"")</f>
        <v>0</v>
      </c>
      <c r="D29" s="7" t="s">
        <v>232</v>
      </c>
      <c r="M29" s="88">
        <f>_xlfn.IFNA(VLOOKUP(封面!B1,'2021决算导出'!A:BD,56,FALSE),"")</f>
        <v>0</v>
      </c>
      <c r="N29" s="88" t="s">
        <v>179</v>
      </c>
    </row>
    <row r="30" spans="1:14" ht="18" customHeight="1">
      <c r="A30" s="12" t="s">
        <v>233</v>
      </c>
      <c r="B30" s="84" t="s">
        <v>234</v>
      </c>
      <c r="C30" s="84"/>
      <c r="D30" s="84"/>
      <c r="E30" s="84"/>
      <c r="F30" s="84"/>
      <c r="G30" s="8">
        <f>_xlfn.IFNA(VLOOKUP(封面!B1,'2021决算导出'!A:BE,57,FALSE),"")</f>
        <v>0</v>
      </c>
      <c r="H30" s="7" t="s">
        <v>235</v>
      </c>
      <c r="J30" s="7" t="s">
        <v>236</v>
      </c>
    </row>
    <row r="31" spans="1:14" ht="18" customHeight="1">
      <c r="A31" s="12">
        <f>_xlfn.IFNA(VLOOKUP(封面!B1,'2021决算导出'!A:BF,58,FALSE),"")</f>
        <v>0</v>
      </c>
      <c r="B31" s="7" t="s">
        <v>237</v>
      </c>
    </row>
    <row r="32" spans="1:14" ht="18" customHeight="1">
      <c r="A32" s="6" t="s">
        <v>238</v>
      </c>
    </row>
    <row r="33" spans="1:14" ht="18" customHeight="1">
      <c r="A33" s="7" t="s">
        <v>239</v>
      </c>
    </row>
    <row r="34" spans="1:14" ht="18" customHeight="1">
      <c r="A34" s="6" t="s">
        <v>240</v>
      </c>
    </row>
    <row r="35" spans="1:14" ht="375.6" customHeight="1">
      <c r="A35" s="79" t="s">
        <v>455</v>
      </c>
      <c r="B35" s="79"/>
      <c r="C35" s="79"/>
      <c r="D35" s="79"/>
      <c r="E35" s="79"/>
      <c r="F35" s="79"/>
      <c r="G35" s="79"/>
      <c r="H35" s="79"/>
      <c r="I35" s="79"/>
      <c r="J35" s="79"/>
      <c r="K35" s="79"/>
      <c r="L35" s="79"/>
      <c r="M35" s="79"/>
      <c r="N35" s="79"/>
    </row>
  </sheetData>
  <mergeCells count="50">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F14:G14"/>
    <mergeCell ref="A15:E15"/>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7" t="s">
        <v>457</v>
      </c>
      <c r="B10" s="77"/>
      <c r="C10" s="77"/>
      <c r="D10" s="77"/>
      <c r="E10" s="77"/>
      <c r="F10" s="77"/>
      <c r="G10" s="77"/>
      <c r="H10" s="77"/>
      <c r="I10" s="77"/>
      <c r="J10" s="77"/>
      <c r="K10" s="77"/>
      <c r="L10" s="77"/>
      <c r="M10" s="77"/>
      <c r="N10" s="77"/>
    </row>
    <row r="11" spans="1:14" ht="78" customHeight="1">
      <c r="A11" s="78" t="s">
        <v>458</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5" customWidth="1"/>
    <col min="2" max="2" width="15.5" style="57" customWidth="1"/>
    <col min="3" max="3" width="5.875" style="57" customWidth="1"/>
    <col min="4" max="6" width="13.375" style="57" customWidth="1"/>
    <col min="7" max="8" width="12.5" style="57" customWidth="1"/>
    <col min="9" max="9" width="9" style="57" customWidth="1"/>
    <col min="10" max="10" width="12.25" style="57" customWidth="1"/>
    <col min="11" max="13" width="13.375" style="57" customWidth="1"/>
    <col min="14" max="14" width="12.625" style="57" customWidth="1"/>
    <col min="15" max="20" width="13.375" style="57" customWidth="1"/>
    <col min="21" max="21" width="11.5" style="57" customWidth="1"/>
    <col min="22" max="22" width="13.375" style="57" customWidth="1"/>
    <col min="23" max="23" width="11" style="57" customWidth="1"/>
    <col min="24" max="24" width="11.625" style="66" customWidth="1"/>
    <col min="25" max="25" width="10.5" style="57" customWidth="1"/>
    <col min="26" max="26" width="10.375" style="57" customWidth="1"/>
    <col min="27" max="27" width="13.375" style="57" customWidth="1"/>
    <col min="28" max="28" width="11" style="57" customWidth="1"/>
    <col min="29" max="29" width="10.875" style="57" customWidth="1"/>
    <col min="30" max="34" width="7.5" style="57" customWidth="1"/>
    <col min="35" max="35" width="13.375" style="57" customWidth="1"/>
    <col min="36" max="36" width="11.25" style="57" customWidth="1"/>
    <col min="37" max="40" width="6.875" style="57" customWidth="1"/>
    <col min="41" max="41" width="12.5" style="57" customWidth="1"/>
    <col min="42" max="42" width="11.75" style="57" customWidth="1"/>
    <col min="43" max="46" width="11.125" style="57" customWidth="1"/>
    <col min="47" max="47" width="8.5" style="57" customWidth="1"/>
    <col min="48" max="51" width="13.375" style="57" customWidth="1"/>
    <col min="52" max="52" width="12.375" style="57" customWidth="1"/>
    <col min="53" max="53" width="12" style="57" customWidth="1"/>
    <col min="54" max="54" width="13.375" style="57" customWidth="1"/>
    <col min="55" max="55" width="10" style="57" customWidth="1"/>
    <col min="56" max="56" width="13.375" style="57" customWidth="1"/>
    <col min="57" max="57" width="9" style="57" customWidth="1"/>
    <col min="58" max="58" width="9.5" style="57" customWidth="1"/>
    <col min="59" max="16384" width="8.875" style="57"/>
  </cols>
  <sheetData>
    <row r="1" spans="1:58" ht="60" customHeight="1">
      <c r="A1" s="20" t="s">
        <v>441</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446</v>
      </c>
      <c r="X1" s="56" t="s">
        <v>447</v>
      </c>
      <c r="Y1" s="21" t="s">
        <v>448</v>
      </c>
      <c r="Z1" s="21" t="s">
        <v>442</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65" customHeight="1">
      <c r="A2" s="58">
        <v>255001</v>
      </c>
      <c r="B2" s="24" t="s">
        <v>298</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c r="A87" s="58">
        <v>255108</v>
      </c>
      <c r="B87" s="24" t="s">
        <v>305</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c r="A122" s="58">
        <v>255154</v>
      </c>
      <c r="B122" s="24" t="s">
        <v>443</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c r="A139" s="58">
        <v>255172</v>
      </c>
      <c r="B139" s="24" t="s">
        <v>306</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c r="A162" s="58">
        <v>255204</v>
      </c>
      <c r="B162" s="24" t="s">
        <v>444</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c r="A163" s="58">
        <v>255205</v>
      </c>
      <c r="B163" s="24" t="s">
        <v>445</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393</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69" customWidth="1"/>
    <col min="5" max="5" width="8.875" style="69"/>
    <col min="6" max="10" width="8.875" style="35"/>
    <col min="11" max="11" width="8.875" style="69"/>
    <col min="12" max="14" width="8.875" style="35"/>
    <col min="15" max="15" width="8.875" style="69"/>
    <col min="16" max="16384" width="8.875" style="35"/>
  </cols>
  <sheetData>
    <row r="1" spans="1:58" ht="48">
      <c r="A1" s="20" t="s">
        <v>246</v>
      </c>
      <c r="B1" s="21" t="s">
        <v>247</v>
      </c>
      <c r="C1" s="21" t="s">
        <v>242</v>
      </c>
      <c r="D1" s="67" t="s">
        <v>248</v>
      </c>
      <c r="E1" s="67" t="s">
        <v>249</v>
      </c>
      <c r="F1" s="21" t="s">
        <v>250</v>
      </c>
      <c r="G1" s="21" t="s">
        <v>251</v>
      </c>
      <c r="H1" s="21" t="s">
        <v>252</v>
      </c>
      <c r="I1" s="21" t="s">
        <v>253</v>
      </c>
      <c r="J1" s="21" t="s">
        <v>254</v>
      </c>
      <c r="K1" s="67" t="s">
        <v>255</v>
      </c>
      <c r="L1" s="21" t="s">
        <v>256</v>
      </c>
      <c r="M1" s="21" t="s">
        <v>257</v>
      </c>
      <c r="N1" s="21" t="s">
        <v>258</v>
      </c>
      <c r="O1" s="67"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2022-08-25T04:56:47Z</cp:lastPrinted>
  <dcterms:created xsi:type="dcterms:W3CDTF">2021-08-26T09:47:38Z</dcterms:created>
  <dcterms:modified xsi:type="dcterms:W3CDTF">2022-08-30T08:10:22Z</dcterms:modified>
</cp:coreProperties>
</file>