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Administrator\Desktop\假期工作资料需存档文件8.31\决算公开\决算公开电子表\"/>
    </mc:Choice>
  </mc:AlternateContent>
  <xr:revisionPtr revIDLastSave="0" documentId="13_ncr:1_{67DDA35B-1923-4D45-9E04-C235CBB48022}" xr6:coauthVersionLast="47" xr6:coauthVersionMax="47" xr10:uidLastSave="{00000000-0000-0000-0000-000000000000}"/>
  <workbookProtection workbookAlgorithmName="SHA-512" workbookHashValue="kMSGlNZyEo0yKlZ+yWBQq7nQNiOaaLOaXtlKfps7NrolkKZG/Ca9OweXhOPTqUOb3KKvHhGALCdjfB7eFxcoqA==" workbookSaltValue="KFRptOXfGC8DQd86D0j83g==" workbookSpinCount="100000" lockStructure="1"/>
  <bookViews>
    <workbookView xWindow="-120" yWindow="-120" windowWidth="20730" windowHeight="11160" tabRatio="851" xr2:uid="{00000000-000D-0000-FFFF-FFFF00000000}"/>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1" i="6" l="1"/>
  <c r="G30" i="6"/>
  <c r="M29" i="6"/>
  <c r="C29" i="6"/>
  <c r="E27" i="6"/>
  <c r="E26" i="6"/>
  <c r="J25" i="6"/>
  <c r="D25" i="6"/>
  <c r="L24" i="6"/>
  <c r="E24" i="6"/>
  <c r="D20" i="6"/>
  <c r="I19" i="6"/>
  <c r="C19" i="6"/>
  <c r="L18" i="6"/>
  <c r="G18" i="6"/>
  <c r="L15" i="6"/>
  <c r="F15" i="6"/>
  <c r="D14" i="6"/>
  <c r="L12" i="6"/>
  <c r="F12" i="6"/>
  <c r="H11" i="6"/>
  <c r="C11" i="6"/>
  <c r="A5" i="6"/>
  <c r="F4" i="6"/>
  <c r="A3" i="6"/>
  <c r="F75" i="5"/>
  <c r="A73" i="5"/>
  <c r="A11" i="1"/>
  <c r="D10" i="5"/>
  <c r="J10" i="5" s="1"/>
  <c r="H10" i="5" l="1"/>
  <c r="K10" i="5" s="1"/>
  <c r="G10" i="5"/>
  <c r="G85" i="5"/>
  <c r="J78" i="5"/>
  <c r="E78" i="5"/>
  <c r="D76"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1860" i="10" l="1"/>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E1792" i="10"/>
  <c r="D1792" i="10" s="1"/>
  <c r="C1792" i="10" s="1"/>
  <c r="E1791" i="10"/>
  <c r="D1791" i="10" s="1"/>
  <c r="E1790" i="10"/>
  <c r="D1790" i="10" s="1"/>
  <c r="C1790" i="10" s="1"/>
  <c r="E1789" i="10"/>
  <c r="D1789" i="10" s="1"/>
  <c r="C1789" i="10" s="1"/>
  <c r="E1788" i="10"/>
  <c r="D1788" i="10" s="1"/>
  <c r="C1788" i="10" s="1"/>
  <c r="E1787" i="10"/>
  <c r="D1787" i="10" s="1"/>
  <c r="E1786" i="10"/>
  <c r="D1786" i="10" s="1"/>
  <c r="C1786" i="10" s="1"/>
  <c r="E1785" i="10"/>
  <c r="D1785" i="10" s="1"/>
  <c r="C1785" i="10" s="1"/>
  <c r="E1784" i="10"/>
  <c r="D1784" i="10" s="1"/>
  <c r="C1784" i="10" s="1"/>
  <c r="E1783" i="10"/>
  <c r="D1783" i="10" s="1"/>
  <c r="C1783" i="10" s="1"/>
  <c r="E1782" i="10"/>
  <c r="D1782" i="10" s="1"/>
  <c r="E1781" i="10"/>
  <c r="D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s="1"/>
  <c r="C1687" i="10" s="1"/>
  <c r="E1686" i="10"/>
  <c r="D1686" i="10" s="1"/>
  <c r="C1686" i="10" s="1"/>
  <c r="E1685" i="10"/>
  <c r="D1685" i="10" s="1"/>
  <c r="C1685" i="10" s="1"/>
  <c r="E1684" i="10"/>
  <c r="D1684" i="10" s="1"/>
  <c r="C1684" i="10" s="1"/>
  <c r="E1683" i="10"/>
  <c r="D1683" i="10" s="1"/>
  <c r="C1683" i="10" s="1"/>
  <c r="E1682" i="10"/>
  <c r="D1682" i="10" s="1"/>
  <c r="C1682" i="10" s="1"/>
  <c r="E1681" i="10"/>
  <c r="D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s="1"/>
  <c r="C1612" i="10" s="1"/>
  <c r="E1611" i="10"/>
  <c r="D1611" i="10" s="1"/>
  <c r="C1611" i="10" s="1"/>
  <c r="E1610" i="10"/>
  <c r="D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s="1"/>
  <c r="C1559" i="10" s="1"/>
  <c r="E1558" i="10"/>
  <c r="D1558" i="10" s="1"/>
  <c r="E1557" i="10"/>
  <c r="D1557" i="10" s="1"/>
  <c r="C1557" i="10" s="1"/>
  <c r="E1556" i="10"/>
  <c r="D1556" i="10" s="1"/>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E1517" i="10"/>
  <c r="D1517" i="10" s="1"/>
  <c r="C1517" i="10" s="1"/>
  <c r="E1516" i="10"/>
  <c r="D1516" i="10" s="1"/>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E1439" i="10"/>
  <c r="D1439" i="10" s="1"/>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E1418" i="10"/>
  <c r="D1418" i="10" s="1"/>
  <c r="C1418" i="10" s="1"/>
  <c r="E1417" i="10"/>
  <c r="D1417" i="10" s="1"/>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s="1"/>
  <c r="C1397" i="10" s="1"/>
  <c r="E1396" i="10"/>
  <c r="D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s="1"/>
  <c r="C1386" i="10" s="1"/>
  <c r="E1385" i="10"/>
  <c r="D1385" i="10" s="1"/>
  <c r="E1384" i="10"/>
  <c r="D1384" i="10" s="1"/>
  <c r="C1384" i="10" s="1"/>
  <c r="E1383" i="10"/>
  <c r="D1383" i="10" s="1"/>
  <c r="C1383" i="10" s="1"/>
  <c r="E1382" i="10"/>
  <c r="D1382" i="10" s="1"/>
  <c r="C1382" i="10" s="1"/>
  <c r="E1381" i="10"/>
  <c r="D1381" i="10" s="1"/>
  <c r="C1381" i="10" s="1"/>
  <c r="E1380" i="10"/>
  <c r="D1380" i="10" s="1"/>
  <c r="C1380" i="10" s="1"/>
  <c r="E1379" i="10"/>
  <c r="D1379" i="10" s="1"/>
  <c r="C1379" i="10" s="1"/>
  <c r="E1378" i="10"/>
  <c r="D1378" i="10" s="1"/>
  <c r="C1378" i="10" s="1"/>
  <c r="E1377" i="10"/>
  <c r="D1377" i="10" s="1"/>
  <c r="C1377" i="10" s="1"/>
  <c r="E1376" i="10"/>
  <c r="D1376" i="10" s="1"/>
  <c r="C1376" i="10" s="1"/>
  <c r="E1375" i="10"/>
  <c r="D1375" i="10" s="1"/>
  <c r="C1375" i="10" s="1"/>
  <c r="E1374" i="10"/>
  <c r="D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E1338" i="10"/>
  <c r="D1338" i="10" s="1"/>
  <c r="C1338" i="10" s="1"/>
  <c r="E1337" i="10"/>
  <c r="D1337" i="10" s="1"/>
  <c r="C1337" i="10" s="1"/>
  <c r="E1336" i="10"/>
  <c r="D1336" i="10" s="1"/>
  <c r="C1336" i="10" s="1"/>
  <c r="E1335" i="10"/>
  <c r="D1335" i="10" s="1"/>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s="1"/>
  <c r="C1237" i="10" s="1"/>
  <c r="E1236" i="10"/>
  <c r="D1236" i="10" s="1"/>
  <c r="C1236" i="10" s="1"/>
  <c r="E1235" i="10"/>
  <c r="D1235" i="10" s="1"/>
  <c r="C1235" i="10" s="1"/>
  <c r="E1234" i="10"/>
  <c r="D1234" i="10" s="1"/>
  <c r="C1234" i="10" s="1"/>
  <c r="E1233" i="10"/>
  <c r="D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s="1"/>
  <c r="C1178" i="10" s="1"/>
  <c r="E1177" i="10"/>
  <c r="D1177" i="10"/>
  <c r="C1177" i="10" s="1"/>
  <c r="E1176" i="10"/>
  <c r="D1176" i="10" s="1"/>
  <c r="C1176" i="10" s="1"/>
  <c r="E1175" i="10"/>
  <c r="D1175" i="10" s="1"/>
  <c r="C1175" i="10" s="1"/>
  <c r="E1174" i="10"/>
  <c r="D1174" i="10" s="1"/>
  <c r="C1174" i="10" s="1"/>
  <c r="E1173" i="10"/>
  <c r="D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E982" i="10"/>
  <c r="D982" i="10" s="1"/>
  <c r="E981" i="10"/>
  <c r="D981" i="10" s="1"/>
  <c r="C981" i="10" s="1"/>
  <c r="E980" i="10"/>
  <c r="D980" i="10" s="1"/>
  <c r="C980" i="10" s="1"/>
  <c r="E979" i="10"/>
  <c r="D979" i="10" s="1"/>
  <c r="C979" i="10" s="1"/>
  <c r="E978" i="10"/>
  <c r="D978" i="10" s="1"/>
  <c r="C978" i="10" s="1"/>
  <c r="E977" i="10"/>
  <c r="D977" i="10" s="1"/>
  <c r="C977" i="10" s="1"/>
  <c r="E976" i="10"/>
  <c r="D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s="1"/>
  <c r="C969" i="10" s="1"/>
  <c r="E968" i="10"/>
  <c r="D968" i="10" s="1"/>
  <c r="C968" i="10" s="1"/>
  <c r="E967" i="10"/>
  <c r="D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E909" i="10"/>
  <c r="D909" i="10" s="1"/>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s="1"/>
  <c r="C893" i="10" s="1"/>
  <c r="E892" i="10"/>
  <c r="D892" i="10" s="1"/>
  <c r="C892" i="10" s="1"/>
  <c r="E891" i="10"/>
  <c r="D891" i="10" s="1"/>
  <c r="E890" i="10"/>
  <c r="D890" i="10" s="1"/>
  <c r="C890" i="10" s="1"/>
  <c r="E889" i="10"/>
  <c r="D889" i="10" s="1"/>
  <c r="C889" i="10" s="1"/>
  <c r="E888" i="10"/>
  <c r="D888" i="10" s="1"/>
  <c r="E887" i="10"/>
  <c r="D887" i="10" s="1"/>
  <c r="C887" i="10" s="1"/>
  <c r="E886" i="10"/>
  <c r="D886" i="10" s="1"/>
  <c r="C886" i="10" s="1"/>
  <c r="E885" i="10"/>
  <c r="D885" i="10"/>
  <c r="C885" i="10" s="1"/>
  <c r="E884" i="10"/>
  <c r="D884" i="10" s="1"/>
  <c r="C884" i="10" s="1"/>
  <c r="E883" i="10"/>
  <c r="D883" i="10" s="1"/>
  <c r="C883" i="10" s="1"/>
  <c r="E882" i="10"/>
  <c r="D882" i="10" s="1"/>
  <c r="C882" i="10" s="1"/>
  <c r="E881" i="10"/>
  <c r="D881" i="10"/>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s="1"/>
  <c r="C850" i="10" s="1"/>
  <c r="E849" i="10"/>
  <c r="D849" i="10" s="1"/>
  <c r="E848" i="10"/>
  <c r="D848" i="10" s="1"/>
  <c r="C848" i="10" s="1"/>
  <c r="E847" i="10"/>
  <c r="D847" i="10" s="1"/>
  <c r="C847" i="10" s="1"/>
  <c r="E846" i="10"/>
  <c r="D846" i="10" s="1"/>
  <c r="C846" i="10" s="1"/>
  <c r="E845" i="10"/>
  <c r="D845" i="10" s="1"/>
  <c r="C845" i="10" s="1"/>
  <c r="E844" i="10"/>
  <c r="D844" i="10" s="1"/>
  <c r="C844" i="10" s="1"/>
  <c r="E843" i="10"/>
  <c r="D843" i="10" s="1"/>
  <c r="C843" i="10" s="1"/>
  <c r="E842" i="10"/>
  <c r="D842" i="10"/>
  <c r="C842" i="10" s="1"/>
  <c r="E841" i="10"/>
  <c r="D841" i="10" s="1"/>
  <c r="C841" i="10" s="1"/>
  <c r="E840" i="10"/>
  <c r="D840" i="10" s="1"/>
  <c r="C840" i="10" s="1"/>
  <c r="E839" i="10"/>
  <c r="D839" i="10"/>
  <c r="E838" i="10"/>
  <c r="D838" i="10" s="1"/>
  <c r="C838" i="10" s="1"/>
  <c r="E837" i="10"/>
  <c r="D837" i="10" s="1"/>
  <c r="C837" i="10" s="1"/>
  <c r="E836" i="10"/>
  <c r="D836" i="10" s="1"/>
  <c r="C836" i="10" s="1"/>
  <c r="E835" i="10"/>
  <c r="D835" i="10" s="1"/>
  <c r="C835" i="10" s="1"/>
  <c r="E834" i="10"/>
  <c r="D834" i="10" s="1"/>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E811" i="10"/>
  <c r="D811" i="10" s="1"/>
  <c r="C811" i="10" s="1"/>
  <c r="E810" i="10"/>
  <c r="D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s="1"/>
  <c r="C801" i="10" s="1"/>
  <c r="E800" i="10"/>
  <c r="D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E768" i="10"/>
  <c r="D768" i="10" s="1"/>
  <c r="C768" i="10" s="1"/>
  <c r="E767" i="10"/>
  <c r="D767" i="10" s="1"/>
  <c r="C767" i="10" s="1"/>
  <c r="E766" i="10"/>
  <c r="D766" i="10" s="1"/>
  <c r="C766" i="10" s="1"/>
  <c r="E765" i="10"/>
  <c r="D765" i="10" s="1"/>
  <c r="C765" i="10" s="1"/>
  <c r="E764" i="10"/>
  <c r="D764" i="10" s="1"/>
  <c r="C764" i="10" s="1"/>
  <c r="E763" i="10"/>
  <c r="D763" i="10" s="1"/>
  <c r="C763" i="10" s="1"/>
  <c r="E762" i="10"/>
  <c r="D762" i="10" s="1"/>
  <c r="C762" i="10" s="1"/>
  <c r="E761" i="10"/>
  <c r="D761" i="10" s="1"/>
  <c r="C761" i="10" s="1"/>
  <c r="E760" i="10"/>
  <c r="D760" i="10" s="1"/>
  <c r="C760" i="10" s="1"/>
  <c r="E759" i="10"/>
  <c r="D759" i="10" s="1"/>
  <c r="E758" i="10"/>
  <c r="D758" i="10" s="1"/>
  <c r="C758" i="10" s="1"/>
  <c r="E757" i="10"/>
  <c r="D757" i="10" s="1"/>
  <c r="C757" i="10" s="1"/>
  <c r="E756" i="10"/>
  <c r="D756" i="10" s="1"/>
  <c r="C756" i="10" s="1"/>
  <c r="E755" i="10"/>
  <c r="D755" i="10" s="1"/>
  <c r="C755" i="10" s="1"/>
  <c r="E754" i="10"/>
  <c r="D754" i="10" s="1"/>
  <c r="C754" i="10" s="1"/>
  <c r="E753" i="10"/>
  <c r="D753" i="10" s="1"/>
  <c r="C753" i="10" s="1"/>
  <c r="E752" i="10"/>
  <c r="D752" i="10" s="1"/>
  <c r="C752" i="10" s="1"/>
  <c r="E751" i="10"/>
  <c r="D751" i="10" s="1"/>
  <c r="C751" i="10" s="1"/>
  <c r="E750" i="10"/>
  <c r="D750" i="10" s="1"/>
  <c r="C750" i="10" s="1"/>
  <c r="E749" i="10"/>
  <c r="D749" i="10" s="1"/>
  <c r="C749" i="10" s="1"/>
  <c r="E748" i="10"/>
  <c r="D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E736" i="10"/>
  <c r="D736" i="10" s="1"/>
  <c r="C736" i="10" s="1"/>
  <c r="E735" i="10"/>
  <c r="D735" i="10" s="1"/>
  <c r="C735" i="10" s="1"/>
  <c r="E734" i="10"/>
  <c r="D734" i="10"/>
  <c r="C734" i="10" s="1"/>
  <c r="E733" i="10"/>
  <c r="D733" i="10" s="1"/>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s="1"/>
  <c r="C719" i="10" s="1"/>
  <c r="E718" i="10"/>
  <c r="D718" i="10" s="1"/>
  <c r="C718" i="10" s="1"/>
  <c r="E717" i="10"/>
  <c r="D717" i="10" s="1"/>
  <c r="C717" i="10" s="1"/>
  <c r="E716" i="10"/>
  <c r="D716" i="10" s="1"/>
  <c r="C716" i="10" s="1"/>
  <c r="E715" i="10"/>
  <c r="D715" i="10"/>
  <c r="E714" i="10"/>
  <c r="D714" i="10" s="1"/>
  <c r="C714" i="10" s="1"/>
  <c r="E713" i="10"/>
  <c r="D713" i="10" s="1"/>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E691" i="10"/>
  <c r="D691" i="10" s="1"/>
  <c r="C691" i="10" s="1"/>
  <c r="E690" i="10"/>
  <c r="D690" i="10" s="1"/>
  <c r="C690" i="10" s="1"/>
  <c r="E689" i="10"/>
  <c r="D689" i="10" s="1"/>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s="1"/>
  <c r="C657" i="10" s="1"/>
  <c r="E656" i="10"/>
  <c r="D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E630" i="10"/>
  <c r="D630" i="10"/>
  <c r="C630" i="10" s="1"/>
  <c r="E629" i="10"/>
  <c r="D629" i="10" s="1"/>
  <c r="C629" i="10" s="1"/>
  <c r="E628" i="10"/>
  <c r="D628" i="10" s="1"/>
  <c r="C628" i="10" s="1"/>
  <c r="E627" i="10"/>
  <c r="D627" i="10" s="1"/>
  <c r="C627" i="10" s="1"/>
  <c r="E626" i="10"/>
  <c r="D626" i="10"/>
  <c r="C626" i="10" s="1"/>
  <c r="E625" i="10"/>
  <c r="D625" i="10" s="1"/>
  <c r="C625" i="10" s="1"/>
  <c r="E624" i="10"/>
  <c r="D624" i="10" s="1"/>
  <c r="C624" i="10" s="1"/>
  <c r="E623" i="10"/>
  <c r="D623" i="10"/>
  <c r="C623" i="10" s="1"/>
  <c r="E622" i="10"/>
  <c r="D622" i="10" s="1"/>
  <c r="C622" i="10" s="1"/>
  <c r="E621" i="10"/>
  <c r="D621" i="10" s="1"/>
  <c r="C621" i="10" s="1"/>
  <c r="E620" i="10"/>
  <c r="D620" i="10" s="1"/>
  <c r="C620" i="10" s="1"/>
  <c r="E619" i="10"/>
  <c r="D619" i="10" s="1"/>
  <c r="C619" i="10" s="1"/>
  <c r="E618" i="10"/>
  <c r="D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s="1"/>
  <c r="C609" i="10" s="1"/>
  <c r="E608" i="10"/>
  <c r="D608" i="10" s="1"/>
  <c r="C608" i="10" s="1"/>
  <c r="E607" i="10"/>
  <c r="D607" i="10" s="1"/>
  <c r="C607" i="10" s="1"/>
  <c r="E606" i="10"/>
  <c r="D606" i="10" s="1"/>
  <c r="C606" i="10" s="1"/>
  <c r="E605" i="10"/>
  <c r="D605" i="10"/>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E593" i="10"/>
  <c r="D593" i="10" s="1"/>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s="1"/>
  <c r="C573" i="10" s="1"/>
  <c r="E572" i="10"/>
  <c r="D572" i="10" s="1"/>
  <c r="C572" i="10" s="1"/>
  <c r="E571" i="10"/>
  <c r="D571" i="10" s="1"/>
  <c r="C571" i="10" s="1"/>
  <c r="E570" i="10"/>
  <c r="D570" i="10" s="1"/>
  <c r="C570" i="10" s="1"/>
  <c r="E569" i="10"/>
  <c r="D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E532" i="10"/>
  <c r="D532" i="10" s="1"/>
  <c r="C532" i="10" s="1"/>
  <c r="E531" i="10"/>
  <c r="D531" i="10" s="1"/>
  <c r="C531" i="10" s="1"/>
  <c r="E530" i="10"/>
  <c r="D530" i="10"/>
  <c r="C530" i="10" s="1"/>
  <c r="E529" i="10"/>
  <c r="D529" i="10" s="1"/>
  <c r="C529" i="10" s="1"/>
  <c r="E528" i="10"/>
  <c r="D528" i="10" s="1"/>
  <c r="C528" i="10" s="1"/>
  <c r="E527" i="10"/>
  <c r="D527" i="10"/>
  <c r="C527" i="10" s="1"/>
  <c r="E526" i="10"/>
  <c r="D526" i="10" s="1"/>
  <c r="C526" i="10" s="1"/>
  <c r="E525" i="10"/>
  <c r="D525" i="10" s="1"/>
  <c r="C525" i="10" s="1"/>
  <c r="E524" i="10"/>
  <c r="D524" i="10" s="1"/>
  <c r="C524" i="10" s="1"/>
  <c r="E523" i="10"/>
  <c r="D523" i="10" s="1"/>
  <c r="C523" i="10" s="1"/>
  <c r="E522" i="10"/>
  <c r="D522" i="10" s="1"/>
  <c r="C522" i="10" s="1"/>
  <c r="E521" i="10"/>
  <c r="D521" i="10"/>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s="1"/>
  <c r="C510" i="10" s="1"/>
  <c r="E509" i="10"/>
  <c r="D509" i="10" s="1"/>
  <c r="E508" i="10"/>
  <c r="D508" i="10" s="1"/>
  <c r="C508" i="10" s="1"/>
  <c r="E507" i="10"/>
  <c r="D507" i="10" s="1"/>
  <c r="C507" i="10" s="1"/>
  <c r="E506" i="10"/>
  <c r="D506" i="10" s="1"/>
  <c r="C506" i="10" s="1"/>
  <c r="E505" i="10"/>
  <c r="D505" i="10" s="1"/>
  <c r="C505" i="10" s="1"/>
  <c r="E504" i="10"/>
  <c r="D504" i="10" s="1"/>
  <c r="C504" i="10" s="1"/>
  <c r="E503" i="10"/>
  <c r="D503" i="10" s="1"/>
  <c r="C503" i="10" s="1"/>
  <c r="E502" i="10"/>
  <c r="D502" i="10"/>
  <c r="C502" i="10" s="1"/>
  <c r="E501" i="10"/>
  <c r="D501" i="10" s="1"/>
  <c r="C501" i="10" s="1"/>
  <c r="E500" i="10"/>
  <c r="D500" i="10" s="1"/>
  <c r="C500" i="10" s="1"/>
  <c r="E499" i="10"/>
  <c r="D499" i="10" s="1"/>
  <c r="C499" i="10" s="1"/>
  <c r="E498" i="10"/>
  <c r="D498" i="10" s="1"/>
  <c r="C498" i="10" s="1"/>
  <c r="E497" i="10"/>
  <c r="D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s="1"/>
  <c r="C449" i="10" s="1"/>
  <c r="E448" i="10"/>
  <c r="D448" i="10" s="1"/>
  <c r="E447" i="10"/>
  <c r="D447" i="10" s="1"/>
  <c r="C447" i="10" s="1"/>
  <c r="E446" i="10"/>
  <c r="D446" i="10"/>
  <c r="C446" i="10" s="1"/>
  <c r="E445" i="10"/>
  <c r="D445" i="10" s="1"/>
  <c r="C445" i="10" s="1"/>
  <c r="E444" i="10"/>
  <c r="D444" i="10" s="1"/>
  <c r="C444" i="10" s="1"/>
  <c r="E443" i="10"/>
  <c r="D443" i="10" s="1"/>
  <c r="C443" i="10" s="1"/>
  <c r="E442" i="10"/>
  <c r="D442" i="10" s="1"/>
  <c r="C442" i="10" s="1"/>
  <c r="E441" i="10"/>
  <c r="D441" i="10" s="1"/>
  <c r="C441" i="10" s="1"/>
  <c r="E440" i="10"/>
  <c r="D440" i="10" s="1"/>
  <c r="C440" i="10" s="1"/>
  <c r="E439" i="10"/>
  <c r="D439" i="10" s="1"/>
  <c r="C439" i="10" s="1"/>
  <c r="E438" i="10"/>
  <c r="D438" i="10" s="1"/>
  <c r="C438" i="10" s="1"/>
  <c r="E437" i="10"/>
  <c r="D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s="1"/>
  <c r="C429" i="10" s="1"/>
  <c r="E428" i="10"/>
  <c r="D428" i="10" s="1"/>
  <c r="E427" i="10"/>
  <c r="D427" i="10"/>
  <c r="C427" i="10" s="1"/>
  <c r="E426" i="10"/>
  <c r="D426" i="10" s="1"/>
  <c r="C426" i="10" s="1"/>
  <c r="E425" i="10"/>
  <c r="D425" i="10"/>
  <c r="C425" i="10" s="1"/>
  <c r="E424" i="10"/>
  <c r="D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s="1"/>
  <c r="C417" i="10" s="1"/>
  <c r="E416" i="10"/>
  <c r="D416" i="10" s="1"/>
  <c r="E415" i="10"/>
  <c r="D415" i="10" s="1"/>
  <c r="C415" i="10" s="1"/>
  <c r="E414" i="10"/>
  <c r="D414" i="10" s="1"/>
  <c r="C414" i="10" s="1"/>
  <c r="E413" i="10"/>
  <c r="D413" i="10" s="1"/>
  <c r="C413" i="10" s="1"/>
  <c r="E412" i="10"/>
  <c r="D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s="1"/>
  <c r="E380" i="10"/>
  <c r="D380" i="10" s="1"/>
  <c r="C380" i="10" s="1"/>
  <c r="E379" i="10"/>
  <c r="D379" i="10" s="1"/>
  <c r="C379" i="10" s="1"/>
  <c r="E378" i="10"/>
  <c r="D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E354" i="10"/>
  <c r="D354" i="10" s="1"/>
  <c r="C354" i="10" s="1"/>
  <c r="E353" i="10"/>
  <c r="D353" i="10" s="1"/>
  <c r="C353" i="10" s="1"/>
  <c r="E352" i="10"/>
  <c r="D352" i="10" s="1"/>
  <c r="C352" i="10" s="1"/>
  <c r="E351" i="10"/>
  <c r="D351" i="10" s="1"/>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s="1"/>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s="1"/>
  <c r="C319" i="10" s="1"/>
  <c r="E318" i="10"/>
  <c r="D318" i="10"/>
  <c r="C318" i="10" s="1"/>
  <c r="E317" i="10"/>
  <c r="D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s="1"/>
  <c r="C305" i="10" s="1"/>
  <c r="E304" i="10"/>
  <c r="D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E280" i="10"/>
  <c r="D280" i="10" s="1"/>
  <c r="C280" i="10" s="1"/>
  <c r="E279" i="10"/>
  <c r="D279" i="10" s="1"/>
  <c r="C279" i="10" s="1"/>
  <c r="E278" i="10"/>
  <c r="D278" i="10" s="1"/>
  <c r="C278" i="10" s="1"/>
  <c r="E277" i="10"/>
  <c r="D277" i="10" s="1"/>
  <c r="C277" i="10" s="1"/>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E269" i="10"/>
  <c r="D269" i="10" s="1"/>
  <c r="C269" i="10" s="1"/>
  <c r="E268" i="10"/>
  <c r="D268" i="10" s="1"/>
  <c r="C268" i="10" s="1"/>
  <c r="E267" i="10"/>
  <c r="D267" i="10" s="1"/>
  <c r="C267" i="10" s="1"/>
  <c r="E266" i="10"/>
  <c r="D266" i="10"/>
  <c r="C266" i="10"/>
  <c r="E265" i="10"/>
  <c r="D265" i="10" s="1"/>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E256" i="10"/>
  <c r="D256" i="10" s="1"/>
  <c r="C256" i="10" s="1"/>
  <c r="E255" i="10"/>
  <c r="D255" i="10" s="1"/>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E244" i="10"/>
  <c r="D244" i="10" s="1"/>
  <c r="E243" i="10"/>
  <c r="D243" i="10" s="1"/>
  <c r="C243" i="10" s="1"/>
  <c r="E242" i="10"/>
  <c r="D242" i="10" s="1"/>
  <c r="C242" i="10" s="1"/>
  <c r="E241" i="10"/>
  <c r="D241" i="10" s="1"/>
  <c r="C241" i="10" s="1"/>
  <c r="E240" i="10"/>
  <c r="D240" i="10" s="1"/>
  <c r="C240" i="10" s="1"/>
  <c r="E239" i="10"/>
  <c r="D239" i="10" s="1"/>
  <c r="C239" i="10" s="1"/>
  <c r="E238" i="10"/>
  <c r="D238" i="10"/>
  <c r="C238" i="10" s="1"/>
  <c r="E237" i="10"/>
  <c r="D237" i="10"/>
  <c r="C237" i="10" s="1"/>
  <c r="E236" i="10"/>
  <c r="D236" i="10" s="1"/>
  <c r="C236" i="10" s="1"/>
  <c r="E235" i="10"/>
  <c r="D235" i="10" s="1"/>
  <c r="C235" i="10" s="1"/>
  <c r="E234" i="10"/>
  <c r="D234" i="10" s="1"/>
  <c r="C234" i="10" s="1"/>
  <c r="E233" i="10"/>
  <c r="D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E56" i="10"/>
  <c r="D56" i="10" s="1"/>
  <c r="C56" i="10" s="1"/>
  <c r="E55" i="10"/>
  <c r="D55" i="10" s="1"/>
  <c r="C55" i="10" s="1"/>
  <c r="E54" i="10"/>
  <c r="D54" i="10"/>
  <c r="C54" i="10" s="1"/>
  <c r="E53" i="10"/>
  <c r="D53" i="10" s="1"/>
  <c r="C53" i="10" s="1"/>
  <c r="E52" i="10"/>
  <c r="D52" i="10" s="1"/>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E43" i="10"/>
  <c r="D43" i="10" s="1"/>
  <c r="C43" i="10" s="1"/>
  <c r="E42" i="10"/>
  <c r="D42" i="10" s="1"/>
  <c r="C42" i="10" s="1"/>
  <c r="E41" i="10"/>
  <c r="D41" i="10" s="1"/>
  <c r="C41" i="10" s="1"/>
  <c r="E40" i="10"/>
  <c r="D40" i="10" s="1"/>
  <c r="C40" i="10" s="1"/>
  <c r="E39" i="10"/>
  <c r="D39" i="10" s="1"/>
  <c r="C39" i="10" s="1"/>
  <c r="E38" i="10"/>
  <c r="D38" i="10" s="1"/>
  <c r="C38" i="10" s="1"/>
  <c r="E37" i="10"/>
  <c r="D37" i="10" s="1"/>
  <c r="C37" i="10" s="1"/>
  <c r="E36" i="10"/>
  <c r="D36" i="10" s="1"/>
  <c r="C36" i="10" s="1"/>
  <c r="E35" i="10"/>
  <c r="D35" i="10" s="1"/>
  <c r="C35" i="10" s="1"/>
  <c r="E34" i="10"/>
  <c r="D34" i="10" s="1"/>
  <c r="C34" i="10" s="1"/>
  <c r="E33" i="10"/>
  <c r="D33" i="10" s="1"/>
  <c r="E32" i="10"/>
  <c r="D32" i="10" s="1"/>
  <c r="C32" i="10" s="1"/>
  <c r="E31" i="10"/>
  <c r="D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s="1"/>
  <c r="E19" i="10"/>
  <c r="D19" i="10" s="1"/>
  <c r="C19" i="10" s="1"/>
  <c r="E18" i="10"/>
  <c r="D18" i="10"/>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E4" i="10"/>
  <c r="D4" i="10" s="1"/>
  <c r="C4" i="10" s="1"/>
  <c r="E3" i="10"/>
  <c r="D3" i="10" s="1"/>
  <c r="C3" i="10" s="1"/>
  <c r="E2" i="10"/>
  <c r="D2" i="10" s="1"/>
  <c r="C702" i="10" l="1"/>
  <c r="S60" i="11"/>
  <c r="T60" i="11"/>
  <c r="C109" i="10"/>
  <c r="S11" i="11"/>
  <c r="T11" i="11"/>
  <c r="C1708" i="10"/>
  <c r="S153" i="11"/>
  <c r="T153" i="11"/>
  <c r="C1255" i="10"/>
  <c r="S111" i="11"/>
  <c r="T111" i="11"/>
  <c r="C1527" i="10"/>
  <c r="T136" i="11"/>
  <c r="S136" i="11"/>
  <c r="C378" i="10"/>
  <c r="S33" i="11"/>
  <c r="T33" i="11"/>
  <c r="C424" i="10"/>
  <c r="S37" i="11"/>
  <c r="T37" i="11"/>
  <c r="C18" i="10"/>
  <c r="S4" i="11"/>
  <c r="T4" i="11"/>
  <c r="C31" i="10"/>
  <c r="S5" i="11"/>
  <c r="T5" i="11"/>
  <c r="C281" i="10"/>
  <c r="S25" i="11"/>
  <c r="T25" i="11"/>
  <c r="C317" i="10"/>
  <c r="S28" i="11"/>
  <c r="T28" i="11"/>
  <c r="C333" i="10"/>
  <c r="S29" i="11"/>
  <c r="T29" i="11"/>
  <c r="C401" i="10"/>
  <c r="S35" i="11"/>
  <c r="T35" i="11"/>
  <c r="C497" i="10"/>
  <c r="S43" i="11"/>
  <c r="T43" i="11"/>
  <c r="C545" i="10"/>
  <c r="S47" i="11"/>
  <c r="T47" i="11"/>
  <c r="C631" i="10"/>
  <c r="S54" i="11"/>
  <c r="T54" i="11"/>
  <c r="C790" i="10"/>
  <c r="S68" i="11"/>
  <c r="T68" i="11"/>
  <c r="C881" i="10"/>
  <c r="S77" i="11"/>
  <c r="T77" i="11"/>
  <c r="C1023" i="10"/>
  <c r="S92" i="11"/>
  <c r="T92" i="11"/>
  <c r="C1086" i="10"/>
  <c r="S97" i="11"/>
  <c r="T97" i="11"/>
  <c r="C1339" i="10"/>
  <c r="S118" i="11"/>
  <c r="T118" i="11"/>
  <c r="C1498" i="10"/>
  <c r="S133" i="11"/>
  <c r="T133" i="11"/>
  <c r="C1578" i="10"/>
  <c r="S141" i="11"/>
  <c r="T141" i="11"/>
  <c r="C194" i="10"/>
  <c r="S18" i="11"/>
  <c r="T18" i="11"/>
  <c r="C220" i="10"/>
  <c r="S20" i="11"/>
  <c r="T20" i="11"/>
  <c r="C412" i="10"/>
  <c r="S36" i="11"/>
  <c r="T36" i="11"/>
  <c r="C437" i="10"/>
  <c r="S38" i="11"/>
  <c r="T38" i="11"/>
  <c r="C533" i="10"/>
  <c r="S46" i="11"/>
  <c r="T46" i="11"/>
  <c r="C594" i="10"/>
  <c r="S51" i="11"/>
  <c r="T51" i="11"/>
  <c r="C644" i="10"/>
  <c r="S55" i="11"/>
  <c r="T55" i="11"/>
  <c r="C680" i="10"/>
  <c r="S58" i="11"/>
  <c r="T58" i="11"/>
  <c r="C737" i="10"/>
  <c r="S63" i="11"/>
  <c r="T63" i="11"/>
  <c r="C759" i="10"/>
  <c r="S65" i="11"/>
  <c r="T65" i="11"/>
  <c r="C810" i="10"/>
  <c r="S70" i="11"/>
  <c r="T70" i="11"/>
  <c r="C871" i="10"/>
  <c r="S76" i="11"/>
  <c r="T76" i="11"/>
  <c r="C901" i="10"/>
  <c r="S79" i="11"/>
  <c r="T79" i="11"/>
  <c r="C930" i="10"/>
  <c r="S82" i="11"/>
  <c r="T82" i="11"/>
  <c r="C1012" i="10"/>
  <c r="S91" i="11"/>
  <c r="T91" i="11"/>
  <c r="C1075" i="10"/>
  <c r="S96" i="11"/>
  <c r="T96" i="11"/>
  <c r="C1429" i="10"/>
  <c r="T126" i="11"/>
  <c r="S126" i="11"/>
  <c r="C1610" i="10"/>
  <c r="T144" i="11"/>
  <c r="S144" i="11"/>
  <c r="C1717" i="10"/>
  <c r="T154" i="11"/>
  <c r="S154" i="11"/>
  <c r="S155" i="11"/>
  <c r="T155" i="11"/>
  <c r="C1733" i="10"/>
  <c r="T156" i="11"/>
  <c r="S156" i="11"/>
  <c r="C1741" i="10"/>
  <c r="S157" i="11"/>
  <c r="T157" i="11"/>
  <c r="C1764" i="10"/>
  <c r="S160" i="11"/>
  <c r="T160" i="11"/>
  <c r="C5" i="10"/>
  <c r="S3" i="11"/>
  <c r="T3" i="11"/>
  <c r="C44" i="10"/>
  <c r="S6" i="11"/>
  <c r="T6" i="11"/>
  <c r="C149" i="10"/>
  <c r="S14" i="11"/>
  <c r="T14" i="11"/>
  <c r="C207" i="10"/>
  <c r="S19" i="11"/>
  <c r="T19" i="11"/>
  <c r="C257" i="10"/>
  <c r="S23" i="11"/>
  <c r="T23" i="11"/>
  <c r="C293" i="10"/>
  <c r="S26" i="11"/>
  <c r="T26" i="11"/>
  <c r="C304" i="10"/>
  <c r="S27" i="11"/>
  <c r="T27" i="11"/>
  <c r="C618" i="10"/>
  <c r="S53" i="11"/>
  <c r="T53" i="11"/>
  <c r="C71" i="10"/>
  <c r="S8" i="11"/>
  <c r="T8" i="11"/>
  <c r="C556" i="10"/>
  <c r="S48" i="11"/>
  <c r="T48" i="11"/>
  <c r="C668" i="10"/>
  <c r="S57" i="11"/>
  <c r="T57" i="11"/>
  <c r="C769" i="10"/>
  <c r="S66" i="11"/>
  <c r="T66" i="11"/>
  <c r="C939" i="10"/>
  <c r="S83" i="11"/>
  <c r="T83" i="11"/>
  <c r="C1133" i="10"/>
  <c r="S101" i="11"/>
  <c r="T101" i="11"/>
  <c r="C1160" i="10"/>
  <c r="S103" i="11"/>
  <c r="T103" i="11"/>
  <c r="C1267" i="10"/>
  <c r="S112" i="11"/>
  <c r="T112" i="11"/>
  <c r="C1468" i="10"/>
  <c r="T130" i="11"/>
  <c r="S130" i="11"/>
  <c r="C1567" i="10"/>
  <c r="T140" i="11"/>
  <c r="S140" i="11"/>
  <c r="C448" i="10"/>
  <c r="S39" i="11"/>
  <c r="T39" i="11"/>
  <c r="C484" i="10"/>
  <c r="S42" i="11"/>
  <c r="T42" i="11"/>
  <c r="C605" i="10"/>
  <c r="S52" i="11"/>
  <c r="T52" i="11"/>
  <c r="C748" i="10"/>
  <c r="S64" i="11"/>
  <c r="T64" i="11"/>
  <c r="C800" i="10"/>
  <c r="S69" i="11"/>
  <c r="T69" i="11"/>
  <c r="C839" i="10"/>
  <c r="S73" i="11"/>
  <c r="E51" i="5" s="1"/>
  <c r="T73" i="11"/>
  <c r="C891" i="10"/>
  <c r="S78" i="11"/>
  <c r="T78" i="11"/>
  <c r="C910" i="10"/>
  <c r="S80" i="11"/>
  <c r="T80" i="11"/>
  <c r="C967" i="10"/>
  <c r="S86" i="11"/>
  <c r="T86" i="11"/>
  <c r="C1032" i="10"/>
  <c r="S93" i="11"/>
  <c r="T93" i="11"/>
  <c r="C1173" i="10"/>
  <c r="S104" i="11"/>
  <c r="T104" i="11"/>
  <c r="C1185" i="10"/>
  <c r="S105" i="11"/>
  <c r="T105" i="11"/>
  <c r="C1197" i="10"/>
  <c r="S106" i="11"/>
  <c r="T106" i="11"/>
  <c r="C1209" i="10"/>
  <c r="S107" i="11"/>
  <c r="T107" i="11"/>
  <c r="C1351" i="10"/>
  <c r="T119" i="11"/>
  <c r="S119" i="11"/>
  <c r="C1363" i="10"/>
  <c r="S120" i="11"/>
  <c r="T120" i="11"/>
  <c r="C1440" i="10"/>
  <c r="S127" i="11"/>
  <c r="T127" i="11"/>
  <c r="C1459" i="10"/>
  <c r="S129" i="11"/>
  <c r="T129" i="11"/>
  <c r="C1488" i="10"/>
  <c r="T132" i="11"/>
  <c r="S132" i="11"/>
  <c r="C1681" i="10"/>
  <c r="T150" i="11"/>
  <c r="S150" i="11"/>
  <c r="C1756" i="10"/>
  <c r="S159" i="11"/>
  <c r="T159" i="11"/>
  <c r="C1772" i="10"/>
  <c r="S161" i="11"/>
  <c r="T161" i="11"/>
  <c r="C57" i="10"/>
  <c r="S7" i="11"/>
  <c r="T7" i="11"/>
  <c r="C84" i="10"/>
  <c r="S9" i="11"/>
  <c r="T9" i="11"/>
  <c r="C161" i="10"/>
  <c r="S15" i="11"/>
  <c r="T15" i="11"/>
  <c r="C366" i="10"/>
  <c r="S32" i="11"/>
  <c r="T32" i="11"/>
  <c r="C390" i="10"/>
  <c r="S34" i="11"/>
  <c r="T34" i="11"/>
  <c r="S40" i="11"/>
  <c r="T40" i="11"/>
  <c r="C509" i="10"/>
  <c r="S44" i="11"/>
  <c r="T44" i="11"/>
  <c r="C656" i="10"/>
  <c r="S56" i="11"/>
  <c r="T56" i="11"/>
  <c r="C715" i="10"/>
  <c r="S61" i="11"/>
  <c r="T61" i="11"/>
  <c r="C825" i="10"/>
  <c r="S72" i="11"/>
  <c r="T72" i="11"/>
  <c r="C849" i="10"/>
  <c r="S74" i="11"/>
  <c r="T74" i="11"/>
  <c r="C859" i="10"/>
  <c r="S75" i="11"/>
  <c r="T75" i="11"/>
  <c r="C919" i="10"/>
  <c r="S81" i="11"/>
  <c r="T81" i="11"/>
  <c r="C949" i="10"/>
  <c r="S84" i="11"/>
  <c r="T84" i="11"/>
  <c r="C983" i="10"/>
  <c r="S88" i="11"/>
  <c r="T88" i="11"/>
  <c r="C1120" i="10"/>
  <c r="S100" i="11"/>
  <c r="T100" i="11"/>
  <c r="S108" i="11"/>
  <c r="T108" i="11"/>
  <c r="C1374" i="10"/>
  <c r="T121" i="11"/>
  <c r="S121" i="11"/>
  <c r="C1385" i="10"/>
  <c r="S122" i="11"/>
  <c r="T122" i="11"/>
  <c r="C1396" i="10"/>
  <c r="T123" i="11"/>
  <c r="S123" i="11"/>
  <c r="C1419" i="10"/>
  <c r="S125" i="11"/>
  <c r="T125" i="11"/>
  <c r="C1449" i="10"/>
  <c r="T128" i="11"/>
  <c r="S128" i="11"/>
  <c r="C1518" i="10"/>
  <c r="S135" i="11"/>
  <c r="T135" i="11"/>
  <c r="C1547" i="10"/>
  <c r="T138" i="11"/>
  <c r="S138" i="11"/>
  <c r="C1558" i="10"/>
  <c r="S139" i="11"/>
  <c r="T139" i="11"/>
  <c r="C1637" i="10"/>
  <c r="T146" i="11"/>
  <c r="S146" i="11"/>
  <c r="C1648" i="10"/>
  <c r="S147" i="11"/>
  <c r="T147" i="11"/>
  <c r="C1749" i="10"/>
  <c r="T158" i="11"/>
  <c r="S158" i="11"/>
  <c r="C1781" i="10"/>
  <c r="E162" i="11"/>
  <c r="I162" i="11"/>
  <c r="M162" i="11"/>
  <c r="U162" i="11"/>
  <c r="Y162" i="11"/>
  <c r="F162" i="11"/>
  <c r="J162" i="11"/>
  <c r="N162" i="11"/>
  <c r="V162" i="11"/>
  <c r="Z162" i="11"/>
  <c r="G162" i="11"/>
  <c r="K162" i="11"/>
  <c r="O162" i="11"/>
  <c r="S162" i="11"/>
  <c r="AA162" i="11"/>
  <c r="AE162" i="11"/>
  <c r="AI162" i="11"/>
  <c r="AM162" i="11"/>
  <c r="H162" i="11"/>
  <c r="L162" i="11"/>
  <c r="P162" i="11"/>
  <c r="T162" i="11"/>
  <c r="AB162" i="11"/>
  <c r="AF162" i="11"/>
  <c r="AJ162" i="11"/>
  <c r="AN162" i="11"/>
  <c r="C1793" i="10"/>
  <c r="S164" i="11"/>
  <c r="S165" i="11" s="1"/>
  <c r="T164" i="11"/>
  <c r="T165" i="11" s="1"/>
  <c r="C2" i="10"/>
  <c r="S2" i="11"/>
  <c r="T2" i="11"/>
  <c r="C97" i="10"/>
  <c r="S10" i="11"/>
  <c r="T10" i="11"/>
  <c r="C123" i="10"/>
  <c r="S12" i="11"/>
  <c r="T12" i="11"/>
  <c r="C135" i="10"/>
  <c r="S13" i="11"/>
  <c r="T13" i="11"/>
  <c r="C174" i="10"/>
  <c r="S16" i="11"/>
  <c r="T16" i="11"/>
  <c r="C185" i="10"/>
  <c r="S17" i="11"/>
  <c r="T17" i="11"/>
  <c r="C233" i="10"/>
  <c r="S21" i="11"/>
  <c r="T21" i="11"/>
  <c r="C245" i="10"/>
  <c r="S22" i="11"/>
  <c r="T22" i="11"/>
  <c r="C270" i="10"/>
  <c r="S24" i="11"/>
  <c r="T24" i="11"/>
  <c r="C344" i="10"/>
  <c r="S30" i="11"/>
  <c r="T30" i="11"/>
  <c r="C472" i="10"/>
  <c r="S41" i="11"/>
  <c r="T41" i="11"/>
  <c r="C569" i="10"/>
  <c r="S49" i="11"/>
  <c r="T49" i="11"/>
  <c r="C692" i="10"/>
  <c r="S59" i="11"/>
  <c r="T59" i="11"/>
  <c r="C812" i="10"/>
  <c r="S71" i="11"/>
  <c r="T71" i="11"/>
  <c r="C958" i="10"/>
  <c r="S85" i="11"/>
  <c r="T85" i="11"/>
  <c r="C976" i="10"/>
  <c r="S87" i="11"/>
  <c r="T87" i="11"/>
  <c r="C1002" i="10"/>
  <c r="S90" i="11"/>
  <c r="T90" i="11"/>
  <c r="C1046" i="10"/>
  <c r="S94" i="11"/>
  <c r="T94" i="11"/>
  <c r="C1062" i="10"/>
  <c r="S95" i="11"/>
  <c r="T95" i="11"/>
  <c r="C1099" i="10"/>
  <c r="S98" i="11"/>
  <c r="T98" i="11"/>
  <c r="C1110" i="10"/>
  <c r="S99" i="11"/>
  <c r="T99" i="11"/>
  <c r="C1147" i="10"/>
  <c r="S102" i="11"/>
  <c r="T102" i="11"/>
  <c r="C1233" i="10"/>
  <c r="S109" i="11"/>
  <c r="T109" i="11"/>
  <c r="C1244" i="10"/>
  <c r="S110" i="11"/>
  <c r="T110" i="11"/>
  <c r="C1281" i="10"/>
  <c r="S113" i="11"/>
  <c r="T113" i="11"/>
  <c r="C1304" i="10"/>
  <c r="S115" i="11"/>
  <c r="T115" i="11"/>
  <c r="C1316" i="10"/>
  <c r="S116" i="11"/>
  <c r="T116" i="11"/>
  <c r="C1327" i="10"/>
  <c r="S117" i="11"/>
  <c r="T117" i="11"/>
  <c r="C1407" i="10"/>
  <c r="T124" i="11"/>
  <c r="S124" i="11"/>
  <c r="C1478" i="10"/>
  <c r="S131" i="11"/>
  <c r="T131" i="11"/>
  <c r="C1508" i="10"/>
  <c r="T134" i="11"/>
  <c r="S134" i="11"/>
  <c r="C1537" i="10"/>
  <c r="S137" i="11"/>
  <c r="T137" i="11"/>
  <c r="C1588" i="10"/>
  <c r="T142" i="11"/>
  <c r="S142" i="11"/>
  <c r="C1600" i="10"/>
  <c r="S143" i="11"/>
  <c r="T143" i="11"/>
  <c r="C1671" i="10"/>
  <c r="S149" i="11"/>
  <c r="T149" i="11"/>
  <c r="S151" i="11"/>
  <c r="T151" i="11"/>
  <c r="C355" i="10"/>
  <c r="S31" i="11"/>
  <c r="T31" i="11"/>
  <c r="C521" i="10"/>
  <c r="S45" i="11"/>
  <c r="T45" i="11"/>
  <c r="C580" i="10"/>
  <c r="S50" i="11"/>
  <c r="T50" i="11"/>
  <c r="C726" i="10"/>
  <c r="S62" i="11"/>
  <c r="T62" i="11"/>
  <c r="C779" i="10"/>
  <c r="S67" i="11"/>
  <c r="T67" i="11"/>
  <c r="C993" i="10"/>
  <c r="S89" i="11"/>
  <c r="T89" i="11"/>
  <c r="C1293" i="10"/>
  <c r="S114" i="11"/>
  <c r="T114" i="11"/>
  <c r="C1620" i="10"/>
  <c r="S145" i="11"/>
  <c r="T145" i="11"/>
  <c r="C1660" i="10"/>
  <c r="T148" i="11"/>
  <c r="S148" i="11"/>
  <c r="C1698" i="10"/>
  <c r="T152" i="11"/>
  <c r="S152" i="11"/>
  <c r="C1787" i="10"/>
  <c r="G163" i="11"/>
  <c r="K163" i="11"/>
  <c r="O163" i="11"/>
  <c r="S163" i="11"/>
  <c r="AA163" i="11"/>
  <c r="AE163" i="11"/>
  <c r="AI163" i="11"/>
  <c r="AM163" i="11"/>
  <c r="H163" i="11"/>
  <c r="L163" i="11"/>
  <c r="P163" i="11"/>
  <c r="T163" i="11"/>
  <c r="AB163" i="11"/>
  <c r="AF163" i="11"/>
  <c r="AJ163" i="11"/>
  <c r="AN163" i="11"/>
  <c r="E163" i="11"/>
  <c r="I163" i="11"/>
  <c r="M163" i="11"/>
  <c r="U163" i="11"/>
  <c r="Y163" i="11"/>
  <c r="F163" i="11"/>
  <c r="J163" i="11"/>
  <c r="N163" i="11"/>
  <c r="V163" i="11"/>
  <c r="Z163" i="11"/>
  <c r="H14" i="6"/>
  <c r="K26" i="6"/>
  <c r="K27" i="6"/>
  <c r="M20" i="6"/>
  <c r="B13" i="6"/>
  <c r="A16" i="6"/>
  <c r="B16"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Q9" i="11" s="1"/>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AL9" i="11"/>
  <c r="AH9" i="11"/>
  <c r="AD9" i="11"/>
  <c r="AK9" i="11"/>
  <c r="AG9" i="11"/>
  <c r="A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AL101" i="11" s="1"/>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E53" i="5" s="1"/>
  <c r="Q73" i="11"/>
  <c r="E50" i="5" s="1"/>
  <c r="AL73" i="11"/>
  <c r="J67" i="5" s="1"/>
  <c r="AH73" i="11"/>
  <c r="J63" i="5" s="1"/>
  <c r="AD73" i="11"/>
  <c r="J59" i="5" s="1"/>
  <c r="D73" i="11"/>
  <c r="J34" i="5" s="1"/>
  <c r="AK73" i="11"/>
  <c r="E67" i="5" s="1"/>
  <c r="AG73" i="11"/>
  <c r="E63" i="5" s="1"/>
  <c r="AC73" i="11"/>
  <c r="E59" i="5" s="1"/>
  <c r="C73" i="11"/>
  <c r="E34" i="5" s="1"/>
  <c r="X73" i="11"/>
  <c r="J53" i="5" s="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E69" i="5" s="1"/>
  <c r="AI73" i="11"/>
  <c r="E65" i="5" s="1"/>
  <c r="AE73" i="11"/>
  <c r="E61" i="5" s="1"/>
  <c r="AA73" i="11"/>
  <c r="E58" i="5" s="1"/>
  <c r="M73" i="11"/>
  <c r="E46" i="5" s="1"/>
  <c r="I73" i="11"/>
  <c r="E41" i="5" s="1"/>
  <c r="E73" i="11"/>
  <c r="E36" i="5" s="1"/>
  <c r="Z73" i="11"/>
  <c r="J55" i="5" s="1"/>
  <c r="V73" i="11"/>
  <c r="P73" i="11"/>
  <c r="J48" i="5" s="1"/>
  <c r="L73" i="11"/>
  <c r="J43" i="5" s="1"/>
  <c r="H73" i="11"/>
  <c r="J39" i="5" s="1"/>
  <c r="Y73" i="11"/>
  <c r="E55" i="5" s="1"/>
  <c r="U73" i="11"/>
  <c r="E52" i="5" s="1"/>
  <c r="O73" i="11"/>
  <c r="E48" i="5" s="1"/>
  <c r="K73" i="11"/>
  <c r="E43" i="5" s="1"/>
  <c r="G73" i="11"/>
  <c r="E39" i="5" s="1"/>
  <c r="AN73" i="11"/>
  <c r="J69" i="5" s="1"/>
  <c r="AJ73" i="11"/>
  <c r="J65" i="5" s="1"/>
  <c r="AF73" i="11"/>
  <c r="J61" i="5" s="1"/>
  <c r="AB73" i="11"/>
  <c r="N73" i="11"/>
  <c r="J46" i="5" s="1"/>
  <c r="J73" i="11"/>
  <c r="J41" i="5" s="1"/>
  <c r="F73" i="11"/>
  <c r="J36" i="5" s="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F49" i="5" l="1"/>
  <c r="C49" i="5"/>
  <c r="G49" i="5" s="1"/>
  <c r="B49" i="5"/>
  <c r="B37" i="5"/>
  <c r="F37" i="5"/>
  <c r="C37" i="5"/>
  <c r="G37" i="5" s="1"/>
  <c r="B62" i="5"/>
  <c r="C62" i="5"/>
  <c r="G62" i="5" s="1"/>
  <c r="F62" i="5"/>
  <c r="F35" i="5"/>
  <c r="C35" i="5"/>
  <c r="G35" i="5" s="1"/>
  <c r="B35" i="5"/>
  <c r="C136" i="11"/>
  <c r="AD119" i="11"/>
  <c r="X113" i="11"/>
  <c r="C9" i="11"/>
  <c r="D9" i="11"/>
  <c r="Q162" i="11"/>
  <c r="AC162" i="11"/>
  <c r="AG162" i="11"/>
  <c r="AK162" i="11"/>
  <c r="R162" i="11"/>
  <c r="AD162" i="11"/>
  <c r="AH162" i="11"/>
  <c r="AL162" i="11"/>
  <c r="C162" i="11"/>
  <c r="W162" i="11"/>
  <c r="D162" i="11"/>
  <c r="X162" i="11"/>
  <c r="C42" i="5"/>
  <c r="G42" i="5" s="1"/>
  <c r="B42" i="5"/>
  <c r="F42" i="5"/>
  <c r="F66" i="5"/>
  <c r="B66" i="5"/>
  <c r="C66" i="5"/>
  <c r="G66" i="5" s="1"/>
  <c r="C60" i="5"/>
  <c r="G60" i="5" s="1"/>
  <c r="F60" i="5"/>
  <c r="B60" i="5"/>
  <c r="F54" i="5"/>
  <c r="B54" i="5"/>
  <c r="C54" i="5"/>
  <c r="G54" i="5" s="1"/>
  <c r="Q138" i="11"/>
  <c r="AC87" i="11"/>
  <c r="C119" i="11"/>
  <c r="C163" i="11"/>
  <c r="W163" i="11"/>
  <c r="D163" i="11"/>
  <c r="X163" i="11"/>
  <c r="Q163" i="11"/>
  <c r="AC163" i="11"/>
  <c r="AG163" i="11"/>
  <c r="AK163" i="11"/>
  <c r="R163" i="11"/>
  <c r="AD163" i="11"/>
  <c r="AH163" i="11"/>
  <c r="AL163" i="11"/>
  <c r="F40" i="5"/>
  <c r="B40" i="5"/>
  <c r="C40" i="5"/>
  <c r="G40" i="5" s="1"/>
  <c r="C56" i="5"/>
  <c r="G56" i="5" s="1"/>
  <c r="F56" i="5"/>
  <c r="B56" i="5"/>
  <c r="B47" i="5"/>
  <c r="C47" i="5"/>
  <c r="G47" i="5" s="1"/>
  <c r="F47" i="5"/>
  <c r="B70" i="5"/>
  <c r="C70" i="5"/>
  <c r="G70" i="5" s="1"/>
  <c r="F70" i="5"/>
  <c r="C64" i="5"/>
  <c r="G64" i="5" s="1"/>
  <c r="F64" i="5"/>
  <c r="B64" i="5"/>
  <c r="AG130" i="11"/>
  <c r="AC101" i="11"/>
  <c r="C44" i="5"/>
  <c r="G44" i="5" s="1"/>
  <c r="F44" i="5"/>
  <c r="B44" i="5"/>
  <c r="F68" i="5"/>
  <c r="C68" i="5"/>
  <c r="G68" i="5" s="1"/>
  <c r="B68" i="5"/>
  <c r="D113" i="11"/>
  <c r="Q95" i="1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0" i="5" l="1"/>
  <c r="K11" i="6" l="1"/>
  <c r="I31" i="5"/>
  <c r="L11" i="6"/>
  <c r="F79" i="5"/>
  <c r="F81" i="5" s="1"/>
  <c r="E5" i="6"/>
  <c r="D5" i="6"/>
  <c r="H12" i="5"/>
  <c r="H19" i="5"/>
  <c r="H11" i="5"/>
  <c r="H20" i="5"/>
  <c r="H14" i="5"/>
  <c r="H15" i="5"/>
  <c r="C79" i="5"/>
  <c r="G79" i="5" s="1"/>
  <c r="E80" i="5"/>
  <c r="B79" i="5"/>
  <c r="B81" i="5" s="1"/>
  <c r="H13" i="5"/>
  <c r="H18" i="5"/>
  <c r="I27" i="5"/>
  <c r="I30" i="5"/>
  <c r="I29" i="5"/>
  <c r="I32" i="5"/>
  <c r="I28" i="5"/>
  <c r="C81" i="5" l="1"/>
  <c r="G81" i="5" s="1"/>
</calcChain>
</file>

<file path=xl/sharedStrings.xml><?xml version="1.0" encoding="utf-8"?>
<sst xmlns="http://schemas.openxmlformats.org/spreadsheetml/2006/main" count="4850" uniqueCount="483">
  <si>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</si>
  <si>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</si>
  <si>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</si>
  <si>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</si>
  <si>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</si>
  <si>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</si>
  <si>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</si>
  <si>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</si>
  <si>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</si>
  <si>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</si>
  <si>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</si>
  <si>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</si>
  <si>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</si>
  <si>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</si>
  <si>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</si>
  <si>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</si>
  <si>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</si>
  <si>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</si>
  <si>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</si>
  <si>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</si>
  <si>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</si>
  <si>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</si>
  <si>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</si>
  <si>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</si>
  <si>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</si>
  <si>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</si>
  <si>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</si>
  <si>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</si>
  <si>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</si>
  <si>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</si>
  <si>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</si>
  <si>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</si>
  <si>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</si>
  <si>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</si>
  <si>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</si>
  <si>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</si>
  <si>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</si>
  <si>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</si>
  <si>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</si>
  <si>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</si>
  <si>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</si>
  <si>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</si>
  <si>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</si>
  <si>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</si>
  <si>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</si>
  <si>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</si>
  <si>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</si>
  <si>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</si>
  <si>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</si>
  <si>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</si>
  <si>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</si>
  <si>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</si>
  <si>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</si>
  <si>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</si>
  <si>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</si>
  <si>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</si>
  <si>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</si>
  <si>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</si>
  <si>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</si>
  <si>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</si>
  <si>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</si>
  <si>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</si>
  <si>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</si>
  <si>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</si>
  <si>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</si>
  <si>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</si>
  <si>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</si>
  <si>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</si>
  <si>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</si>
  <si>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</si>
  <si>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</si>
  <si>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</si>
  <si>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</si>
  <si>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</si>
  <si>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</si>
  <si>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</si>
  <si>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</si>
  <si>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</si>
  <si>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</si>
  <si>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</si>
  <si>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</si>
  <si>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</si>
  <si>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</si>
  <si>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</si>
  <si>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</si>
  <si>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</si>
  <si>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</si>
  <si>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</si>
  <si>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</si>
  <si>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</si>
  <si>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</si>
  <si>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</si>
  <si>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</si>
  <si>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</si>
  <si>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</si>
  <si>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</si>
  <si>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</si>
  <si>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</si>
  <si>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</si>
  <si>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</si>
  <si>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</si>
  <si>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</si>
  <si>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</si>
  <si>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</si>
  <si>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</si>
  <si>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</si>
  <si>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</si>
  <si>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</si>
  <si>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</si>
  <si>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</si>
  <si>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</si>
  <si>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</si>
  <si>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</si>
  <si>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</si>
  <si>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</si>
  <si>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</si>
  <si>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</si>
  <si>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</si>
  <si>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</si>
  <si>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</si>
  <si>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</si>
  <si>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</si>
  <si>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</si>
  <si>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</si>
  <si>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</si>
  <si>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</si>
  <si>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</si>
  <si>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</si>
  <si>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</si>
  <si>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</si>
  <si>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</si>
  <si>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</si>
  <si>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</si>
  <si>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</si>
  <si>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</si>
  <si>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</si>
  <si>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</si>
  <si>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</si>
  <si>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</si>
  <si>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</si>
  <si>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</si>
  <si>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</si>
  <si>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</si>
  <si>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</si>
  <si>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</si>
  <si>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</si>
  <si>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</si>
  <si>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</si>
  <si>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</si>
  <si>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</si>
  <si>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</si>
  <si>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</si>
  <si>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</si>
  <si>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</si>
  <si>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</si>
  <si>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</si>
  <si>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</si>
  <si>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</si>
  <si>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</si>
  <si>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</si>
  <si>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</si>
  <si>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</si>
  <si>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</si>
  <si>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</si>
  <si>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</si>
  <si>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</si>
  <si>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</si>
  <si>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</si>
  <si>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</si>
  <si>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</si>
  <si>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</si>
  <si>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</si>
  <si>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</si>
  <si>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</si>
  <si>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</si>
  <si>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</si>
  <si>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</si>
  <si>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</si>
  <si>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</si>
  <si>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</si>
  <si>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</si>
  <si>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</si>
  <si>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</si>
  <si>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</si>
  <si>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</si>
  <si>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</si>
  <si>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</si>
  <si>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</si>
  <si>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</si>
  <si>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</si>
  <si>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</si>
  <si>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</si>
  <si>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</si>
  <si>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</si>
  <si>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</si>
  <si>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</si>
  <si>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</si>
  <si>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</si>
  <si>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</si>
  <si>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</si>
  <si>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</si>
  <si>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</si>
  <si>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</si>
  <si>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</si>
  <si>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</si>
  <si>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</si>
  <si>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</si>
  <si>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</si>
  <si>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</si>
  <si>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</si>
  <si>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</si>
  <si>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</si>
  <si>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</si>
  <si>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</si>
  <si>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</si>
  <si>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</si>
  <si>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</si>
  <si>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</si>
  <si>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</si>
  <si>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</si>
  <si>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</si>
  <si>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</si>
  <si>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</si>
  <si>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</si>
  <si>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</si>
  <si>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</si>
  <si>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</si>
  <si>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</si>
  <si>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</si>
  <si>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</si>
  <si>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</si>
  <si>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</si>
  <si>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</si>
  <si>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</si>
  <si>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</si>
  <si>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</si>
  <si>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</si>
  <si>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</si>
  <si>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</si>
  <si>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</si>
  <si>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</si>
  <si>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</si>
  <si>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</si>
  <si>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</si>
  <si>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</si>
  <si>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</si>
  <si>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</si>
  <si>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</si>
  <si>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</si>
  <si>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</si>
  <si>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</si>
  <si>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</si>
  <si>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</si>
  <si>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</si>
  <si>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</si>
  <si>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</si>
  <si>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</si>
  <si>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</si>
  <si>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</si>
  <si>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</si>
  <si>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</si>
  <si>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</si>
  <si>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</si>
  <si>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</si>
  <si>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</si>
  <si>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</si>
  <si>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</si>
  <si>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</si>
  <si>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</si>
  <si>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</si>
  <si>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</si>
  <si>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</si>
  <si>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</si>
  <si>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</si>
  <si>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</si>
  <si>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</si>
  <si>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</si>
  <si>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</si>
  <si>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</si>
  <si>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</si>
  <si>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</si>
  <si>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</si>
  <si>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</si>
  <si>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</si>
  <si>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</si>
  <si>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</si>
  <si>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</si>
  <si>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</si>
  <si>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</si>
  <si>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</si>
  <si>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</si>
  <si>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</si>
  <si>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</si>
  <si>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</si>
  <si>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</si>
  <si>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</si>
  <si>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</si>
  <si>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</si>
  <si>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</si>
  <si>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</si>
  <si>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</si>
  <si>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</si>
  <si>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</si>
  <si>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</si>
  <si>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</si>
  <si>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</si>
  <si>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</si>
  <si>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</si>
  <si>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</si>
  <si>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</si>
  <si>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</si>
  <si>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</si>
  <si>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</si>
  <si>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</si>
  <si>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</si>
  <si>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</si>
  <si>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</si>
  <si>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</si>
  <si>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</si>
  <si>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</si>
  <si>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</si>
  <si>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</si>
  <si>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</si>
  <si>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</si>
  <si>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</si>
  <si>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</si>
  <si>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</si>
  <si>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</si>
  <si>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</si>
  <si>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</si>
  <si>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</si>
  <si>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</si>
  <si>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</si>
  <si>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</si>
  <si>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</si>
  <si>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</si>
  <si>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</si>
  <si>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</si>
  <si>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</si>
  <si>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</si>
  <si>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</si>
  <si>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</si>
  <si>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</si>
  <si>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</si>
  <si>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</si>
  <si>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</si>
  <si>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</si>
  <si>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</si>
  <si>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</si>
  <si>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</si>
  <si>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</si>
  <si>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</si>
  <si>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</si>
  <si>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</si>
  <si>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</si>
  <si>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</si>
  <si>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</si>
  <si>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</si>
  <si>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</si>
  <si>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</si>
  <si>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</si>
  <si>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</si>
  <si>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</si>
  <si>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</si>
  <si>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</si>
  <si>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</si>
  <si>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</si>
  <si>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</si>
  <si>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</si>
  <si>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</si>
  <si>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</si>
  <si>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</si>
  <si>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</si>
  <si>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</si>
  <si>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</si>
  <si>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</si>
  <si>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</si>
  <si>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</si>
  <si>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</si>
  <si>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</si>
  <si>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</si>
  <si>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</si>
  <si>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</si>
  <si>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</si>
  <si>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</si>
  <si>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</si>
  <si>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</si>
  <si>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</si>
  <si>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</si>
  <si>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</si>
  <si>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</si>
  <si>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</si>
  <si>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</si>
  <si>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</si>
  <si>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</si>
  <si>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</si>
  <si>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</si>
  <si>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</si>
  <si>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</si>
  <si>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</si>
  <si>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</si>
  <si>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</si>
  <si>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</si>
  <si>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</si>
  <si>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</si>
  <si>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</si>
  <si>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</si>
  <si>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</si>
  <si>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</si>
  <si>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</si>
  <si>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</si>
  <si>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</si>
  <si>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</si>
  <si>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</si>
  <si>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</si>
  <si>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</si>
  <si>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</si>
  <si>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</si>
  <si>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</si>
  <si>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</si>
  <si>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</si>
  <si>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</si>
  <si>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</si>
  <si>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</si>
  <si>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</si>
  <si>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</si>
  <si>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</si>
  <si>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</si>
  <si>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</si>
  <si>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</si>
  <si>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</si>
  <si>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</si>
  <si>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</si>
  <si>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</si>
  <si>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</si>
  <si>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</si>
  <si>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</si>
  <si>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</si>
  <si>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</si>
  <si>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</si>
  <si>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</si>
  <si>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</si>
  <si>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</si>
  <si>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</si>
  <si>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</si>
  <si>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</si>
  <si>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</si>
  <si>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</si>
  <si>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</si>
  <si>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</si>
  <si>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</si>
  <si>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</si>
  <si>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</si>
  <si>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</si>
  <si>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</si>
  <si>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</si>
  <si>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</si>
  <si>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</si>
  <si>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</si>
  <si>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</si>
  <si>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</si>
  <si>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</si>
  <si>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</si>
  <si>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</si>
  <si>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</si>
  <si>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</si>
  <si>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</si>
  <si>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</si>
  <si>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</si>
  <si>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</si>
  <si>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</si>
  <si>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</si>
  <si>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</si>
  <si>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</si>
  <si>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</si>
  <si>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</si>
  <si>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</si>
  <si>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</si>
  <si>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我校作为北京市西城区唯一的一所工读学校，专门负责行为思想、心理、价值观上存在一定问题学生的教育转化工作。教育公平是社会公平的重要基础，促进教育公平是国家的基本教育政策。自1978年建校以来始终坚持贯彻落实全面发展、因性施教、优化个性的办学理念，至今学校建校已经40年，充分展示了作为西城区唯一一所工读学校及西城区学校管理的整体精神风貌。</t>
    <phoneticPr fontId="4" type="noConversion"/>
  </si>
  <si>
    <t>主要原因是上一年度有补发一次性绩效。</t>
    <phoneticPr fontId="4" type="noConversion"/>
  </si>
  <si>
    <t>主要原因是专项支出增加。</t>
    <phoneticPr fontId="4" type="noConversion"/>
  </si>
  <si>
    <t>主要原因是抚恤金支出增加。</t>
    <phoneticPr fontId="4" type="noConversion"/>
  </si>
  <si>
    <t>主要原因是年末财政收回住房公积金结余。</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</si>
</sst>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11" fillId="0" borderId="0" xfId="0" applyFont="1" applyAlignment="1">
      <alignment horizontal="left" vertical="center" shrinkToFit="1"/>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xr:uid="{00000000-0005-0000-0000-000001000000}"/>
    <cellStyle name="常规 2 2" xfId="2" xr:uid="{00000000-0005-0000-0000-000002000000}"/>
    <cellStyle name="常规 3" xfId="3" xr:uid="{00000000-0005-0000-0000-000003000000}"/>
    <cellStyle name="常规 3 2" xfId="5" xr:uid="{00000000-0005-0000-0000-000004000000}"/>
    <cellStyle name="常规 4" xfId="6" xr:uid="{00000000-0005-0000-0000-000005000000}"/>
    <cellStyle name="千位分隔 2" xfId="4" xr:uid="{00000000-0005-0000-0000-000006000000}"/>
    <cellStyle name="千位分隔 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26"/>
  <sheetViews>
    <sheetView tabSelected="1" zoomScale="80" zoomScaleNormal="80" workbookViewId="0">
      <selection activeCell="D6" sqref="D6"/>
    </sheetView>
  </sheetViews>
  <sheetFormatPr defaultRowHeight="14.25"/>
  <cols>
    <col min="1" max="1" width="16.625" customWidth="1"/>
    <col min="2" max="2" width="12.75" bestFit="1" customWidth="1"/>
  </cols>
  <sheetData>
    <row r="1" spans="1:14" ht="37.700000000000003" customHeight="1">
      <c r="A1" s="27" t="s">
        <v>0</v>
      </c>
      <c r="B1" s="28">
        <v>255089</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北京市西城区育华中学</v>
      </c>
      <c r="B11" s="79"/>
      <c r="C11" s="79"/>
      <c r="D11" s="79"/>
      <c r="E11" s="79"/>
      <c r="F11" s="79"/>
      <c r="G11" s="79"/>
      <c r="H11" s="79"/>
      <c r="I11" s="79"/>
      <c r="J11" s="79"/>
      <c r="K11" s="79"/>
      <c r="L11" s="79"/>
      <c r="M11" s="79"/>
      <c r="N11" s="1"/>
    </row>
    <row r="12" spans="1:14" ht="72" customHeight="1">
      <c r="A12" s="79" t="s">
        <v>410</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375" style="47" customWidth="1"/>
    <col min="6" max="6" width="9.875" style="47" customWidth="1"/>
    <col min="7" max="7" width="8.62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7" customHeight="1">
      <c r="A1" s="42" t="s">
        <v>322</v>
      </c>
      <c r="B1" s="42" t="s">
        <v>359</v>
      </c>
      <c r="C1" s="75" t="s">
        <v>360</v>
      </c>
      <c r="D1" s="75" t="s">
        <v>361</v>
      </c>
      <c r="E1" s="42" t="s">
        <v>362</v>
      </c>
      <c r="F1" s="42" t="s">
        <v>363</v>
      </c>
      <c r="G1" s="42" t="s">
        <v>364</v>
      </c>
      <c r="H1" s="42" t="s">
        <v>365</v>
      </c>
      <c r="I1" s="42" t="s">
        <v>366</v>
      </c>
      <c r="J1" s="42" t="s">
        <v>367</v>
      </c>
      <c r="K1" s="42" t="s">
        <v>368</v>
      </c>
      <c r="L1" s="42" t="s">
        <v>369</v>
      </c>
      <c r="M1" s="42" t="s">
        <v>370</v>
      </c>
      <c r="N1" s="42" t="s">
        <v>371</v>
      </c>
      <c r="O1" s="42" t="s">
        <v>372</v>
      </c>
      <c r="P1" s="42" t="s">
        <v>373</v>
      </c>
      <c r="Q1" s="75" t="s">
        <v>374</v>
      </c>
      <c r="R1" s="75" t="s">
        <v>375</v>
      </c>
      <c r="S1" s="76" t="s">
        <v>470</v>
      </c>
      <c r="T1" s="76" t="s">
        <v>471</v>
      </c>
      <c r="U1" s="42" t="s">
        <v>376</v>
      </c>
      <c r="V1" s="42" t="s">
        <v>377</v>
      </c>
      <c r="W1" s="75" t="s">
        <v>378</v>
      </c>
      <c r="X1" s="75" t="s">
        <v>379</v>
      </c>
      <c r="Y1" s="42" t="s">
        <v>380</v>
      </c>
      <c r="Z1" s="42" t="s">
        <v>381</v>
      </c>
      <c r="AA1" s="42" t="s">
        <v>382</v>
      </c>
      <c r="AB1" s="42" t="s">
        <v>383</v>
      </c>
      <c r="AC1" s="75" t="s">
        <v>384</v>
      </c>
      <c r="AD1" s="75" t="s">
        <v>385</v>
      </c>
      <c r="AE1" s="42" t="s">
        <v>386</v>
      </c>
      <c r="AF1" s="42" t="s">
        <v>387</v>
      </c>
      <c r="AG1" s="75" t="s">
        <v>388</v>
      </c>
      <c r="AH1" s="75" t="s">
        <v>389</v>
      </c>
      <c r="AI1" s="42" t="s">
        <v>390</v>
      </c>
      <c r="AJ1" s="42" t="s">
        <v>391</v>
      </c>
      <c r="AK1" s="75" t="s">
        <v>392</v>
      </c>
      <c r="AL1" s="75" t="s">
        <v>393</v>
      </c>
      <c r="AM1" s="42" t="s">
        <v>394</v>
      </c>
      <c r="AN1" s="42" t="s">
        <v>395</v>
      </c>
    </row>
    <row r="2" spans="1:40">
      <c r="A2" s="43">
        <v>255001</v>
      </c>
      <c r="B2" s="44" t="s">
        <v>302</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303</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461</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462</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396</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397</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625" style="41" customWidth="1"/>
    <col min="6" max="6" width="19.625" style="36" customWidth="1"/>
    <col min="7" max="8" width="13.625" style="36" customWidth="1"/>
    <col min="9" max="16384" width="8.875" style="23"/>
  </cols>
  <sheetData>
    <row r="1" spans="1:8" ht="24">
      <c r="A1" s="21" t="s">
        <v>250</v>
      </c>
      <c r="B1" s="22" t="s">
        <v>251</v>
      </c>
      <c r="C1" s="37" t="s">
        <v>323</v>
      </c>
      <c r="D1" s="37" t="s">
        <v>324</v>
      </c>
      <c r="E1" s="38" t="s">
        <v>325</v>
      </c>
      <c r="F1" s="22" t="s">
        <v>326</v>
      </c>
      <c r="G1" s="22" t="s">
        <v>327</v>
      </c>
      <c r="H1" s="22" t="s">
        <v>328</v>
      </c>
    </row>
    <row r="2" spans="1:8">
      <c r="A2" s="24">
        <v>255001</v>
      </c>
      <c r="B2" s="25" t="s">
        <v>302</v>
      </c>
      <c r="C2" s="39" t="str">
        <f>LEFT(D2,3)</f>
        <v>205</v>
      </c>
      <c r="D2" s="39" t="str">
        <f>LEFT(E2,5)</f>
        <v>20502</v>
      </c>
      <c r="E2" s="39">
        <f>IF(ISNA(VLOOKUP(F2,'2021功能科目'!A:B,2,FALSE)),"",VLOOKUP(F2,'2021功能科目'!A:B,2,FALSE))</f>
        <v>2050201</v>
      </c>
      <c r="F2" s="25" t="s">
        <v>329</v>
      </c>
      <c r="G2" s="26">
        <v>84369469.799999997</v>
      </c>
      <c r="H2" s="26">
        <v>88422700</v>
      </c>
    </row>
    <row r="3" spans="1:8">
      <c r="A3" s="24">
        <v>255001</v>
      </c>
      <c r="B3" s="25" t="s">
        <v>302</v>
      </c>
      <c r="C3" s="39" t="str">
        <f t="shared" ref="C3:C66" si="0">LEFT(D3,3)</f>
        <v>205</v>
      </c>
      <c r="D3" s="39" t="str">
        <f t="shared" ref="D3:D66" si="1">LEFT(E3,5)</f>
        <v>20502</v>
      </c>
      <c r="E3" s="39">
        <f>IF(ISNA(VLOOKUP(F3,'2021功能科目'!A:B,2,FALSE)),"",VLOOKUP(F3,'2021功能科目'!A:B,2,FALSE))</f>
        <v>2050204</v>
      </c>
      <c r="F3" s="25" t="s">
        <v>331</v>
      </c>
      <c r="G3" s="26">
        <v>1817641</v>
      </c>
      <c r="H3" s="26">
        <v>410000</v>
      </c>
    </row>
    <row r="4" spans="1:8">
      <c r="A4" s="24">
        <v>255001</v>
      </c>
      <c r="B4" s="25" t="s">
        <v>302</v>
      </c>
      <c r="C4" s="39" t="str">
        <f t="shared" si="0"/>
        <v>205</v>
      </c>
      <c r="D4" s="39" t="str">
        <f t="shared" si="1"/>
        <v>20502</v>
      </c>
      <c r="E4" s="39">
        <f>IF(ISNA(VLOOKUP(F4,'2021功能科目'!A:B,2,FALSE)),"",VLOOKUP(F4,'2021功能科目'!A:B,2,FALSE))</f>
        <v>2050299</v>
      </c>
      <c r="F4" s="25" t="s">
        <v>332</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345</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331</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332</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333</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335</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336</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337</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338</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340</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341</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342</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343</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344</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345</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331</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332</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333</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335</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336</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337</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338</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340</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341</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342</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343</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344</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345</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331</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332</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333</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335</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336</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337</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338</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340</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341</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342</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343</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344</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345</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331</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332</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333</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335</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336</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337</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338</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340</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341</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342</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343</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344</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345</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331</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332</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333</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335</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336</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337</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338</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339</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340</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341</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342</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343</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344</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345</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331</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332</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333</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335</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336</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337</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338</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340</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341</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342</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343</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344</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345</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331</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332</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333</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335</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336</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337</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338</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340</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341</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342</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343</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344</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331</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332</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333</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335</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336</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337</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338</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340</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341</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342</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343</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344</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345</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331</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332</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333</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334</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335</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336</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337</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338</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340</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341</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342</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343</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344</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331</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332</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333</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335</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336</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337</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338</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340</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341</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342</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343</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344</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345</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331</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332</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333</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334</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335</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336</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337</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338</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340</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341</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342</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343</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344</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345</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331</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332</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333</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336</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337</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338</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340</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341</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342</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343</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344</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345</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331</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332</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333</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335</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336</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337</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338</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340</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341</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342</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343</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344</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345</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332</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333</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336</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337</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338</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340</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341</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342</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343</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344</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331</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333</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336</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337</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338</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340</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342</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343</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344</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345</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331</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332</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333</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335</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336</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337</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338</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340</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341</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342</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343</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344</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345</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331</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332</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333</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335</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336</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337</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338</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340</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341</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342</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343</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344</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345</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331</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332</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333</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335</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336</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337</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338</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340</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341</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342</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343</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344</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331</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332</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333</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335</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336</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337</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338</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340</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341</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342</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343</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344</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345</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332</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333</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335</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336</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337</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338</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340</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341</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342</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343</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344</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345</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331</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332</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333</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335</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336</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337</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338</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340</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341</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342</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343</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344</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345</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332</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333</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336</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337</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338</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340</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341</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342</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343</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344</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345</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332</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333</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335</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336</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337</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338</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340</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341</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342</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343</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344</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346</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333</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336</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337</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338</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339</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340</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341</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342</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343</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344</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331</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332</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346</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333</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348</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336</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337</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338</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340</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341</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342</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343</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344</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329</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330</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345</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331</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332</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333</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334</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335</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336</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337</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338</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340</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341</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342</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343</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344</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330</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332</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333</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336</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337</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338</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340</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341</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342</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343</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344</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330</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332</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333</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334</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336</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337</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338</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340</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342</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343</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344</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330</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332</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333</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335</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336</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337</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338</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340</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342</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343</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344</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330</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332</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333</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334</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335</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336</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337</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338</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340</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342</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343</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344</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330</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332</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333</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334</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335</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336</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337</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338</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340</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342</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343</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344</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330</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332</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333</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334</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336</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337</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338</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340</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342</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343</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344</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330</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332</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333</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335</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336</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337</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338</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340</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342</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343</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344</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330</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332</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333</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334</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335</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336</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337</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338</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340</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342</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343</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344</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330</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332</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333</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334</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335</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336</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337</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338</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340</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341</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342</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343</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344</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330</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332</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333</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335</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336</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337</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338</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340</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342</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343</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344</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330</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332</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333</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334</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335</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336</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337</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338</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340</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341</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342</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343</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344</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330</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332</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333</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334</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336</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337</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338</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340</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342</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343</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344</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330</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332</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333</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335</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336</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337</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338</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340</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341</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342</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343</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344</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330</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332</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333</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334</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335</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336</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337</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338</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340</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341</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342</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343</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344</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330</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332</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333</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334</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335</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336</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337</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338</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340</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342</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343</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344</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330</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332</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333</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335</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336</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337</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338</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340</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341</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342</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343</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344</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330</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332</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333</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334</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335</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336</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337</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338</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340</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342</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343</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344</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330</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332</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333</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334</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335</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336</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337</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338</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340</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342</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343</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344</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330</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332</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333</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335</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336</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337</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338</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340</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342</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343</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344</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330</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332</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333</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334</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335</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336</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337</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338</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340</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341</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342</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343</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344</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330</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332</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333</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335</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336</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337</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338</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340</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342</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343</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344</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330</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332</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333</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334</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335</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336</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337</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338</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339</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340</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341</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342</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343</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344</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330</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332</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333</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334</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336</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337</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338</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340</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342</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343</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344</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330</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332</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333</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334</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335</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349</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336</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337</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338</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340</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342</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343</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344</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330</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332</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333</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334</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335</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336</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337</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338</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340</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341</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342</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343</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344</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330</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332</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333</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334</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335</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336</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337</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338</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340</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341</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342</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343</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344</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330</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332</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333</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335</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336</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337</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338</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340</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341</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342</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343</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344</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330</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332</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333</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335</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336</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337</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338</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340</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341</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342</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343</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344</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330</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332</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333</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335</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336</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337</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338</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340</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341</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342</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343</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344</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330</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332</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333</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335</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336</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337</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338</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340</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341</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342</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343</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344</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330</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332</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333</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336</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337</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338</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340</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342</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343</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344</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330</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332</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333</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334</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335</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336</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337</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338</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340</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341</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342</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343</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344</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330</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332</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333</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336</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337</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338</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340</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341</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342</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343</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344</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329</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333</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349</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336</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337</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338</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340</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341</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342</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343</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344</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329</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333</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349</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336</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337</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338</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340</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341</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342</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343</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344</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329</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333</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349</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336</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337</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338</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340</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341</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342</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343</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344</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329</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333</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349</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336</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337</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338</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340</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342</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343</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344</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329</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333</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349</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336</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337</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338</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340</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342</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343</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344</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329</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333</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349</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336</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337</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338</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340</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341</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342</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343</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344</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329</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333</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349</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336</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337</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338</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340</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342</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343</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344</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329</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333</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349</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336</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337</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338</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340</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342</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343</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344</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336</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343</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329</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331</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332</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350</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333</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349</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336</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337</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338</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340</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342</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343</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344</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329</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345</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331</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332</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350</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333</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335</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336</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337</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338</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340</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342</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343</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344</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332</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352</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333</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336</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337</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338</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340</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342</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343</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344</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332</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333</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336</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337</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338</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340</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341</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342</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343</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344</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332</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333</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349</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353</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336</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337</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338</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340</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341</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342</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343</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344</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332</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333</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349</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336</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337</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338</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340</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342</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343</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344</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332</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333</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349</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336</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337</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338</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340</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342</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343</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344</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332</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333</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349</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336</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337</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338</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340</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342</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343</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344</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332</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333</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336</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337</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338</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340</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342</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343</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344</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332</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333</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336</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337</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338</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340</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342</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343</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344</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354</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333</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349</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336</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337</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338</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340</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341</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342</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343</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344</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332</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333</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336</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337</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338</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340</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342</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343</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344</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332</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333</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349</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336</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337</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338</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340</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342</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343</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344</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354</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333</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336</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337</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338</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340</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342</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343</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344</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332</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333</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336</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337</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338</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340</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342</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343</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344</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332</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333</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336</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337</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338</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340</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342</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343</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344</v>
      </c>
      <c r="G975" s="26">
        <v>279288</v>
      </c>
      <c r="H975" s="26">
        <v>279288</v>
      </c>
    </row>
    <row r="976" spans="1:8">
      <c r="A976" s="24">
        <v>255108</v>
      </c>
      <c r="B976" s="25" t="s">
        <v>309</v>
      </c>
      <c r="C976" s="39" t="str">
        <f t="shared" si="30"/>
        <v>205</v>
      </c>
      <c r="D976" s="39" t="str">
        <f t="shared" si="31"/>
        <v>20502</v>
      </c>
      <c r="E976" s="39">
        <f>IF(ISNA(VLOOKUP(F976,'2021功能科目'!A:B,2,FALSE)),"",VLOOKUP(F976,'2021功能科目'!A:B,2,FALSE))</f>
        <v>2050299</v>
      </c>
      <c r="F976" s="25" t="s">
        <v>332</v>
      </c>
      <c r="G976" s="26">
        <v>2062299.14</v>
      </c>
      <c r="H976" s="26">
        <v>1861343.69</v>
      </c>
    </row>
    <row r="977" spans="1:8">
      <c r="A977" s="24">
        <v>255108</v>
      </c>
      <c r="B977" s="25" t="s">
        <v>309</v>
      </c>
      <c r="C977" s="39" t="str">
        <f t="shared" si="30"/>
        <v>205</v>
      </c>
      <c r="D977" s="39" t="str">
        <f t="shared" si="31"/>
        <v>20508</v>
      </c>
      <c r="E977" s="39">
        <f>IF(ISNA(VLOOKUP(F977,'2021功能科目'!A:B,2,FALSE)),"",VLOOKUP(F977,'2021功能科目'!A:B,2,FALSE))</f>
        <v>2050803</v>
      </c>
      <c r="F977" s="25" t="s">
        <v>333</v>
      </c>
      <c r="G977" s="26">
        <v>0</v>
      </c>
      <c r="H977" s="26">
        <v>6120</v>
      </c>
    </row>
    <row r="978" spans="1:8">
      <c r="A978" s="24">
        <v>255108</v>
      </c>
      <c r="B978" s="25" t="s">
        <v>309</v>
      </c>
      <c r="C978" s="39" t="str">
        <f t="shared" si="30"/>
        <v>208</v>
      </c>
      <c r="D978" s="39" t="str">
        <f t="shared" si="31"/>
        <v>20805</v>
      </c>
      <c r="E978" s="39">
        <f>IF(ISNA(VLOOKUP(F978,'2021功能科目'!A:B,2,FALSE)),"",VLOOKUP(F978,'2021功能科目'!A:B,2,FALSE))</f>
        <v>2080505</v>
      </c>
      <c r="F978" s="25" t="s">
        <v>337</v>
      </c>
      <c r="G978" s="26">
        <v>227009.92000000001</v>
      </c>
      <c r="H978" s="26">
        <v>233242.54</v>
      </c>
    </row>
    <row r="979" spans="1:8">
      <c r="A979" s="24">
        <v>255108</v>
      </c>
      <c r="B979" s="25" t="s">
        <v>309</v>
      </c>
      <c r="C979" s="39" t="str">
        <f t="shared" si="30"/>
        <v>208</v>
      </c>
      <c r="D979" s="39" t="str">
        <f t="shared" si="31"/>
        <v>20805</v>
      </c>
      <c r="E979" s="39">
        <f>IF(ISNA(VLOOKUP(F979,'2021功能科目'!A:B,2,FALSE)),"",VLOOKUP(F979,'2021功能科目'!A:B,2,FALSE))</f>
        <v>2080506</v>
      </c>
      <c r="F979" s="25" t="s">
        <v>338</v>
      </c>
      <c r="G979" s="26">
        <v>113504.96000000001</v>
      </c>
      <c r="H979" s="26">
        <v>116621.27</v>
      </c>
    </row>
    <row r="980" spans="1:8">
      <c r="A980" s="24">
        <v>255108</v>
      </c>
      <c r="B980" s="25" t="s">
        <v>309</v>
      </c>
      <c r="C980" s="39" t="str">
        <f t="shared" si="30"/>
        <v>210</v>
      </c>
      <c r="D980" s="39" t="str">
        <f t="shared" si="31"/>
        <v>21011</v>
      </c>
      <c r="E980" s="39">
        <f>IF(ISNA(VLOOKUP(F980,'2021功能科目'!A:B,2,FALSE)),"",VLOOKUP(F980,'2021功能科目'!A:B,2,FALSE))</f>
        <v>2101102</v>
      </c>
      <c r="F980" s="25" t="s">
        <v>340</v>
      </c>
      <c r="G980" s="26">
        <v>227782.67</v>
      </c>
      <c r="H980" s="26">
        <v>189509.56</v>
      </c>
    </row>
    <row r="981" spans="1:8">
      <c r="A981" s="24">
        <v>255108</v>
      </c>
      <c r="B981" s="25" t="s">
        <v>309</v>
      </c>
      <c r="C981" s="39" t="str">
        <f t="shared" si="30"/>
        <v>221</v>
      </c>
      <c r="D981" s="39" t="str">
        <f t="shared" si="31"/>
        <v>22102</v>
      </c>
      <c r="E981" s="39">
        <f>IF(ISNA(VLOOKUP(F981,'2021功能科目'!A:B,2,FALSE)),"",VLOOKUP(F981,'2021功能科目'!A:B,2,FALSE))</f>
        <v>2210201</v>
      </c>
      <c r="F981" s="25" t="s">
        <v>342</v>
      </c>
      <c r="G981" s="26">
        <v>220664</v>
      </c>
      <c r="H981" s="26">
        <v>194371.91</v>
      </c>
    </row>
    <row r="982" spans="1:8">
      <c r="A982" s="24">
        <v>255108</v>
      </c>
      <c r="B982" s="25" t="s">
        <v>309</v>
      </c>
      <c r="C982" s="39" t="str">
        <f t="shared" si="30"/>
        <v>221</v>
      </c>
      <c r="D982" s="39" t="str">
        <f t="shared" si="31"/>
        <v>22102</v>
      </c>
      <c r="E982" s="39">
        <f>IF(ISNA(VLOOKUP(F982,'2021功能科目'!A:B,2,FALSE)),"",VLOOKUP(F982,'2021功能科目'!A:B,2,FALSE))</f>
        <v>2210203</v>
      </c>
      <c r="F982" s="25" t="s">
        <v>344</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332</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333</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349</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336</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337</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338</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340</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342</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343</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344</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332</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333</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336</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337</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338</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340</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342</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343</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344</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329</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333</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349</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336</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337</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338</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340</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342</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343</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344</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330</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332</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333</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335</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336</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337</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338</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340</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342</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343</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344</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332</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333</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336</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337</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338</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340</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342</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343</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344</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330</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345</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331</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332</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333</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335</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336</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337</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338</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340</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341</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342</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343</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344</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345</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331</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332</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333</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334</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335</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466</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336</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337</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338</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339</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340</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341</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342</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343</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344</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331</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332</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333</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335</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466</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336</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337</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338</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340</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341</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342</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343</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344</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331</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333</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335</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336</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337</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338</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340</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341</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342</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343</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344</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345</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331</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332</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333</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335</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336</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337</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338</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340</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341</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342</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343</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344</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332</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346</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333</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336</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337</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338</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340</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341</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342</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343</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344</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331</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333</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336</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337</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338</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340</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341</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342</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343</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344</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345</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331</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332</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333</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335</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336</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337</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338</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340</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341</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342</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343</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344</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345</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331</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332</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333</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335</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336</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337</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338</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339</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340</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341</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342</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343</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344</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345</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331</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332</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333</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335</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336</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337</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338</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340</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341</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342</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343</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344</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330</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332</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333</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334</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335</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336</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337</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338</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340</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341</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342</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343</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344</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330</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332</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333</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335</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336</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337</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338</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340</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341</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342</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343</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344</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330</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332</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333</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334</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335</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336</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337</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338</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340</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342</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343</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344</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330</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332</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333</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335</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336</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337</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338</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340</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341</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342</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343</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344</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330</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332</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333</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334</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335</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336</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337</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338</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340</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341</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342</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343</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344</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330</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332</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333</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335</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336</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337</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338</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340</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342</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343</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344</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330</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332</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333</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335</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336</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337</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338</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340</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342</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343</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344</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330</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332</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333</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335</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336</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337</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338</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340</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342</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343</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344</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330</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332</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333</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334</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336</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337</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338</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340</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341</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342</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343</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344</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330</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332</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333</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334</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335</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336</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337</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338</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339</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340</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341</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342</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343</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344</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330</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332</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333</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335</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336</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337</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338</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340</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341</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342</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343</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344</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330</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332</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333</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335</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336</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337</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338</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340</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342</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343</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344</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330</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332</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333</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334</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336</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337</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338</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340</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341</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342</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343</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344</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330</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332</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333</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334</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336</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337</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338</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340</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342</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343</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344</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330</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332</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333</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335</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336</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337</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338</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340</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341</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342</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343</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344</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330</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332</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333</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334</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335</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336</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337</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338</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340</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342</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343</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344</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330</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332</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333</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335</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336</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337</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338</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340</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341</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342</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343</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344</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330</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332</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333</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334</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336</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337</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338</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340</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342</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343</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344</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330</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332</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333</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335</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336</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337</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338</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340</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342</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343</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344</v>
      </c>
      <c r="G1384" s="26">
        <v>1027932</v>
      </c>
      <c r="H1384" s="26">
        <v>1027932</v>
      </c>
    </row>
    <row r="1385" spans="1:8">
      <c r="A1385" s="24">
        <v>255154</v>
      </c>
      <c r="B1385" s="25" t="s">
        <v>460</v>
      </c>
      <c r="C1385" s="39" t="str">
        <f t="shared" si="42"/>
        <v>205</v>
      </c>
      <c r="D1385" s="39" t="str">
        <f t="shared" si="43"/>
        <v>20502</v>
      </c>
      <c r="E1385" s="39">
        <f>IF(ISNA(VLOOKUP(F1385,'2021功能科目'!A:B,2,FALSE)),"",VLOOKUP(F1385,'2021功能科目'!A:B,2,FALSE))</f>
        <v>2050202</v>
      </c>
      <c r="F1385" s="25" t="s">
        <v>330</v>
      </c>
      <c r="G1385" s="26">
        <v>20179239.84</v>
      </c>
      <c r="H1385" s="26">
        <v>17536632.91</v>
      </c>
    </row>
    <row r="1386" spans="1:8">
      <c r="A1386" s="24">
        <v>255154</v>
      </c>
      <c r="B1386" s="25" t="s">
        <v>460</v>
      </c>
      <c r="C1386" s="39" t="str">
        <f t="shared" si="42"/>
        <v>205</v>
      </c>
      <c r="D1386" s="39" t="str">
        <f t="shared" si="43"/>
        <v>20502</v>
      </c>
      <c r="E1386" s="39">
        <f>IF(ISNA(VLOOKUP(F1386,'2021功能科目'!A:B,2,FALSE)),"",VLOOKUP(F1386,'2021功能科目'!A:B,2,FALSE))</f>
        <v>2050299</v>
      </c>
      <c r="F1386" s="25" t="s">
        <v>332</v>
      </c>
      <c r="G1386" s="26">
        <v>825091.53</v>
      </c>
      <c r="H1386" s="26">
        <v>797250</v>
      </c>
    </row>
    <row r="1387" spans="1:8">
      <c r="A1387" s="24">
        <v>255154</v>
      </c>
      <c r="B1387" s="25" t="s">
        <v>460</v>
      </c>
      <c r="C1387" s="39" t="str">
        <f t="shared" si="42"/>
        <v>205</v>
      </c>
      <c r="D1387" s="39" t="str">
        <f t="shared" si="43"/>
        <v>20508</v>
      </c>
      <c r="E1387" s="39">
        <f>IF(ISNA(VLOOKUP(F1387,'2021功能科目'!A:B,2,FALSE)),"",VLOOKUP(F1387,'2021功能科目'!A:B,2,FALSE))</f>
        <v>2050803</v>
      </c>
      <c r="F1387" s="25" t="s">
        <v>333</v>
      </c>
      <c r="G1387" s="26">
        <v>42840</v>
      </c>
      <c r="H1387" s="26">
        <v>42840</v>
      </c>
    </row>
    <row r="1388" spans="1:8">
      <c r="A1388" s="24">
        <v>255154</v>
      </c>
      <c r="B1388" s="25" t="s">
        <v>460</v>
      </c>
      <c r="C1388" s="39" t="str">
        <f t="shared" si="42"/>
        <v>205</v>
      </c>
      <c r="D1388" s="39" t="str">
        <f t="shared" si="43"/>
        <v>20509</v>
      </c>
      <c r="E1388" s="39">
        <f>IF(ISNA(VLOOKUP(F1388,'2021功能科目'!A:B,2,FALSE)),"",VLOOKUP(F1388,'2021功能科目'!A:B,2,FALSE))</f>
        <v>2050904</v>
      </c>
      <c r="F1388" s="25" t="s">
        <v>335</v>
      </c>
      <c r="G1388" s="26">
        <v>7282</v>
      </c>
      <c r="H1388" s="26">
        <v>7282</v>
      </c>
    </row>
    <row r="1389" spans="1:8">
      <c r="A1389" s="24">
        <v>255154</v>
      </c>
      <c r="B1389" s="25" t="s">
        <v>460</v>
      </c>
      <c r="C1389" s="39" t="str">
        <f t="shared" si="42"/>
        <v>208</v>
      </c>
      <c r="D1389" s="39" t="str">
        <f t="shared" si="43"/>
        <v>20805</v>
      </c>
      <c r="E1389" s="39">
        <f>IF(ISNA(VLOOKUP(F1389,'2021功能科目'!A:B,2,FALSE)),"",VLOOKUP(F1389,'2021功能科目'!A:B,2,FALSE))</f>
        <v>2080502</v>
      </c>
      <c r="F1389" s="25" t="s">
        <v>336</v>
      </c>
      <c r="G1389" s="26">
        <v>408722.56</v>
      </c>
      <c r="H1389" s="26">
        <v>408726</v>
      </c>
    </row>
    <row r="1390" spans="1:8">
      <c r="A1390" s="24">
        <v>255154</v>
      </c>
      <c r="B1390" s="25" t="s">
        <v>460</v>
      </c>
      <c r="C1390" s="39" t="str">
        <f t="shared" si="42"/>
        <v>208</v>
      </c>
      <c r="D1390" s="39" t="str">
        <f t="shared" si="43"/>
        <v>20805</v>
      </c>
      <c r="E1390" s="39">
        <f>IF(ISNA(VLOOKUP(F1390,'2021功能科目'!A:B,2,FALSE)),"",VLOOKUP(F1390,'2021功能科目'!A:B,2,FALSE))</f>
        <v>2080505</v>
      </c>
      <c r="F1390" s="25" t="s">
        <v>337</v>
      </c>
      <c r="G1390" s="26">
        <v>1909234.88</v>
      </c>
      <c r="H1390" s="26">
        <v>2017116.26</v>
      </c>
    </row>
    <row r="1391" spans="1:8">
      <c r="A1391" s="24">
        <v>255154</v>
      </c>
      <c r="B1391" s="25" t="s">
        <v>460</v>
      </c>
      <c r="C1391" s="39" t="str">
        <f t="shared" si="42"/>
        <v>208</v>
      </c>
      <c r="D1391" s="39" t="str">
        <f t="shared" si="43"/>
        <v>20805</v>
      </c>
      <c r="E1391" s="39">
        <f>IF(ISNA(VLOOKUP(F1391,'2021功能科目'!A:B,2,FALSE)),"",VLOOKUP(F1391,'2021功能科目'!A:B,2,FALSE))</f>
        <v>2080506</v>
      </c>
      <c r="F1391" s="25" t="s">
        <v>338</v>
      </c>
      <c r="G1391" s="26">
        <v>954617.44</v>
      </c>
      <c r="H1391" s="26">
        <v>1008558.13</v>
      </c>
    </row>
    <row r="1392" spans="1:8">
      <c r="A1392" s="24">
        <v>255154</v>
      </c>
      <c r="B1392" s="25" t="s">
        <v>460</v>
      </c>
      <c r="C1392" s="39" t="str">
        <f t="shared" si="42"/>
        <v>210</v>
      </c>
      <c r="D1392" s="39" t="str">
        <f t="shared" si="43"/>
        <v>21011</v>
      </c>
      <c r="E1392" s="39">
        <f>IF(ISNA(VLOOKUP(F1392,'2021功能科目'!A:B,2,FALSE)),"",VLOOKUP(F1392,'2021功能科目'!A:B,2,FALSE))</f>
        <v>2101102</v>
      </c>
      <c r="F1392" s="25" t="s">
        <v>340</v>
      </c>
      <c r="G1392" s="26">
        <v>1645115.15</v>
      </c>
      <c r="H1392" s="26">
        <v>1638906.96</v>
      </c>
    </row>
    <row r="1393" spans="1:8">
      <c r="A1393" s="24">
        <v>255154</v>
      </c>
      <c r="B1393" s="25" t="s">
        <v>460</v>
      </c>
      <c r="C1393" s="39" t="str">
        <f t="shared" si="42"/>
        <v>221</v>
      </c>
      <c r="D1393" s="39" t="str">
        <f t="shared" si="43"/>
        <v>22102</v>
      </c>
      <c r="E1393" s="39">
        <f>IF(ISNA(VLOOKUP(F1393,'2021功能科目'!A:B,2,FALSE)),"",VLOOKUP(F1393,'2021功能科目'!A:B,2,FALSE))</f>
        <v>2210201</v>
      </c>
      <c r="F1393" s="25" t="s">
        <v>342</v>
      </c>
      <c r="G1393" s="26">
        <v>1703381</v>
      </c>
      <c r="H1393" s="26">
        <v>1648917.2</v>
      </c>
    </row>
    <row r="1394" spans="1:8">
      <c r="A1394" s="24">
        <v>255154</v>
      </c>
      <c r="B1394" s="25" t="s">
        <v>460</v>
      </c>
      <c r="C1394" s="39" t="str">
        <f t="shared" si="42"/>
        <v>221</v>
      </c>
      <c r="D1394" s="39" t="str">
        <f t="shared" si="43"/>
        <v>22102</v>
      </c>
      <c r="E1394" s="39">
        <f>IF(ISNA(VLOOKUP(F1394,'2021功能科目'!A:B,2,FALSE)),"",VLOOKUP(F1394,'2021功能科目'!A:B,2,FALSE))</f>
        <v>2210202</v>
      </c>
      <c r="F1394" s="25" t="s">
        <v>343</v>
      </c>
      <c r="G1394" s="26">
        <v>36120</v>
      </c>
      <c r="H1394" s="26">
        <v>36240</v>
      </c>
    </row>
    <row r="1395" spans="1:8">
      <c r="A1395" s="24">
        <v>255154</v>
      </c>
      <c r="B1395" s="25" t="s">
        <v>460</v>
      </c>
      <c r="C1395" s="39" t="str">
        <f t="shared" si="42"/>
        <v>221</v>
      </c>
      <c r="D1395" s="39" t="str">
        <f t="shared" si="43"/>
        <v>22102</v>
      </c>
      <c r="E1395" s="39">
        <f>IF(ISNA(VLOOKUP(F1395,'2021功能科目'!A:B,2,FALSE)),"",VLOOKUP(F1395,'2021功能科目'!A:B,2,FALSE))</f>
        <v>2210203</v>
      </c>
      <c r="F1395" s="25" t="s">
        <v>344</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330</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332</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333</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335</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336</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337</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338</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340</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342</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343</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344</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330</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332</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333</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334</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335</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336</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337</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338</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340</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342</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343</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344</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329</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333</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349</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336</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337</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338</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340</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342</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343</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344</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329</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333</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349</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336</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337</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338</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340</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341</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342</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343</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344</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329</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333</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336</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337</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338</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340</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342</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343</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344</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329</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333</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466</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336</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337</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338</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340</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342</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343</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344</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329</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349</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336</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337</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338</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340</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342</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343</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344</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329</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333</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349</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336</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337</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338</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340</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342</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343</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344</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329</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333</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349</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336</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337</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338</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340</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342</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343</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344</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329</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333</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349</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336</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337</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338</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340</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342</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343</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344</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329</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333</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349</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336</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337</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338</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340</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342</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343</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344</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329</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333</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336</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337</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338</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340</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341</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342</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343</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344</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329</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333</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336</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337</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338</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340</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342</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343</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344</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329</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333</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349</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336</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337</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338</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340</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342</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343</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344</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329</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333</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349</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336</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337</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338</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340</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342</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343</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344</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356</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333</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349</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336</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337</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338</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340</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341</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342</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343</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344</v>
      </c>
      <c r="G1557" s="26">
        <v>1342028</v>
      </c>
      <c r="H1557" s="26">
        <v>1328208</v>
      </c>
    </row>
    <row r="1558" spans="1:8">
      <c r="A1558" s="24">
        <v>255172</v>
      </c>
      <c r="B1558" s="25" t="s">
        <v>310</v>
      </c>
      <c r="C1558" s="39" t="str">
        <f t="shared" si="48"/>
        <v>205</v>
      </c>
      <c r="D1558" s="39" t="str">
        <f t="shared" si="49"/>
        <v>20504</v>
      </c>
      <c r="E1558" s="39">
        <f>IF(ISNA(VLOOKUP(F1558,'2021功能科目'!A:B,2,FALSE)),"",VLOOKUP(F1558,'2021功能科目'!A:B,2,FALSE))</f>
        <v>2050404</v>
      </c>
      <c r="F1558" s="25" t="s">
        <v>357</v>
      </c>
      <c r="G1558" s="26">
        <v>6645811.0700000003</v>
      </c>
      <c r="H1558" s="26">
        <v>6446171.9800000004</v>
      </c>
    </row>
    <row r="1559" spans="1:8">
      <c r="A1559" s="24">
        <v>255172</v>
      </c>
      <c r="B1559" s="25" t="s">
        <v>310</v>
      </c>
      <c r="C1559" s="39" t="str">
        <f t="shared" si="48"/>
        <v>205</v>
      </c>
      <c r="D1559" s="39" t="str">
        <f t="shared" si="49"/>
        <v>20508</v>
      </c>
      <c r="E1559" s="39">
        <f>IF(ISNA(VLOOKUP(F1559,'2021功能科目'!A:B,2,FALSE)),"",VLOOKUP(F1559,'2021功能科目'!A:B,2,FALSE))</f>
        <v>2050803</v>
      </c>
      <c r="F1559" s="25" t="s">
        <v>333</v>
      </c>
      <c r="G1559" s="26">
        <v>5119</v>
      </c>
      <c r="H1559" s="26">
        <v>17000</v>
      </c>
    </row>
    <row r="1560" spans="1:8">
      <c r="A1560" s="24">
        <v>255172</v>
      </c>
      <c r="B1560" s="25" t="s">
        <v>310</v>
      </c>
      <c r="C1560" s="39" t="str">
        <f t="shared" si="48"/>
        <v>208</v>
      </c>
      <c r="D1560" s="39" t="str">
        <f t="shared" si="49"/>
        <v>20805</v>
      </c>
      <c r="E1560" s="39">
        <f>IF(ISNA(VLOOKUP(F1560,'2021功能科目'!A:B,2,FALSE)),"",VLOOKUP(F1560,'2021功能科目'!A:B,2,FALSE))</f>
        <v>2080502</v>
      </c>
      <c r="F1560" s="25" t="s">
        <v>336</v>
      </c>
      <c r="G1560" s="26">
        <v>230917</v>
      </c>
      <c r="H1560" s="26">
        <v>224842</v>
      </c>
    </row>
    <row r="1561" spans="1:8">
      <c r="A1561" s="24">
        <v>255172</v>
      </c>
      <c r="B1561" s="25" t="s">
        <v>310</v>
      </c>
      <c r="C1561" s="39" t="str">
        <f t="shared" si="48"/>
        <v>208</v>
      </c>
      <c r="D1561" s="39" t="str">
        <f t="shared" si="49"/>
        <v>20805</v>
      </c>
      <c r="E1561" s="39">
        <f>IF(ISNA(VLOOKUP(F1561,'2021功能科目'!A:B,2,FALSE)),"",VLOOKUP(F1561,'2021功能科目'!A:B,2,FALSE))</f>
        <v>2080505</v>
      </c>
      <c r="F1561" s="25" t="s">
        <v>337</v>
      </c>
      <c r="G1561" s="26">
        <v>710000</v>
      </c>
      <c r="H1561" s="26">
        <v>728315.2</v>
      </c>
    </row>
    <row r="1562" spans="1:8">
      <c r="A1562" s="24">
        <v>255172</v>
      </c>
      <c r="B1562" s="25" t="s">
        <v>310</v>
      </c>
      <c r="C1562" s="39" t="str">
        <f t="shared" si="48"/>
        <v>208</v>
      </c>
      <c r="D1562" s="39" t="str">
        <f t="shared" si="49"/>
        <v>20805</v>
      </c>
      <c r="E1562" s="39">
        <f>IF(ISNA(VLOOKUP(F1562,'2021功能科目'!A:B,2,FALSE)),"",VLOOKUP(F1562,'2021功能科目'!A:B,2,FALSE))</f>
        <v>2080506</v>
      </c>
      <c r="F1562" s="25" t="s">
        <v>338</v>
      </c>
      <c r="G1562" s="26">
        <v>340000</v>
      </c>
      <c r="H1562" s="26">
        <v>364157.6</v>
      </c>
    </row>
    <row r="1563" spans="1:8">
      <c r="A1563" s="24">
        <v>255172</v>
      </c>
      <c r="B1563" s="25" t="s">
        <v>310</v>
      </c>
      <c r="C1563" s="39" t="str">
        <f t="shared" si="48"/>
        <v>210</v>
      </c>
      <c r="D1563" s="39" t="str">
        <f t="shared" si="49"/>
        <v>21011</v>
      </c>
      <c r="E1563" s="39">
        <f>IF(ISNA(VLOOKUP(F1563,'2021功能科目'!A:B,2,FALSE)),"",VLOOKUP(F1563,'2021功能科目'!A:B,2,FALSE))</f>
        <v>2101102</v>
      </c>
      <c r="F1563" s="25" t="s">
        <v>340</v>
      </c>
      <c r="G1563" s="26">
        <v>550000</v>
      </c>
      <c r="H1563" s="26">
        <v>591756.1</v>
      </c>
    </row>
    <row r="1564" spans="1:8">
      <c r="A1564" s="24">
        <v>255172</v>
      </c>
      <c r="B1564" s="25" t="s">
        <v>310</v>
      </c>
      <c r="C1564" s="39" t="str">
        <f t="shared" si="48"/>
        <v>221</v>
      </c>
      <c r="D1564" s="39" t="str">
        <f t="shared" si="49"/>
        <v>22102</v>
      </c>
      <c r="E1564" s="39">
        <f>IF(ISNA(VLOOKUP(F1564,'2021功能科目'!A:B,2,FALSE)),"",VLOOKUP(F1564,'2021功能科目'!A:B,2,FALSE))</f>
        <v>2210201</v>
      </c>
      <c r="F1564" s="25" t="s">
        <v>342</v>
      </c>
      <c r="G1564" s="26">
        <v>608112.4</v>
      </c>
      <c r="H1564" s="26">
        <v>600236.4</v>
      </c>
    </row>
    <row r="1565" spans="1:8">
      <c r="A1565" s="24">
        <v>255172</v>
      </c>
      <c r="B1565" s="25" t="s">
        <v>310</v>
      </c>
      <c r="C1565" s="39" t="str">
        <f t="shared" si="48"/>
        <v>221</v>
      </c>
      <c r="D1565" s="39" t="str">
        <f t="shared" si="49"/>
        <v>22102</v>
      </c>
      <c r="E1565" s="39">
        <f>IF(ISNA(VLOOKUP(F1565,'2021功能科目'!A:B,2,FALSE)),"",VLOOKUP(F1565,'2021功能科目'!A:B,2,FALSE))</f>
        <v>2210202</v>
      </c>
      <c r="F1565" s="25" t="s">
        <v>343</v>
      </c>
      <c r="G1565" s="26">
        <v>20370</v>
      </c>
      <c r="H1565" s="26">
        <v>19920</v>
      </c>
    </row>
    <row r="1566" spans="1:8">
      <c r="A1566" s="24">
        <v>255172</v>
      </c>
      <c r="B1566" s="25" t="s">
        <v>310</v>
      </c>
      <c r="C1566" s="39" t="str">
        <f t="shared" si="48"/>
        <v>221</v>
      </c>
      <c r="D1566" s="39" t="str">
        <f t="shared" si="49"/>
        <v>22102</v>
      </c>
      <c r="E1566" s="39">
        <f>IF(ISNA(VLOOKUP(F1566,'2021功能科目'!A:B,2,FALSE)),"",VLOOKUP(F1566,'2021功能科目'!A:B,2,FALSE))</f>
        <v>2210203</v>
      </c>
      <c r="F1566" s="25" t="s">
        <v>344</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354</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333</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349</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336</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337</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338</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340</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341</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342</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343</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344</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332</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333</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336</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337</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338</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340</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341</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342</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343</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344</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332</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333</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349</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466</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353</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336</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337</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338</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340</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342</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343</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344</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332</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333</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349</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336</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337</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338</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340</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342</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343</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344</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332</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333</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349</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336</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337</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338</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340</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342</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343</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344</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329</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330</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345</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331</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332</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351</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333</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349</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336</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337</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338</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340</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341</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358</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342</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343</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344</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346</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333</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348</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336</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337</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338</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340</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341</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342</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343</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344</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331</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332</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333</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335</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336</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337</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338</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340</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341</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342</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343</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344</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331</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332</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333</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335</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336</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337</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338</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340</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342</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343</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344</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332</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333</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349</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336</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337</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338</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340</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342</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343</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344</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329</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333</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336</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337</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338</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340</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342</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343</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344</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329</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333</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349</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337</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338</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340</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342</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344</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330</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332</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333</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334</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349</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337</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338</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340</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342</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344</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329</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333</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336</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337</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338</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340</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342</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343</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344</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329</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333</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349</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337</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338</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340</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342</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344</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329</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333</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349</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337</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338</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340</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342</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344</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329</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333</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349</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337</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338</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340</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342</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344</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329</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333</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349</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337</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338</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340</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342</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344</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332</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333</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337</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338</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340</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342</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344</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332</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333</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349</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337</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338</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340</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342</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344</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332</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333</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349</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337</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338</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340</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342</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344</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330</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332</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333</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349</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337</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338</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340</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342</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344</v>
      </c>
      <c r="G1780" s="26">
        <v>106262</v>
      </c>
      <c r="H1780" s="26">
        <v>92328</v>
      </c>
    </row>
    <row r="1781" spans="1:8">
      <c r="A1781" s="24">
        <v>255204</v>
      </c>
      <c r="B1781" s="25" t="s">
        <v>461</v>
      </c>
      <c r="C1781" s="39" t="str">
        <f t="shared" si="54"/>
        <v>205</v>
      </c>
      <c r="D1781" s="39" t="str">
        <f t="shared" si="55"/>
        <v>20502</v>
      </c>
      <c r="E1781" s="39">
        <f>IF(ISNA(VLOOKUP(F1781,'2021功能科目'!A:B,2,FALSE)),"",VLOOKUP(F1781,'2021功能科目'!A:B,2,FALSE))</f>
        <v>2050203</v>
      </c>
      <c r="F1781" s="25" t="s">
        <v>345</v>
      </c>
      <c r="G1781" s="26">
        <v>18918585.870000001</v>
      </c>
      <c r="H1781" s="26">
        <v>0</v>
      </c>
    </row>
    <row r="1782" spans="1:8">
      <c r="A1782" s="24">
        <v>255204</v>
      </c>
      <c r="B1782" s="25" t="s">
        <v>461</v>
      </c>
      <c r="C1782" s="39" t="str">
        <f t="shared" si="54"/>
        <v>205</v>
      </c>
      <c r="D1782" s="39" t="str">
        <f t="shared" si="55"/>
        <v>20508</v>
      </c>
      <c r="E1782" s="39">
        <f>IF(ISNA(VLOOKUP(F1782,'2021功能科目'!A:B,2,FALSE)),"",VLOOKUP(F1782,'2021功能科目'!A:B,2,FALSE))</f>
        <v>2050803</v>
      </c>
      <c r="F1782" s="25" t="s">
        <v>333</v>
      </c>
      <c r="G1782" s="26">
        <v>6667</v>
      </c>
      <c r="H1782" s="26">
        <v>0</v>
      </c>
    </row>
    <row r="1783" spans="1:8">
      <c r="A1783" s="24">
        <v>255204</v>
      </c>
      <c r="B1783" s="25" t="s">
        <v>461</v>
      </c>
      <c r="C1783" s="39" t="str">
        <f t="shared" si="54"/>
        <v>208</v>
      </c>
      <c r="D1783" s="39" t="str">
        <f t="shared" si="55"/>
        <v>20805</v>
      </c>
      <c r="E1783" s="39">
        <f>IF(ISNA(VLOOKUP(F1783,'2021功能科目'!A:B,2,FALSE)),"",VLOOKUP(F1783,'2021功能科目'!A:B,2,FALSE))</f>
        <v>2080505</v>
      </c>
      <c r="F1783" s="25" t="s">
        <v>337</v>
      </c>
      <c r="G1783" s="26">
        <v>206471.84</v>
      </c>
      <c r="H1783" s="26">
        <v>0</v>
      </c>
    </row>
    <row r="1784" spans="1:8">
      <c r="A1784" s="24">
        <v>255204</v>
      </c>
      <c r="B1784" s="25" t="s">
        <v>461</v>
      </c>
      <c r="C1784" s="39" t="str">
        <f t="shared" si="54"/>
        <v>208</v>
      </c>
      <c r="D1784" s="39" t="str">
        <f t="shared" si="55"/>
        <v>20805</v>
      </c>
      <c r="E1784" s="39">
        <f>IF(ISNA(VLOOKUP(F1784,'2021功能科目'!A:B,2,FALSE)),"",VLOOKUP(F1784,'2021功能科目'!A:B,2,FALSE))</f>
        <v>2080506</v>
      </c>
      <c r="F1784" s="25" t="s">
        <v>338</v>
      </c>
      <c r="G1784" s="26">
        <v>103235.92</v>
      </c>
      <c r="H1784" s="26">
        <v>0</v>
      </c>
    </row>
    <row r="1785" spans="1:8">
      <c r="A1785" s="24">
        <v>255204</v>
      </c>
      <c r="B1785" s="25" t="s">
        <v>461</v>
      </c>
      <c r="C1785" s="39" t="str">
        <f t="shared" si="54"/>
        <v>210</v>
      </c>
      <c r="D1785" s="39" t="str">
        <f t="shared" si="55"/>
        <v>21011</v>
      </c>
      <c r="E1785" s="39">
        <f>IF(ISNA(VLOOKUP(F1785,'2021功能科目'!A:B,2,FALSE)),"",VLOOKUP(F1785,'2021功能科目'!A:B,2,FALSE))</f>
        <v>2101102</v>
      </c>
      <c r="F1785" s="25" t="s">
        <v>340</v>
      </c>
      <c r="G1785" s="26">
        <v>180051.17</v>
      </c>
      <c r="H1785" s="26">
        <v>0</v>
      </c>
    </row>
    <row r="1786" spans="1:8">
      <c r="A1786" s="24">
        <v>255204</v>
      </c>
      <c r="B1786" s="25" t="s">
        <v>461</v>
      </c>
      <c r="C1786" s="39" t="str">
        <f t="shared" si="54"/>
        <v>221</v>
      </c>
      <c r="D1786" s="39" t="str">
        <f t="shared" si="55"/>
        <v>22102</v>
      </c>
      <c r="E1786" s="39">
        <f>IF(ISNA(VLOOKUP(F1786,'2021功能科目'!A:B,2,FALSE)),"",VLOOKUP(F1786,'2021功能科目'!A:B,2,FALSE))</f>
        <v>2210201</v>
      </c>
      <c r="F1786" s="25" t="s">
        <v>342</v>
      </c>
      <c r="G1786" s="26">
        <v>210697</v>
      </c>
      <c r="H1786" s="26">
        <v>0</v>
      </c>
    </row>
    <row r="1787" spans="1:8">
      <c r="A1787" s="24">
        <v>255205</v>
      </c>
      <c r="B1787" s="25" t="s">
        <v>462</v>
      </c>
      <c r="C1787" s="39" t="str">
        <f t="shared" si="54"/>
        <v>205</v>
      </c>
      <c r="D1787" s="39" t="str">
        <f t="shared" si="55"/>
        <v>20502</v>
      </c>
      <c r="E1787" s="39">
        <f>IF(ISNA(VLOOKUP(F1787,'2021功能科目'!A:B,2,FALSE)),"",VLOOKUP(F1787,'2021功能科目'!A:B,2,FALSE))</f>
        <v>2050202</v>
      </c>
      <c r="F1787" s="25" t="s">
        <v>330</v>
      </c>
      <c r="G1787" s="26">
        <v>2769500.69</v>
      </c>
      <c r="H1787" s="26">
        <v>0</v>
      </c>
    </row>
    <row r="1788" spans="1:8">
      <c r="A1788" s="24">
        <v>255205</v>
      </c>
      <c r="B1788" s="25" t="s">
        <v>462</v>
      </c>
      <c r="C1788" s="39" t="str">
        <f t="shared" si="54"/>
        <v>205</v>
      </c>
      <c r="D1788" s="39" t="str">
        <f t="shared" si="55"/>
        <v>20508</v>
      </c>
      <c r="E1788" s="39">
        <f>IF(ISNA(VLOOKUP(F1788,'2021功能科目'!A:B,2,FALSE)),"",VLOOKUP(F1788,'2021功能科目'!A:B,2,FALSE))</f>
        <v>2050803</v>
      </c>
      <c r="F1788" s="25" t="s">
        <v>333</v>
      </c>
      <c r="G1788" s="26">
        <v>5300</v>
      </c>
      <c r="H1788" s="26">
        <v>0</v>
      </c>
    </row>
    <row r="1789" spans="1:8">
      <c r="A1789" s="24">
        <v>255205</v>
      </c>
      <c r="B1789" s="25" t="s">
        <v>462</v>
      </c>
      <c r="C1789" s="39" t="str">
        <f t="shared" si="54"/>
        <v>208</v>
      </c>
      <c r="D1789" s="39" t="str">
        <f t="shared" si="55"/>
        <v>20805</v>
      </c>
      <c r="E1789" s="39">
        <f>IF(ISNA(VLOOKUP(F1789,'2021功能科目'!A:B,2,FALSE)),"",VLOOKUP(F1789,'2021功能科目'!A:B,2,FALSE))</f>
        <v>2080505</v>
      </c>
      <c r="F1789" s="25" t="s">
        <v>337</v>
      </c>
      <c r="G1789" s="26">
        <v>258556.79999999999</v>
      </c>
      <c r="H1789" s="26">
        <v>0</v>
      </c>
    </row>
    <row r="1790" spans="1:8">
      <c r="A1790" s="24">
        <v>255205</v>
      </c>
      <c r="B1790" s="25" t="s">
        <v>462</v>
      </c>
      <c r="C1790" s="39" t="str">
        <f t="shared" si="54"/>
        <v>208</v>
      </c>
      <c r="D1790" s="39" t="str">
        <f t="shared" si="55"/>
        <v>20805</v>
      </c>
      <c r="E1790" s="39">
        <f>IF(ISNA(VLOOKUP(F1790,'2021功能科目'!A:B,2,FALSE)),"",VLOOKUP(F1790,'2021功能科目'!A:B,2,FALSE))</f>
        <v>2080506</v>
      </c>
      <c r="F1790" s="25" t="s">
        <v>338</v>
      </c>
      <c r="G1790" s="26">
        <v>103422.72</v>
      </c>
      <c r="H1790" s="26">
        <v>0</v>
      </c>
    </row>
    <row r="1791" spans="1:8">
      <c r="A1791" s="24">
        <v>255205</v>
      </c>
      <c r="B1791" s="25" t="s">
        <v>462</v>
      </c>
      <c r="C1791" s="39" t="str">
        <f t="shared" si="54"/>
        <v>210</v>
      </c>
      <c r="D1791" s="39" t="str">
        <f t="shared" si="55"/>
        <v>21011</v>
      </c>
      <c r="E1791" s="39">
        <f>IF(ISNA(VLOOKUP(F1791,'2021功能科目'!A:B,2,FALSE)),"",VLOOKUP(F1791,'2021功能科目'!A:B,2,FALSE))</f>
        <v>2101102</v>
      </c>
      <c r="F1791" s="25" t="s">
        <v>340</v>
      </c>
      <c r="G1791" s="26">
        <v>168061.92</v>
      </c>
      <c r="H1791" s="26">
        <v>0</v>
      </c>
    </row>
    <row r="1792" spans="1:8">
      <c r="A1792" s="24">
        <v>255205</v>
      </c>
      <c r="B1792" s="25" t="s">
        <v>462</v>
      </c>
      <c r="C1792" s="39" t="str">
        <f t="shared" si="54"/>
        <v>221</v>
      </c>
      <c r="D1792" s="39" t="str">
        <f t="shared" si="55"/>
        <v>22102</v>
      </c>
      <c r="E1792" s="39">
        <f>IF(ISNA(VLOOKUP(F1792,'2021功能科目'!A:B,2,FALSE)),"",VLOOKUP(F1792,'2021功能科目'!A:B,2,FALSE))</f>
        <v>2210201</v>
      </c>
      <c r="F1792" s="25" t="s">
        <v>342</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329</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330</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345</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331</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332</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346</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356</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357</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350</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352</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351</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354</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333</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334</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335</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348</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349</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466</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353</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336</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337</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338</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339</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340</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341</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358</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342</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343</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344</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375" style="53" bestFit="1" customWidth="1"/>
    <col min="2" max="16384" width="8.625" style="53"/>
  </cols>
  <sheetData>
    <row r="1" spans="1:6">
      <c r="A1" s="52" t="s">
        <v>398</v>
      </c>
      <c r="B1" s="52" t="s">
        <v>399</v>
      </c>
    </row>
    <row r="2" spans="1:6">
      <c r="A2" s="74" t="s">
        <v>400</v>
      </c>
      <c r="B2" s="74">
        <v>2050101</v>
      </c>
      <c r="C2" s="74"/>
      <c r="D2" s="74"/>
      <c r="E2" s="74"/>
      <c r="F2" s="74">
        <v>205</v>
      </c>
    </row>
    <row r="3" spans="1:6">
      <c r="A3" s="74" t="s">
        <v>401</v>
      </c>
      <c r="B3" s="74">
        <v>2050102</v>
      </c>
      <c r="C3" s="74"/>
      <c r="D3" s="74"/>
      <c r="E3" s="74"/>
      <c r="F3" s="74">
        <v>206</v>
      </c>
    </row>
    <row r="4" spans="1:6">
      <c r="A4" s="74" t="s">
        <v>329</v>
      </c>
      <c r="B4" s="74">
        <v>2050201</v>
      </c>
      <c r="C4" s="74"/>
      <c r="D4" s="74"/>
      <c r="E4" s="74"/>
      <c r="F4" s="74">
        <v>208</v>
      </c>
    </row>
    <row r="5" spans="1:6">
      <c r="A5" s="74" t="s">
        <v>330</v>
      </c>
      <c r="B5" s="74">
        <v>2050202</v>
      </c>
      <c r="C5" s="74"/>
      <c r="D5" s="74"/>
      <c r="E5" s="74"/>
      <c r="F5" s="74">
        <v>210</v>
      </c>
    </row>
    <row r="6" spans="1:6">
      <c r="A6" s="74" t="s">
        <v>345</v>
      </c>
      <c r="B6" s="74">
        <v>2050203</v>
      </c>
      <c r="C6" s="74"/>
      <c r="D6" s="74"/>
      <c r="E6" s="74"/>
      <c r="F6" s="74">
        <v>212</v>
      </c>
    </row>
    <row r="7" spans="1:6">
      <c r="A7" s="74" t="s">
        <v>331</v>
      </c>
      <c r="B7" s="74">
        <v>2050204</v>
      </c>
      <c r="C7" s="74"/>
      <c r="D7" s="74"/>
      <c r="E7" s="74"/>
      <c r="F7" s="74">
        <v>221</v>
      </c>
    </row>
    <row r="8" spans="1:6">
      <c r="A8" s="74" t="s">
        <v>332</v>
      </c>
      <c r="B8" s="74">
        <v>2050299</v>
      </c>
      <c r="C8" s="74"/>
      <c r="D8" s="74"/>
      <c r="E8" s="74"/>
      <c r="F8" s="74">
        <v>229</v>
      </c>
    </row>
    <row r="9" spans="1:6">
      <c r="A9" s="74" t="s">
        <v>346</v>
      </c>
      <c r="B9" s="74">
        <v>2050302</v>
      </c>
      <c r="C9" s="74"/>
      <c r="D9" s="74"/>
      <c r="E9" s="74"/>
      <c r="F9" s="74">
        <v>234</v>
      </c>
    </row>
    <row r="10" spans="1:6">
      <c r="A10" s="74" t="s">
        <v>402</v>
      </c>
      <c r="B10" s="74">
        <v>2050304</v>
      </c>
      <c r="C10" s="74"/>
      <c r="D10" s="74"/>
      <c r="E10" s="74"/>
      <c r="F10" s="74">
        <v>213</v>
      </c>
    </row>
    <row r="11" spans="1:6">
      <c r="A11" s="74" t="s">
        <v>347</v>
      </c>
      <c r="B11" s="74">
        <v>2050399</v>
      </c>
      <c r="C11" s="74"/>
      <c r="D11" s="74"/>
      <c r="E11" s="74"/>
      <c r="F11" s="74"/>
    </row>
    <row r="12" spans="1:6">
      <c r="A12" s="74" t="s">
        <v>356</v>
      </c>
      <c r="B12" s="74">
        <v>2050403</v>
      </c>
      <c r="C12" s="74"/>
      <c r="D12" s="74"/>
      <c r="E12" s="74"/>
      <c r="F12" s="74"/>
    </row>
    <row r="13" spans="1:6">
      <c r="A13" s="74" t="s">
        <v>357</v>
      </c>
      <c r="B13" s="74">
        <v>2050404</v>
      </c>
      <c r="C13" s="74"/>
      <c r="D13" s="74"/>
      <c r="E13" s="74"/>
      <c r="F13" s="74"/>
    </row>
    <row r="14" spans="1:6">
      <c r="A14" s="74" t="s">
        <v>350</v>
      </c>
      <c r="B14" s="74">
        <v>2050701</v>
      </c>
      <c r="C14" s="74"/>
      <c r="D14" s="74"/>
      <c r="E14" s="74"/>
      <c r="F14" s="74"/>
    </row>
    <row r="15" spans="1:6">
      <c r="A15" s="74" t="s">
        <v>352</v>
      </c>
      <c r="B15" s="74">
        <v>2050702</v>
      </c>
      <c r="C15" s="74"/>
      <c r="D15" s="74"/>
      <c r="E15" s="74"/>
      <c r="F15" s="74"/>
    </row>
    <row r="16" spans="1:6">
      <c r="A16" s="74" t="s">
        <v>351</v>
      </c>
      <c r="B16" s="74">
        <v>2050799</v>
      </c>
      <c r="C16" s="74"/>
      <c r="D16" s="74"/>
      <c r="E16" s="74"/>
      <c r="F16" s="74"/>
    </row>
    <row r="17" spans="1:6">
      <c r="A17" s="74" t="s">
        <v>354</v>
      </c>
      <c r="B17" s="74">
        <v>2050801</v>
      </c>
      <c r="C17" s="74"/>
      <c r="D17" s="74"/>
      <c r="E17" s="74"/>
      <c r="F17" s="74"/>
    </row>
    <row r="18" spans="1:6">
      <c r="A18" s="74" t="s">
        <v>333</v>
      </c>
      <c r="B18" s="74">
        <v>2050803</v>
      </c>
      <c r="C18" s="74"/>
      <c r="D18" s="74"/>
      <c r="E18" s="74"/>
      <c r="F18" s="74"/>
    </row>
    <row r="19" spans="1:6">
      <c r="A19" s="74" t="s">
        <v>334</v>
      </c>
      <c r="B19" s="74">
        <v>2050903</v>
      </c>
      <c r="C19" s="74"/>
      <c r="D19" s="74"/>
      <c r="E19" s="74"/>
      <c r="F19" s="74"/>
    </row>
    <row r="20" spans="1:6">
      <c r="A20" s="74" t="s">
        <v>335</v>
      </c>
      <c r="B20" s="74">
        <v>2050904</v>
      </c>
      <c r="C20" s="74"/>
      <c r="D20" s="74"/>
      <c r="E20" s="74"/>
      <c r="F20" s="74"/>
    </row>
    <row r="21" spans="1:6">
      <c r="A21" s="74" t="s">
        <v>348</v>
      </c>
      <c r="B21" s="74">
        <v>2050905</v>
      </c>
      <c r="C21" s="74"/>
      <c r="D21" s="74"/>
      <c r="E21" s="74"/>
      <c r="F21" s="74"/>
    </row>
    <row r="22" spans="1:6">
      <c r="A22" s="74" t="s">
        <v>349</v>
      </c>
      <c r="B22" s="74">
        <v>2050999</v>
      </c>
      <c r="C22" s="74"/>
      <c r="D22" s="74"/>
      <c r="E22" s="74"/>
      <c r="F22" s="74"/>
    </row>
    <row r="23" spans="1:6">
      <c r="A23" s="74" t="s">
        <v>466</v>
      </c>
      <c r="B23" s="74">
        <v>2060499</v>
      </c>
      <c r="C23" s="74" t="s">
        <v>467</v>
      </c>
      <c r="D23" s="74"/>
      <c r="E23" s="74"/>
      <c r="F23" s="74"/>
    </row>
    <row r="24" spans="1:6">
      <c r="A24" s="74" t="s">
        <v>353</v>
      </c>
      <c r="B24" s="74">
        <v>2060702</v>
      </c>
      <c r="C24" s="74"/>
      <c r="D24" s="74"/>
      <c r="E24" s="74"/>
      <c r="F24" s="74"/>
    </row>
    <row r="25" spans="1:6">
      <c r="A25" s="74" t="s">
        <v>403</v>
      </c>
      <c r="B25" s="74">
        <v>2080501</v>
      </c>
      <c r="C25" s="74"/>
      <c r="D25" s="74"/>
      <c r="E25" s="74"/>
      <c r="F25" s="74"/>
    </row>
    <row r="26" spans="1:6">
      <c r="A26" s="74" t="s">
        <v>336</v>
      </c>
      <c r="B26" s="74">
        <v>2080502</v>
      </c>
      <c r="C26" s="74"/>
      <c r="D26" s="74"/>
      <c r="E26" s="74"/>
      <c r="F26" s="74"/>
    </row>
    <row r="27" spans="1:6">
      <c r="A27" s="74" t="s">
        <v>337</v>
      </c>
      <c r="B27" s="74">
        <v>2080505</v>
      </c>
      <c r="C27" s="74"/>
      <c r="D27" s="74"/>
      <c r="E27" s="74"/>
      <c r="F27" s="74"/>
    </row>
    <row r="28" spans="1:6">
      <c r="A28" s="74" t="s">
        <v>338</v>
      </c>
      <c r="B28" s="74">
        <v>2080506</v>
      </c>
      <c r="C28" s="74"/>
      <c r="D28" s="74"/>
      <c r="E28" s="74"/>
      <c r="F28" s="74"/>
    </row>
    <row r="29" spans="1:6">
      <c r="A29" s="74" t="s">
        <v>339</v>
      </c>
      <c r="B29" s="74">
        <v>2080801</v>
      </c>
      <c r="C29" s="74"/>
      <c r="D29" s="74"/>
      <c r="E29" s="74"/>
      <c r="F29" s="74"/>
    </row>
    <row r="30" spans="1:6">
      <c r="A30" s="74" t="s">
        <v>404</v>
      </c>
      <c r="B30" s="74">
        <v>2101101</v>
      </c>
      <c r="C30" s="74"/>
      <c r="D30" s="74"/>
      <c r="E30" s="74"/>
      <c r="F30" s="74"/>
    </row>
    <row r="31" spans="1:6">
      <c r="A31" s="74" t="s">
        <v>340</v>
      </c>
      <c r="B31" s="74">
        <v>2101102</v>
      </c>
      <c r="C31" s="74"/>
      <c r="D31" s="74"/>
      <c r="E31" s="74"/>
      <c r="F31" s="74"/>
    </row>
    <row r="32" spans="1:6">
      <c r="A32" s="74" t="s">
        <v>341</v>
      </c>
      <c r="B32" s="74">
        <v>2101199</v>
      </c>
      <c r="C32" s="74"/>
      <c r="D32" s="74"/>
      <c r="E32" s="74"/>
      <c r="F32" s="74"/>
    </row>
    <row r="33" spans="1:6">
      <c r="A33" s="74" t="s">
        <v>358</v>
      </c>
      <c r="B33" s="74">
        <v>2120399</v>
      </c>
      <c r="C33" s="74"/>
      <c r="D33" s="74"/>
      <c r="E33" s="74"/>
      <c r="F33" s="74"/>
    </row>
    <row r="34" spans="1:6">
      <c r="A34" s="74" t="s">
        <v>468</v>
      </c>
      <c r="B34" s="74">
        <v>2120801</v>
      </c>
      <c r="C34" s="74" t="s">
        <v>467</v>
      </c>
      <c r="D34" s="74" t="s">
        <v>469</v>
      </c>
      <c r="E34" s="74"/>
      <c r="F34" s="74"/>
    </row>
    <row r="35" spans="1:6">
      <c r="A35" s="74" t="s">
        <v>355</v>
      </c>
      <c r="B35" s="74">
        <v>2130506</v>
      </c>
      <c r="C35" s="74">
        <v>2020</v>
      </c>
      <c r="D35" s="74"/>
      <c r="E35" s="74"/>
      <c r="F35" s="74"/>
    </row>
    <row r="36" spans="1:6">
      <c r="A36" s="74" t="s">
        <v>342</v>
      </c>
      <c r="B36" s="74">
        <v>2210201</v>
      </c>
      <c r="C36" s="74"/>
      <c r="D36" s="74"/>
      <c r="E36" s="74"/>
      <c r="F36" s="74"/>
    </row>
    <row r="37" spans="1:6">
      <c r="A37" s="74" t="s">
        <v>343</v>
      </c>
      <c r="B37" s="74">
        <v>2210202</v>
      </c>
      <c r="C37" s="74"/>
      <c r="D37" s="74"/>
      <c r="E37" s="74"/>
      <c r="F37" s="74"/>
    </row>
    <row r="38" spans="1:6">
      <c r="A38" s="74" t="s">
        <v>344</v>
      </c>
      <c r="B38" s="74">
        <v>2210203</v>
      </c>
      <c r="C38" s="74"/>
      <c r="D38" s="74"/>
      <c r="E38" s="74"/>
      <c r="F38" s="74"/>
    </row>
    <row r="39" spans="1:6">
      <c r="A39" s="74" t="s">
        <v>405</v>
      </c>
      <c r="B39" s="74">
        <v>2296003</v>
      </c>
      <c r="C39" s="74"/>
      <c r="D39" s="74"/>
      <c r="E39" s="74"/>
      <c r="F39" s="74"/>
    </row>
    <row r="40" spans="1:6">
      <c r="A40" s="74" t="s">
        <v>406</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zoomScale="90" zoomScaleNormal="90" workbookViewId="0">
      <selection activeCell="L4" sqref="L4"/>
    </sheetView>
  </sheetViews>
  <sheetFormatPr defaultRowHeight="18"/>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412</v>
      </c>
    </row>
    <row r="16" spans="1:14" ht="30" customHeight="1">
      <c r="C16" s="4" t="s">
        <v>413</v>
      </c>
    </row>
    <row r="17" spans="3:3" ht="30" customHeight="1">
      <c r="C17" s="4" t="s">
        <v>414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0:N11"/>
  <sheetViews>
    <sheetView zoomScale="90" zoomScaleNormal="90" workbookViewId="0">
      <selection activeCell="A10" sqref="A10:N10"/>
    </sheetView>
  </sheetViews>
  <sheetFormatPr defaultRowHeight="14.25"/>
  <sheetData>
    <row r="10" spans="1:14" ht="54.6" customHeight="1">
      <c r="A10" s="81" t="s">
        <v>415</v>
      </c>
      <c r="B10" s="81"/>
      <c r="C10" s="81"/>
      <c r="D10" s="81"/>
      <c r="E10" s="81"/>
      <c r="F10" s="81"/>
      <c r="G10" s="81"/>
      <c r="H10" s="81"/>
      <c r="I10" s="81"/>
      <c r="J10" s="81"/>
      <c r="K10" s="81"/>
      <c r="L10" s="81"/>
      <c r="M10" s="81"/>
      <c r="N10" s="81"/>
    </row>
    <row r="11" spans="1:14" ht="78" customHeight="1">
      <c r="A11" s="82" t="s">
        <v>475</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98"/>
  <sheetViews>
    <sheetView zoomScaleNormal="100" workbookViewId="0">
      <selection activeCell="A82" sqref="A82:XFD82"/>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1" t="s">
        <v>412</v>
      </c>
      <c r="B1" s="81"/>
      <c r="C1" s="81"/>
      <c r="D1" s="81"/>
      <c r="E1" s="81"/>
      <c r="F1" s="81"/>
      <c r="G1" s="81"/>
      <c r="H1" s="81"/>
      <c r="I1" s="81"/>
      <c r="J1" s="81"/>
      <c r="K1" s="81"/>
      <c r="L1" s="81"/>
      <c r="M1" s="81"/>
      <c r="N1" s="59"/>
    </row>
    <row r="2" spans="1:14" ht="18" customHeight="1">
      <c r="A2" s="6" t="s">
        <v>174</v>
      </c>
    </row>
    <row r="3" spans="1:14" ht="18" customHeight="1">
      <c r="A3" s="7" t="s">
        <v>175</v>
      </c>
    </row>
    <row r="4" spans="1:14" ht="82.5" customHeight="1">
      <c r="A4" s="84" t="s">
        <v>478</v>
      </c>
      <c r="B4" s="84"/>
      <c r="C4" s="84"/>
      <c r="D4" s="84"/>
      <c r="E4" s="84"/>
      <c r="F4" s="84"/>
      <c r="G4" s="84"/>
      <c r="H4" s="84"/>
      <c r="I4" s="84"/>
      <c r="J4" s="84"/>
      <c r="K4" s="84"/>
      <c r="L4" s="84"/>
      <c r="M4" s="84"/>
      <c r="N4" s="19"/>
    </row>
    <row r="5" spans="1:14" ht="18" customHeight="1">
      <c r="A5" s="7" t="s">
        <v>176</v>
      </c>
    </row>
    <row r="6" spans="1:14" ht="18" customHeight="1">
      <c r="A6" s="88" t="s">
        <v>245</v>
      </c>
      <c r="B6" s="88"/>
      <c r="C6" s="10">
        <v>48</v>
      </c>
      <c r="D6" s="10" t="s">
        <v>247</v>
      </c>
      <c r="E6" s="8">
        <f>_xlfn.IFNA(VLOOKUP(封面!B1,'2021决算导出'!A:C,3,FALSE),"")</f>
        <v>33</v>
      </c>
      <c r="F6" s="10" t="s">
        <v>248</v>
      </c>
      <c r="G6" s="10"/>
      <c r="H6" s="10"/>
      <c r="I6" s="10"/>
      <c r="J6" s="10"/>
      <c r="K6" s="10"/>
      <c r="L6" s="10"/>
      <c r="M6" s="10"/>
      <c r="N6" s="10"/>
    </row>
    <row r="7" spans="1:14" ht="18" customHeight="1">
      <c r="A7" s="6" t="s">
        <v>177</v>
      </c>
    </row>
    <row r="8" spans="1:14" ht="18" customHeight="1">
      <c r="A8" s="88" t="s">
        <v>416</v>
      </c>
      <c r="B8" s="88"/>
      <c r="C8" s="88"/>
      <c r="D8" s="14">
        <f>_xlfn.IFNA(VLOOKUP(封面!B1,'2021决算导出'!A:D,4,FALSE),"")</f>
        <v>17068812.789999999</v>
      </c>
      <c r="E8" s="7" t="s">
        <v>179</v>
      </c>
      <c r="F8" s="20" t="s">
        <v>249</v>
      </c>
      <c r="G8" s="30" t="str">
        <f>IF(ISNA(VLOOKUP(封面!B1,'2020决算导出'!A:D,4,FALSE)),"",IF(D8-VLOOKUP(封面!B1,'2020决算导出'!A:D,4,FALSE)&gt;0,"增加","减少"))</f>
        <v>减少</v>
      </c>
      <c r="H8" s="33">
        <f>IF(ISNA(VLOOKUP(封面!B1,'2020决算导出'!A:D,4,FALSE)),"",IF(D8-VLOOKUP(封面!B1,'2020决算导出'!A:D,4,FALSE)&gt;0,D8-VLOOKUP(封面!B1,'2020决算导出'!A:D,4,FALSE),VLOOKUP(封面!B1,'2020决算导出'!A:D,4,FALSE)-D8))</f>
        <v>1544413.9800000004</v>
      </c>
      <c r="I8" s="16" t="s">
        <v>179</v>
      </c>
      <c r="J8" s="30" t="str">
        <f>IF(ISNA(VLOOKUP(封面!B1,'2020决算导出'!A:D,4,FALSE)),"",IF(D8-VLOOKUP(封面!B1,'2020决算导出'!A:D,4,FALSE)&gt;0,"增长","下降"))</f>
        <v>下降</v>
      </c>
      <c r="K8" s="31">
        <f>IF(ISNA(VLOOKUP(封面!B1,'2020决算导出'!A:D,4,FALSE)),"",H8/VLOOKUP(封面!B1,'2020决算导出'!A:D,4,FALSE))</f>
        <v>8.2974005479223012E-2</v>
      </c>
      <c r="L8" s="7" t="s">
        <v>313</v>
      </c>
    </row>
    <row r="9" spans="1:14" ht="18" customHeight="1">
      <c r="A9" s="7" t="s">
        <v>180</v>
      </c>
      <c r="G9" s="32"/>
      <c r="H9" s="32"/>
      <c r="I9" s="32"/>
      <c r="J9" s="32"/>
      <c r="K9" s="32"/>
    </row>
    <row r="10" spans="1:14" ht="18" customHeight="1">
      <c r="A10" s="88" t="s">
        <v>417</v>
      </c>
      <c r="B10" s="88"/>
      <c r="C10" s="88"/>
      <c r="D10" s="14">
        <f>_xlfn.IFNA(VLOOKUP(封面!B1,'2021决算导出'!A:E,5,FALSE),"")</f>
        <v>17068812.789999999</v>
      </c>
      <c r="E10" s="7" t="s">
        <v>179</v>
      </c>
      <c r="F10" s="20" t="s">
        <v>249</v>
      </c>
      <c r="G10" s="30" t="str">
        <f>IF(ISNA(VLOOKUP(封面!B1,'2020决算导出'!A:E,5,FALSE)),"",IF(D10-VLOOKUP(封面!B1,'2020决算导出'!A:E,5,FALSE)&gt;0,"增加","减少"))</f>
        <v>减少</v>
      </c>
      <c r="H10" s="33">
        <f>IF(ISNA(VLOOKUP(封面!B1,'2020决算导出'!A:E,5,FALSE)),"",IF(D10-VLOOKUP(封面!B1,'2020决算导出'!A:E,5,FALSE)&gt;0,D10-VLOOKUP(封面!B1,'2020决算导出'!A:E,5,FALSE),VLOOKUP(封面!B1,'2020决算导出'!A:E,5,FALSE)-D10))</f>
        <v>1541863.9800000004</v>
      </c>
      <c r="I10" s="16" t="s">
        <v>179</v>
      </c>
      <c r="J10" s="30" t="str">
        <f>IF(ISNA(VLOOKUP(封面!B1,'2020决算导出'!A:E,5,FALSE)),"",IF(D10-VLOOKUP(封面!B1,'2020决算导出'!A:E,5,FALSE)&gt;0,"增长","下降"))</f>
        <v>下降</v>
      </c>
      <c r="K10" s="31">
        <f>IF(ISNA(VLOOKUP(封面!B1,'2020决算导出'!A:E,5,FALSE)),"",H10/VLOOKUP(封面!B1,'2020决算导出'!A:E,5,FALSE))</f>
        <v>8.2848356298651712E-2</v>
      </c>
      <c r="L10" s="7" t="s">
        <v>314</v>
      </c>
    </row>
    <row r="11" spans="1:14" ht="18" customHeight="1">
      <c r="A11" s="88" t="s">
        <v>181</v>
      </c>
      <c r="B11" s="88"/>
      <c r="C11" s="88"/>
      <c r="D11" s="14">
        <f>_xlfn.IFNA(VLOOKUP(封面!B1,'2021决算导出'!A:F,6,FALSE),"")</f>
        <v>17068812.789999999</v>
      </c>
      <c r="E11" s="7" t="s">
        <v>179</v>
      </c>
      <c r="F11" s="88" t="s">
        <v>182</v>
      </c>
      <c r="G11" s="88"/>
      <c r="H11" s="29">
        <f>D11/$D$10</f>
        <v>1</v>
      </c>
      <c r="I11" s="7" t="s">
        <v>315</v>
      </c>
    </row>
    <row r="12" spans="1:14" ht="18" customHeight="1">
      <c r="A12" s="88" t="s">
        <v>184</v>
      </c>
      <c r="B12" s="88"/>
      <c r="C12" s="88"/>
      <c r="D12" s="14">
        <f>_xlfn.IFNA(VLOOKUP(封面!B1,'2021决算导出'!A:G,7,FALSE),"")</f>
        <v>0</v>
      </c>
      <c r="E12" s="7" t="s">
        <v>179</v>
      </c>
      <c r="F12" s="88" t="s">
        <v>182</v>
      </c>
      <c r="G12" s="88"/>
      <c r="H12" s="29">
        <f t="shared" ref="H12:H15" si="0">D12/$D$10</f>
        <v>0</v>
      </c>
      <c r="I12" s="7" t="s">
        <v>315</v>
      </c>
    </row>
    <row r="13" spans="1:14" ht="18" customHeight="1">
      <c r="A13" s="88" t="s">
        <v>185</v>
      </c>
      <c r="B13" s="88"/>
      <c r="C13" s="88"/>
      <c r="D13" s="14">
        <f>_xlfn.IFNA(VLOOKUP(封面!B1,'2021决算导出'!A:H,8,FALSE),"")</f>
        <v>0</v>
      </c>
      <c r="E13" s="7" t="s">
        <v>179</v>
      </c>
      <c r="F13" s="88" t="s">
        <v>182</v>
      </c>
      <c r="G13" s="88"/>
      <c r="H13" s="29">
        <f t="shared" si="0"/>
        <v>0</v>
      </c>
      <c r="I13" s="7" t="s">
        <v>315</v>
      </c>
    </row>
    <row r="14" spans="1:14" ht="18" customHeight="1">
      <c r="A14" s="88" t="s">
        <v>186</v>
      </c>
      <c r="B14" s="88"/>
      <c r="C14" s="88"/>
      <c r="D14" s="14">
        <f>_xlfn.IFNA(VLOOKUP(封面!B1,'2021决算导出'!A:I,9,FALSE),"")</f>
        <v>0</v>
      </c>
      <c r="E14" s="7" t="s">
        <v>179</v>
      </c>
      <c r="F14" s="88" t="s">
        <v>182</v>
      </c>
      <c r="G14" s="88"/>
      <c r="H14" s="29">
        <f t="shared" si="0"/>
        <v>0</v>
      </c>
      <c r="I14" s="7" t="s">
        <v>315</v>
      </c>
    </row>
    <row r="15" spans="1:14" ht="18" customHeight="1">
      <c r="A15" s="88" t="s">
        <v>187</v>
      </c>
      <c r="B15" s="88"/>
      <c r="C15" s="88"/>
      <c r="D15" s="14">
        <f>_xlfn.IFNA(VLOOKUP(封面!B1,'2021决算导出'!A:J,10,FALSE),"")</f>
        <v>0</v>
      </c>
      <c r="E15" s="7" t="s">
        <v>179</v>
      </c>
      <c r="F15" s="88" t="s">
        <v>182</v>
      </c>
      <c r="G15" s="88"/>
      <c r="H15" s="29">
        <f t="shared" si="0"/>
        <v>0</v>
      </c>
      <c r="I15" s="7" t="s">
        <v>316</v>
      </c>
    </row>
    <row r="16" spans="1:14" ht="18" customHeight="1">
      <c r="A16" s="7" t="s">
        <v>188</v>
      </c>
    </row>
    <row r="17" spans="1:13" ht="18" customHeight="1">
      <c r="A17" s="88" t="s">
        <v>418</v>
      </c>
      <c r="B17" s="88"/>
      <c r="C17" s="88"/>
      <c r="D17" s="14">
        <f>_xlfn.IFNA(VLOOKUP(封面!B1,'2021决算导出'!A:K,11,FALSE),"")</f>
        <v>17065212.789999999</v>
      </c>
      <c r="E17" s="7" t="s">
        <v>179</v>
      </c>
      <c r="F17" s="20" t="s">
        <v>249</v>
      </c>
      <c r="G17" s="30" t="str">
        <f>IF(ISNA(VLOOKUP(封面!B1,'2020决算导出'!A:K,11,FALSE)),"",IF(D17-VLOOKUP(封面!B1,'2020决算导出'!A:K,11,FALSE)&gt;0,"增加","减少"))</f>
        <v>减少</v>
      </c>
      <c r="H17" s="33">
        <f>IF(ISNA(VLOOKUP(封面!B1,'2020决算导出'!A:K,11,FALSE)),"",IF(D17-VLOOKUP(封面!B1,'2020决算导出'!A:K,11,FALSE)&gt;0,D17-VLOOKUP(封面!B1,'2020决算导出'!A:K,11,FALSE),VLOOKUP(封面!B1,'2020决算导出'!A:K,11,FALSE)-D17))</f>
        <v>1548013.9800000004</v>
      </c>
      <c r="I17" s="7" t="s">
        <v>179</v>
      </c>
      <c r="J17" s="30" t="str">
        <f>IF(ISNA(VLOOKUP(封面!B1,'2020决算导出'!A:K,11,FALSE)),"",IF(D17-VLOOKUP(封面!B1,'2020决算导出'!A:K,11,FALSE)&gt;0,"增长","下降"))</f>
        <v>下降</v>
      </c>
      <c r="K17" s="31">
        <f>IF(ISNA(VLOOKUP(封面!B1,'2020决算导出'!A:K,11,FALSE)),"",H17/VLOOKUP(封面!B1,'2020决算导出'!A:K,11,FALSE))</f>
        <v>8.3167416328641247E-2</v>
      </c>
      <c r="L17" s="7" t="s">
        <v>317</v>
      </c>
    </row>
    <row r="18" spans="1:13" ht="18" customHeight="1">
      <c r="A18" s="88" t="s">
        <v>189</v>
      </c>
      <c r="B18" s="88"/>
      <c r="C18" s="88"/>
      <c r="D18" s="14">
        <f>_xlfn.IFNA(VLOOKUP(封面!B1,'2021决算导出'!A:L,12,FALSE),"")</f>
        <v>15992252.35</v>
      </c>
      <c r="E18" s="7" t="s">
        <v>179</v>
      </c>
      <c r="F18" s="88" t="s">
        <v>190</v>
      </c>
      <c r="G18" s="88"/>
      <c r="H18" s="29">
        <f>D18/$D$17</f>
        <v>0.93712586809179776</v>
      </c>
      <c r="I18" s="7" t="s">
        <v>315</v>
      </c>
    </row>
    <row r="19" spans="1:13" ht="18" customHeight="1">
      <c r="A19" s="88" t="s">
        <v>191</v>
      </c>
      <c r="B19" s="88"/>
      <c r="C19" s="88"/>
      <c r="D19" s="14">
        <f>_xlfn.IFNA(VLOOKUP(封面!B1,'2021决算导出'!A:M,13,FALSE),"")</f>
        <v>1072960.44</v>
      </c>
      <c r="E19" s="7" t="s">
        <v>179</v>
      </c>
      <c r="F19" s="88" t="s">
        <v>190</v>
      </c>
      <c r="G19" s="88"/>
      <c r="H19" s="29">
        <f t="shared" ref="H19:H20" si="1">D19/$D$17</f>
        <v>6.2874131908202235E-2</v>
      </c>
      <c r="I19" s="7" t="s">
        <v>315</v>
      </c>
    </row>
    <row r="20" spans="1:13" ht="18" customHeight="1">
      <c r="A20" s="88" t="s">
        <v>192</v>
      </c>
      <c r="B20" s="88"/>
      <c r="C20" s="88"/>
      <c r="D20" s="14">
        <f>_xlfn.IFNA(VLOOKUP(封面!B1,'2021决算导出'!A:N,14,FALSE),"")</f>
        <v>0</v>
      </c>
      <c r="E20" s="7" t="s">
        <v>179</v>
      </c>
      <c r="F20" s="88" t="s">
        <v>190</v>
      </c>
      <c r="G20" s="88"/>
      <c r="H20" s="29">
        <f t="shared" si="1"/>
        <v>0</v>
      </c>
      <c r="I20" s="7" t="s">
        <v>316</v>
      </c>
    </row>
    <row r="21" spans="1:13" ht="18" customHeight="1">
      <c r="A21" s="6" t="s">
        <v>193</v>
      </c>
    </row>
    <row r="22" spans="1:13" ht="18" customHeight="1">
      <c r="A22" s="88" t="s">
        <v>419</v>
      </c>
      <c r="B22" s="88"/>
      <c r="C22" s="88"/>
      <c r="D22" s="88"/>
      <c r="E22" s="83">
        <f>_xlfn.IFNA(VLOOKUP(封面!B1,'2021决算导出'!A:O,15,FALSE),"")</f>
        <v>17068812.789999999</v>
      </c>
      <c r="F22" s="83"/>
      <c r="G22" s="15" t="s">
        <v>249</v>
      </c>
      <c r="H22" s="30" t="str">
        <f>IF(ISNA(VLOOKUP(封面!B1,'2020决算导出'!A:O,15,FALSE)),"",IF(E22-VLOOKUP(封面!B1,'2020决算导出'!A:O,15,FALSE)&gt;0,"增加","减少"))</f>
        <v>减少</v>
      </c>
      <c r="I22" s="33">
        <f>IF(ISNA(VLOOKUP(封面!B1,'2020决算导出'!A:O,15,FALSE)),"",IF(E22-VLOOKUP(封面!B1,'2020决算导出'!A:O,15,FALSE)&gt;0,E22-VLOOKUP(封面!B1,'2020决算导出'!A:O,15,FALSE),VLOOKUP(封面!B1,'2020决算导出'!A:O,15,FALSE)-E22))</f>
        <v>1544413.9800000004</v>
      </c>
      <c r="J22" s="7" t="s">
        <v>179</v>
      </c>
      <c r="K22" s="30" t="str">
        <f>IF(ISNA(VLOOKUP(封面!B1,'2020决算导出'!A:O,15,FALSE)),"",IF(E22-VLOOKUP(封面!B1,'2020决算导出'!A:O,15,FALSE)&gt;0,"增长","下降"))</f>
        <v>下降</v>
      </c>
      <c r="L22" s="31">
        <f>IF(ISNA(VLOOKUP(封面!B1,'2020决算导出'!A:O,15,FALSE)),"",I22/VLOOKUP(封面!B1,'2020决算导出'!A:O,15,FALSE))</f>
        <v>8.2974005479223012E-2</v>
      </c>
      <c r="M22" s="7" t="s">
        <v>313</v>
      </c>
    </row>
    <row r="23" spans="1:13" ht="63.6" customHeight="1">
      <c r="B23" s="90" t="s">
        <v>479</v>
      </c>
      <c r="C23" s="90"/>
      <c r="D23" s="90"/>
      <c r="E23" s="90"/>
      <c r="F23" s="90"/>
      <c r="G23" s="90"/>
      <c r="H23" s="90"/>
      <c r="I23" s="90"/>
      <c r="J23" s="90"/>
      <c r="K23" s="90"/>
      <c r="L23" s="90"/>
      <c r="M23" s="90"/>
    </row>
    <row r="24" spans="1:13" ht="18" customHeight="1">
      <c r="A24" s="6" t="s">
        <v>194</v>
      </c>
    </row>
    <row r="25" spans="1:13" ht="18" customHeight="1">
      <c r="A25" s="7" t="s">
        <v>195</v>
      </c>
    </row>
    <row r="26" spans="1:13" ht="18" customHeight="1">
      <c r="A26" s="88" t="s">
        <v>420</v>
      </c>
      <c r="B26" s="88"/>
      <c r="C26" s="88"/>
      <c r="D26" s="88"/>
      <c r="E26" s="88"/>
      <c r="F26" s="83">
        <f>_xlfn.IFNA(VLOOKUP(封面!B1,'2021决算导出'!A:P,16,FALSE),"")</f>
        <v>17065212.789999999</v>
      </c>
      <c r="G26" s="83"/>
      <c r="H26" s="7" t="s">
        <v>179</v>
      </c>
      <c r="I26" s="10" t="s">
        <v>196</v>
      </c>
      <c r="J26" s="10"/>
      <c r="K26" s="10"/>
      <c r="L26" s="10"/>
      <c r="M26" s="10"/>
    </row>
    <row r="27" spans="1:13" ht="18" customHeight="1">
      <c r="A27" s="88" t="s">
        <v>199</v>
      </c>
      <c r="B27" s="88"/>
      <c r="C27" s="88"/>
      <c r="D27" s="83">
        <f>_xlfn.IFNA(VLOOKUP(封面!B1,'2021决算导出'!A:Q,17,FALSE),"")</f>
        <v>11770406.35</v>
      </c>
      <c r="E27" s="83"/>
      <c r="F27" s="7" t="s">
        <v>179</v>
      </c>
      <c r="G27" s="86" t="s">
        <v>198</v>
      </c>
      <c r="H27" s="86"/>
      <c r="I27" s="29">
        <f>D27/$F$26</f>
        <v>0.68973100393434938</v>
      </c>
      <c r="J27" s="7" t="s">
        <v>315</v>
      </c>
      <c r="K27" s="9"/>
      <c r="L27" s="9"/>
      <c r="M27" s="9"/>
    </row>
    <row r="28" spans="1:13" ht="18" customHeight="1">
      <c r="A28" s="88" t="s">
        <v>200</v>
      </c>
      <c r="B28" s="88"/>
      <c r="C28" s="88"/>
      <c r="D28" s="83">
        <f>_xlfn.IFNA(VLOOKUP(封面!B1,'2021决算导出'!A:R,18,FALSE),"")</f>
        <v>0</v>
      </c>
      <c r="E28" s="83"/>
      <c r="F28" s="7" t="s">
        <v>179</v>
      </c>
      <c r="G28" s="86" t="s">
        <v>198</v>
      </c>
      <c r="H28" s="86"/>
      <c r="I28" s="29">
        <f t="shared" ref="I28:I32" si="2">D28/$F$26</f>
        <v>0</v>
      </c>
      <c r="J28" s="7" t="s">
        <v>315</v>
      </c>
      <c r="K28" s="9"/>
      <c r="L28" s="9"/>
      <c r="M28" s="9"/>
    </row>
    <row r="29" spans="1:13" ht="18" customHeight="1">
      <c r="A29" s="88" t="s">
        <v>197</v>
      </c>
      <c r="B29" s="88"/>
      <c r="C29" s="88"/>
      <c r="D29" s="83">
        <f>_xlfn.IFNA(VLOOKUP(封面!B1,'2021决算导出'!A:S,19,FALSE),"")</f>
        <v>2602358.88</v>
      </c>
      <c r="E29" s="83"/>
      <c r="F29" s="7" t="s">
        <v>179</v>
      </c>
      <c r="G29" s="86" t="s">
        <v>198</v>
      </c>
      <c r="H29" s="86"/>
      <c r="I29" s="29">
        <f t="shared" si="2"/>
        <v>0.15249495637844901</v>
      </c>
      <c r="J29" s="7" t="s">
        <v>315</v>
      </c>
    </row>
    <row r="30" spans="1:13" ht="18" customHeight="1">
      <c r="A30" s="88" t="s">
        <v>201</v>
      </c>
      <c r="B30" s="88"/>
      <c r="C30" s="88"/>
      <c r="D30" s="83">
        <f>_xlfn.IFNA(VLOOKUP(封面!B1,'2021决算导出'!A:T,20,FALSE),"")</f>
        <v>900420.56</v>
      </c>
      <c r="E30" s="83"/>
      <c r="F30" s="7" t="s">
        <v>179</v>
      </c>
      <c r="G30" s="86" t="s">
        <v>198</v>
      </c>
      <c r="H30" s="86"/>
      <c r="I30" s="29">
        <f t="shared" si="2"/>
        <v>5.2763512010095485E-2</v>
      </c>
      <c r="J30" s="7" t="s">
        <v>315</v>
      </c>
    </row>
    <row r="31" spans="1:13" ht="18" customHeight="1">
      <c r="A31" s="88" t="s">
        <v>202</v>
      </c>
      <c r="B31" s="88"/>
      <c r="C31" s="88"/>
      <c r="D31" s="83">
        <f>_xlfn.IFNA(VLOOKUP(封面!B1,'2021决算导出'!A:U,21,FALSE),"")</f>
        <v>0</v>
      </c>
      <c r="E31" s="83"/>
      <c r="F31" s="7" t="s">
        <v>179</v>
      </c>
      <c r="G31" s="86" t="s">
        <v>198</v>
      </c>
      <c r="H31" s="86"/>
      <c r="I31" s="29">
        <f t="shared" si="2"/>
        <v>0</v>
      </c>
      <c r="J31" s="7" t="s">
        <v>315</v>
      </c>
    </row>
    <row r="32" spans="1:13" ht="18" customHeight="1">
      <c r="A32" s="88" t="s">
        <v>203</v>
      </c>
      <c r="B32" s="88"/>
      <c r="C32" s="88"/>
      <c r="D32" s="83">
        <f>_xlfn.IFNA(VLOOKUP(封面!B1,'2021决算导出'!A:V,22,FALSE),"")</f>
        <v>1792027</v>
      </c>
      <c r="E32" s="83"/>
      <c r="F32" s="7" t="s">
        <v>179</v>
      </c>
      <c r="G32" s="86" t="s">
        <v>198</v>
      </c>
      <c r="H32" s="86"/>
      <c r="I32" s="29">
        <f t="shared" si="2"/>
        <v>0.1050105276771061</v>
      </c>
      <c r="J32" s="7" t="s">
        <v>315</v>
      </c>
    </row>
    <row r="33" spans="1:12" ht="18" customHeight="1">
      <c r="A33" s="7" t="s">
        <v>204</v>
      </c>
    </row>
    <row r="34" spans="1:12" ht="18" customHeight="1">
      <c r="A34" s="85" t="s">
        <v>421</v>
      </c>
      <c r="B34" s="85"/>
      <c r="C34" s="85"/>
      <c r="D34" s="85"/>
      <c r="E34" s="83">
        <f>_xlfn.IFNA(VLOOKUP(封面!B1,一般公共预算财政拨款支出决算具体情况!A:C,3,FALSE),"")</f>
        <v>11770406.35</v>
      </c>
      <c r="F34" s="83"/>
      <c r="G34" s="7" t="s">
        <v>179</v>
      </c>
      <c r="H34" s="86" t="s">
        <v>422</v>
      </c>
      <c r="I34" s="86"/>
      <c r="J34" s="83">
        <f>_xlfn.IFNA(VLOOKUP(封面!B1,一般公共预算财政拨款支出决算具体情况!A:D,4,FALSE),"")</f>
        <v>10543591.029999999</v>
      </c>
      <c r="K34" s="83"/>
      <c r="L34" s="11" t="s">
        <v>178</v>
      </c>
    </row>
    <row r="35" spans="1:12" ht="18" customHeight="1">
      <c r="B35" s="15" t="str">
        <f>IF(E34&gt;J34,"增加","减少")</f>
        <v>增加</v>
      </c>
      <c r="C35" s="83">
        <f>ABS(E34-J34)</f>
        <v>1226815.3200000003</v>
      </c>
      <c r="D35" s="83"/>
      <c r="E35" s="7" t="s">
        <v>179</v>
      </c>
      <c r="F35" s="15" t="str">
        <f>IF(E34&gt;J34,"增长","下降")</f>
        <v>增长</v>
      </c>
      <c r="G35" s="34">
        <f>IF(J34=0,IF(E34&gt;0,1,""),C35/J34)</f>
        <v>0.11635649718481166</v>
      </c>
      <c r="H35" s="7" t="s">
        <v>316</v>
      </c>
      <c r="I35" s="11" t="s">
        <v>205</v>
      </c>
    </row>
    <row r="36" spans="1:12" ht="18" customHeight="1">
      <c r="A36" s="88" t="s">
        <v>423</v>
      </c>
      <c r="B36" s="88"/>
      <c r="C36" s="88"/>
      <c r="D36" s="88"/>
      <c r="E36" s="83">
        <f>_xlfn.IFNA(VLOOKUP(封面!B1,一般公共预算财政拨款支出决算具体情况!A:E,5,FALSE),"")</f>
        <v>30571</v>
      </c>
      <c r="F36" s="83"/>
      <c r="G36" s="7" t="s">
        <v>179</v>
      </c>
      <c r="H36" s="86" t="s">
        <v>422</v>
      </c>
      <c r="I36" s="86"/>
      <c r="J36" s="83">
        <f>_xlfn.IFNA(VLOOKUP(封面!B1,一般公共预算财政拨款支出决算具体情况!A:F,6,FALSE),"")</f>
        <v>30300</v>
      </c>
      <c r="K36" s="83"/>
      <c r="L36" s="11" t="s">
        <v>178</v>
      </c>
    </row>
    <row r="37" spans="1:12" ht="18" customHeight="1">
      <c r="A37" s="15"/>
      <c r="B37" s="15" t="str">
        <f>IF(E36&gt;J36,"增加","减少")</f>
        <v>增加</v>
      </c>
      <c r="C37" s="83">
        <f>ABS(E36-J36)</f>
        <v>271</v>
      </c>
      <c r="D37" s="83"/>
      <c r="E37" s="7" t="s">
        <v>179</v>
      </c>
      <c r="F37" s="15" t="str">
        <f>IF(E36&gt;J36,"增长","下降")</f>
        <v>增长</v>
      </c>
      <c r="G37" s="34">
        <f>IF(J36=0,IF(E36&gt;0,1,""),C37/J36)</f>
        <v>8.9438943894389437E-3</v>
      </c>
      <c r="H37" s="7" t="s">
        <v>316</v>
      </c>
    </row>
    <row r="38" spans="1:12" ht="36" customHeight="1">
      <c r="B38" s="84" t="s">
        <v>480</v>
      </c>
      <c r="C38" s="84"/>
      <c r="D38" s="84"/>
      <c r="E38" s="84"/>
      <c r="F38" s="84"/>
      <c r="G38" s="84"/>
      <c r="H38" s="84"/>
      <c r="I38" s="84"/>
      <c r="J38" s="84"/>
      <c r="K38" s="84"/>
      <c r="L38" s="84"/>
    </row>
    <row r="39" spans="1:12" ht="18" customHeight="1">
      <c r="A39" s="88" t="s">
        <v>424</v>
      </c>
      <c r="B39" s="88"/>
      <c r="C39" s="88"/>
      <c r="D39" s="88"/>
      <c r="E39" s="83">
        <f>_xlfn.IFNA(VLOOKUP(封面!B1,一般公共预算财政拨款支出决算具体情况!A:G,7,FALSE),"")</f>
        <v>0</v>
      </c>
      <c r="F39" s="83"/>
      <c r="G39" s="7" t="s">
        <v>179</v>
      </c>
      <c r="H39" s="86" t="s">
        <v>422</v>
      </c>
      <c r="I39" s="86"/>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316</v>
      </c>
    </row>
    <row r="41" spans="1:12" ht="18" customHeight="1">
      <c r="A41" s="88" t="s">
        <v>425</v>
      </c>
      <c r="B41" s="88"/>
      <c r="C41" s="88"/>
      <c r="D41" s="88"/>
      <c r="E41" s="83">
        <f>_xlfn.IFNA(VLOOKUP(封面!B1,一般公共预算财政拨款支出决算具体情况!A:I,9,FALSE),"")</f>
        <v>0</v>
      </c>
      <c r="F41" s="83"/>
      <c r="G41" s="7" t="s">
        <v>179</v>
      </c>
      <c r="H41" s="86" t="s">
        <v>422</v>
      </c>
      <c r="I41" s="86"/>
      <c r="J41" s="83">
        <f>_xlfn.IFNA(VLOOKUP(封面!B1,一般公共预算财政拨款支出决算具体情况!A:J,10,FALSE),"")</f>
        <v>0</v>
      </c>
      <c r="K41" s="83"/>
      <c r="L41" s="11" t="s">
        <v>178</v>
      </c>
    </row>
    <row r="42" spans="1:12" ht="18" customHeight="1">
      <c r="A42" s="15"/>
      <c r="B42" s="15" t="str">
        <f>IF(E41&gt;J41,"增加","减少")</f>
        <v>减少</v>
      </c>
      <c r="C42" s="83">
        <f>ABS(E41-J41)</f>
        <v>0</v>
      </c>
      <c r="D42" s="83"/>
      <c r="E42" s="7" t="s">
        <v>179</v>
      </c>
      <c r="F42" s="15" t="str">
        <f>IF(E41&gt;J41,"增长","下降")</f>
        <v>下降</v>
      </c>
      <c r="G42" s="34" t="str">
        <f>IF(J41=0,IF(E41&gt;0,1,""),C42/J41)</f>
        <v/>
      </c>
      <c r="H42" s="7" t="s">
        <v>316</v>
      </c>
    </row>
    <row r="43" spans="1:12" ht="18" customHeight="1">
      <c r="A43" s="88" t="s">
        <v>426</v>
      </c>
      <c r="B43" s="88"/>
      <c r="C43" s="88"/>
      <c r="D43" s="88"/>
      <c r="E43" s="83">
        <f>_xlfn.IFNA(VLOOKUP(封面!B1,一般公共预算财政拨款支出决算具体情况!A:K,11,FALSE),"")</f>
        <v>11716035.35</v>
      </c>
      <c r="F43" s="83"/>
      <c r="G43" s="7" t="s">
        <v>179</v>
      </c>
      <c r="H43" s="86" t="s">
        <v>422</v>
      </c>
      <c r="I43" s="86"/>
      <c r="J43" s="83">
        <f>_xlfn.IFNA(VLOOKUP(封面!B1,一般公共预算财政拨款支出决算具体情况!A:L,12,FALSE),"")</f>
        <v>10489491.029999999</v>
      </c>
      <c r="K43" s="83"/>
      <c r="L43" s="11" t="s">
        <v>178</v>
      </c>
    </row>
    <row r="44" spans="1:12" ht="18" customHeight="1">
      <c r="A44" s="15"/>
      <c r="B44" s="15" t="str">
        <f>IF(E43&gt;J43,"增加","减少")</f>
        <v>增加</v>
      </c>
      <c r="C44" s="83">
        <f>ABS(E43-J43)</f>
        <v>1226544.3200000003</v>
      </c>
      <c r="D44" s="83"/>
      <c r="E44" s="7" t="s">
        <v>179</v>
      </c>
      <c r="F44" s="15" t="str">
        <f>IF(E43&gt;J43,"增长","下降")</f>
        <v>增长</v>
      </c>
      <c r="G44" s="34">
        <f>IF(J43=0,IF(E43&gt;0,1,""),C44/J43)</f>
        <v>0.11693077542962543</v>
      </c>
      <c r="H44" s="7" t="s">
        <v>316</v>
      </c>
    </row>
    <row r="45" spans="1:12" ht="36" customHeight="1">
      <c r="B45" s="84" t="s">
        <v>480</v>
      </c>
      <c r="C45" s="84"/>
      <c r="D45" s="84"/>
      <c r="E45" s="84"/>
      <c r="F45" s="84"/>
      <c r="G45" s="84"/>
      <c r="H45" s="84"/>
      <c r="I45" s="84"/>
      <c r="J45" s="84"/>
      <c r="K45" s="84"/>
      <c r="L45" s="84"/>
    </row>
    <row r="46" spans="1:12" ht="18" customHeight="1">
      <c r="A46" s="88" t="s">
        <v>427</v>
      </c>
      <c r="B46" s="88"/>
      <c r="C46" s="88"/>
      <c r="D46" s="88"/>
      <c r="E46" s="83">
        <f>_xlfn.IFNA(VLOOKUP(封面!B1,一般公共预算财政拨款支出决算具体情况!A:M,13,FALSE),"")</f>
        <v>23800</v>
      </c>
      <c r="F46" s="83"/>
      <c r="G46" s="7" t="s">
        <v>179</v>
      </c>
      <c r="H46" s="86" t="s">
        <v>422</v>
      </c>
      <c r="I46" s="86"/>
      <c r="J46" s="83">
        <f>_xlfn.IFNA(VLOOKUP(封面!B1,一般公共预算财政拨款支出决算具体情况!A:N,14,FALSE),"")</f>
        <v>23800</v>
      </c>
      <c r="K46" s="83"/>
      <c r="L46" s="11" t="s">
        <v>178</v>
      </c>
    </row>
    <row r="47" spans="1:12" ht="18" customHeight="1">
      <c r="A47" s="15"/>
      <c r="B47" s="15" t="str">
        <f>IF(E46&gt;J46,"增加","减少")</f>
        <v>减少</v>
      </c>
      <c r="C47" s="83">
        <f>ABS(E46-J46)</f>
        <v>0</v>
      </c>
      <c r="D47" s="83"/>
      <c r="E47" s="7" t="s">
        <v>179</v>
      </c>
      <c r="F47" s="15" t="str">
        <f>IF(E46&gt;J46,"增长","下降")</f>
        <v>下降</v>
      </c>
      <c r="G47" s="34">
        <f>IF(J46=0,IF(E46&gt;0,1,""),C47/J46)</f>
        <v>0</v>
      </c>
      <c r="H47" s="7" t="s">
        <v>316</v>
      </c>
    </row>
    <row r="48" spans="1:12" ht="18" customHeight="1">
      <c r="A48" s="87" t="s">
        <v>428</v>
      </c>
      <c r="B48" s="87"/>
      <c r="C48" s="87"/>
      <c r="D48" s="87"/>
      <c r="E48" s="83">
        <f>_xlfn.IFNA(VLOOKUP(封面!B1,一般公共预算财政拨款支出决算具体情况!A:O,15,FALSE),"")</f>
        <v>0</v>
      </c>
      <c r="F48" s="83"/>
      <c r="G48" s="7" t="s">
        <v>179</v>
      </c>
      <c r="H48" s="86" t="s">
        <v>422</v>
      </c>
      <c r="I48" s="86"/>
      <c r="J48" s="83">
        <f>_xlfn.IFNA(VLOOKUP(封面!B1,一般公共预算财政拨款支出决算具体情况!A:P,16,FALSE),"")</f>
        <v>0</v>
      </c>
      <c r="K48" s="83"/>
      <c r="L48" s="11" t="s">
        <v>178</v>
      </c>
    </row>
    <row r="49" spans="1:12" ht="18" customHeight="1">
      <c r="A49" s="15"/>
      <c r="B49" s="15" t="str">
        <f>IF(E48&gt;J48,"增加","减少")</f>
        <v>减少</v>
      </c>
      <c r="C49" s="83">
        <f>ABS(E48-J48)</f>
        <v>0</v>
      </c>
      <c r="D49" s="83"/>
      <c r="E49" s="7" t="s">
        <v>179</v>
      </c>
      <c r="F49" s="15" t="str">
        <f>IF(E48&gt;J48,"增长","下降")</f>
        <v>下降</v>
      </c>
      <c r="G49" s="34" t="str">
        <f>IF(J48=0,IF(E48&gt;0,1,""),C49/J48)</f>
        <v/>
      </c>
      <c r="H49" s="7" t="s">
        <v>316</v>
      </c>
    </row>
    <row r="50" spans="1:12" ht="18" customHeight="1">
      <c r="A50" s="89" t="s">
        <v>429</v>
      </c>
      <c r="B50" s="89"/>
      <c r="C50" s="89"/>
      <c r="D50" s="89"/>
      <c r="E50" s="83">
        <f>_xlfn.IFNA(VLOOKUP(封面!B1,一般公共预算财政拨款支出决算具体情况!A:Q,17,FALSE),"")</f>
        <v>0</v>
      </c>
      <c r="F50" s="83"/>
      <c r="G50" s="7" t="s">
        <v>179</v>
      </c>
      <c r="H50" s="85" t="s">
        <v>430</v>
      </c>
      <c r="I50" s="85"/>
      <c r="J50" s="85"/>
      <c r="K50" s="85"/>
      <c r="L50" s="11"/>
    </row>
    <row r="51" spans="1:12" ht="18" customHeight="1">
      <c r="A51" s="87" t="s">
        <v>472</v>
      </c>
      <c r="B51" s="87"/>
      <c r="C51" s="87"/>
      <c r="D51" s="87"/>
      <c r="E51" s="83">
        <f>_xlfn.IFNA(VLOOKUP(封面!B1,一般公共预算财政拨款支出决算具体情况!A:S,19,FALSE),"")</f>
        <v>0</v>
      </c>
      <c r="F51" s="83"/>
      <c r="G51" s="7" t="s">
        <v>179</v>
      </c>
      <c r="H51" s="85" t="s">
        <v>432</v>
      </c>
      <c r="I51" s="85"/>
      <c r="J51" s="85"/>
      <c r="K51" s="85"/>
      <c r="L51" s="11"/>
    </row>
    <row r="52" spans="1:12" ht="18" customHeight="1">
      <c r="A52" s="88" t="s">
        <v>431</v>
      </c>
      <c r="B52" s="88"/>
      <c r="C52" s="88"/>
      <c r="D52" s="88"/>
      <c r="E52" s="83">
        <f>_xlfn.IFNA(VLOOKUP(封面!B1,一般公共预算财政拨款支出决算具体情况!A:U,21,FALSE),"")</f>
        <v>0</v>
      </c>
      <c r="F52" s="83"/>
      <c r="G52" s="7" t="s">
        <v>179</v>
      </c>
      <c r="H52" s="85" t="s">
        <v>432</v>
      </c>
      <c r="I52" s="85"/>
      <c r="J52" s="85"/>
      <c r="K52" s="85"/>
      <c r="L52" s="11"/>
    </row>
    <row r="53" spans="1:12" ht="18" customHeight="1">
      <c r="A53" s="89" t="s">
        <v>433</v>
      </c>
      <c r="B53" s="89"/>
      <c r="C53" s="89"/>
      <c r="D53" s="89"/>
      <c r="E53" s="83">
        <f>_xlfn.IFNA(VLOOKUP(封面!B1,一般公共预算财政拨款支出决算具体情况!A:W,23,FALSE),"")</f>
        <v>2602358.88</v>
      </c>
      <c r="F53" s="83"/>
      <c r="G53" s="7" t="s">
        <v>179</v>
      </c>
      <c r="H53" s="86" t="s">
        <v>422</v>
      </c>
      <c r="I53" s="86"/>
      <c r="J53" s="83">
        <f>_xlfn.IFNA(VLOOKUP(封面!B1,一般公共预算财政拨款支出决算具体情况!A:X,24,FALSE),"")</f>
        <v>2452624.88</v>
      </c>
      <c r="K53" s="83"/>
      <c r="L53" s="11" t="s">
        <v>178</v>
      </c>
    </row>
    <row r="54" spans="1:12" ht="18" customHeight="1">
      <c r="B54" s="15" t="str">
        <f>IF(E53&gt;J53,"增加","减少")</f>
        <v>增加</v>
      </c>
      <c r="C54" s="83">
        <f>ABS(E53-J53)</f>
        <v>149734</v>
      </c>
      <c r="D54" s="83"/>
      <c r="E54" s="7" t="s">
        <v>179</v>
      </c>
      <c r="F54" s="15" t="str">
        <f>IF(E53&gt;J53,"增长","下降")</f>
        <v>增长</v>
      </c>
      <c r="G54" s="34">
        <f>IF(J53=0,IF(E53&gt;0,1,""),C54/J53)</f>
        <v>6.1050510096758055E-2</v>
      </c>
      <c r="H54" s="7" t="s">
        <v>316</v>
      </c>
      <c r="I54" s="11" t="s">
        <v>205</v>
      </c>
    </row>
    <row r="55" spans="1:12" ht="18" customHeight="1">
      <c r="A55" s="87" t="s">
        <v>434</v>
      </c>
      <c r="B55" s="87"/>
      <c r="C55" s="87"/>
      <c r="D55" s="87"/>
      <c r="E55" s="83">
        <f>_xlfn.IFNA(VLOOKUP(封面!B1,一般公共预算财政拨款支出决算具体情况!A:Y,25,FALSE),"")</f>
        <v>2602358.88</v>
      </c>
      <c r="F55" s="83"/>
      <c r="G55" s="7" t="s">
        <v>179</v>
      </c>
      <c r="H55" s="86" t="s">
        <v>422</v>
      </c>
      <c r="I55" s="86"/>
      <c r="J55" s="83">
        <f>_xlfn.IFNA(VLOOKUP(封面!B1,一般公共预算财政拨款支出决算具体情况!A:Z,26,FALSE),"")</f>
        <v>2452624.88</v>
      </c>
      <c r="K55" s="83"/>
      <c r="L55" s="11" t="s">
        <v>178</v>
      </c>
    </row>
    <row r="56" spans="1:12" ht="18" customHeight="1">
      <c r="A56" s="15"/>
      <c r="B56" s="15" t="str">
        <f>IF(E55&gt;J55,"增加","减少")</f>
        <v>增加</v>
      </c>
      <c r="C56" s="83">
        <f>ABS(E55-J55)</f>
        <v>149734</v>
      </c>
      <c r="D56" s="83"/>
      <c r="E56" s="7" t="s">
        <v>179</v>
      </c>
      <c r="F56" s="15" t="str">
        <f>IF(E55&gt;J55,"增长","下降")</f>
        <v>增长</v>
      </c>
      <c r="G56" s="34">
        <f>IF(J55=0,IF(E55&gt;0,1,""),C56/J55)</f>
        <v>6.1050510096758055E-2</v>
      </c>
      <c r="H56" s="7" t="s">
        <v>316</v>
      </c>
    </row>
    <row r="57" spans="1:12" ht="36" customHeight="1">
      <c r="B57" s="84" t="s">
        <v>481</v>
      </c>
      <c r="C57" s="84"/>
      <c r="D57" s="84"/>
      <c r="E57" s="84"/>
      <c r="F57" s="84"/>
      <c r="G57" s="84"/>
      <c r="H57" s="84"/>
      <c r="I57" s="84"/>
      <c r="J57" s="84"/>
      <c r="K57" s="84"/>
      <c r="L57" s="84"/>
    </row>
    <row r="58" spans="1:12" ht="18" customHeight="1">
      <c r="A58" s="87" t="s">
        <v>435</v>
      </c>
      <c r="B58" s="87"/>
      <c r="C58" s="87"/>
      <c r="D58" s="87"/>
      <c r="E58" s="83">
        <f>_xlfn.IFNA(VLOOKUP(封面!B1,一般公共预算财政拨款支出决算具体情况!A:AA,27,FALSE),"")</f>
        <v>0</v>
      </c>
      <c r="F58" s="83"/>
      <c r="G58" s="7" t="s">
        <v>179</v>
      </c>
      <c r="H58" s="86" t="s">
        <v>432</v>
      </c>
      <c r="I58" s="86"/>
      <c r="J58" s="83"/>
      <c r="K58" s="83"/>
      <c r="L58" s="11"/>
    </row>
    <row r="59" spans="1:12" ht="18" customHeight="1">
      <c r="A59" s="89" t="s">
        <v>436</v>
      </c>
      <c r="B59" s="89"/>
      <c r="C59" s="89"/>
      <c r="D59" s="89"/>
      <c r="E59" s="83">
        <f>_xlfn.IFNA(VLOOKUP(封面!B1,一般公共预算财政拨款支出决算具体情况!A:AC,29,FALSE),"")</f>
        <v>900420.56</v>
      </c>
      <c r="F59" s="83"/>
      <c r="G59" s="7" t="s">
        <v>179</v>
      </c>
      <c r="H59" s="86" t="s">
        <v>422</v>
      </c>
      <c r="I59" s="86"/>
      <c r="J59" s="83">
        <f>_xlfn.IFNA(VLOOKUP(封面!B1,一般公共预算财政拨款支出决算具体情况!A:AD,30,FALSE),"")</f>
        <v>900420.56</v>
      </c>
      <c r="K59" s="83"/>
      <c r="L59" s="11" t="s">
        <v>178</v>
      </c>
    </row>
    <row r="60" spans="1:12" ht="18" customHeight="1">
      <c r="B60" s="15" t="str">
        <f>IF(E59&gt;J59,"增加","减少")</f>
        <v>减少</v>
      </c>
      <c r="C60" s="83">
        <f>ABS(E59-J59)</f>
        <v>0</v>
      </c>
      <c r="D60" s="83"/>
      <c r="E60" s="7" t="s">
        <v>179</v>
      </c>
      <c r="F60" s="15" t="str">
        <f>IF(E59&gt;J59,"增长","下降")</f>
        <v>下降</v>
      </c>
      <c r="G60" s="34">
        <f>IF(J59=0,IF(E59&gt;0,1,""),C60/J59)</f>
        <v>0</v>
      </c>
      <c r="H60" s="7" t="s">
        <v>316</v>
      </c>
      <c r="I60" s="11" t="s">
        <v>205</v>
      </c>
    </row>
    <row r="61" spans="1:12" ht="18" customHeight="1">
      <c r="A61" s="87" t="s">
        <v>437</v>
      </c>
      <c r="B61" s="87"/>
      <c r="C61" s="87"/>
      <c r="D61" s="87"/>
      <c r="E61" s="83">
        <f>_xlfn.IFNA(VLOOKUP(封面!B1,一般公共预算财政拨款支出决算具体情况!A:AE,31,FALSE),"")</f>
        <v>900420.56</v>
      </c>
      <c r="F61" s="83"/>
      <c r="G61" s="7" t="s">
        <v>179</v>
      </c>
      <c r="H61" s="86" t="s">
        <v>422</v>
      </c>
      <c r="I61" s="86"/>
      <c r="J61" s="83">
        <f>_xlfn.IFNA(VLOOKUP(封面!B1,一般公共预算财政拨款支出决算具体情况!A:AF,32,FALSE),"")</f>
        <v>900420.56</v>
      </c>
      <c r="K61" s="83"/>
      <c r="L61" s="11" t="s">
        <v>178</v>
      </c>
    </row>
    <row r="62" spans="1:12" ht="18" customHeight="1">
      <c r="A62" s="15"/>
      <c r="B62" s="15" t="str">
        <f>IF(E61&gt;J61,"增加","减少")</f>
        <v>减少</v>
      </c>
      <c r="C62" s="83">
        <f>ABS(E61-J61)</f>
        <v>0</v>
      </c>
      <c r="D62" s="83"/>
      <c r="E62" s="7" t="s">
        <v>179</v>
      </c>
      <c r="F62" s="15" t="str">
        <f>IF(E61&gt;J61,"增长","下降")</f>
        <v>下降</v>
      </c>
      <c r="G62" s="34">
        <f>IF(J61=0,IF(E61&gt;0,1,""),C62/J61)</f>
        <v>0</v>
      </c>
      <c r="H62" s="7" t="s">
        <v>316</v>
      </c>
    </row>
    <row r="63" spans="1:12" ht="18" customHeight="1">
      <c r="A63" s="89" t="s">
        <v>438</v>
      </c>
      <c r="B63" s="89"/>
      <c r="C63" s="89"/>
      <c r="D63" s="89"/>
      <c r="E63" s="83">
        <f>_xlfn.IFNA(VLOOKUP(封面!B1,一般公共预算财政拨款支出决算具体情况!A:AG,33,FALSE),"")</f>
        <v>0</v>
      </c>
      <c r="F63" s="83"/>
      <c r="G63" s="7" t="s">
        <v>179</v>
      </c>
      <c r="H63" s="86" t="s">
        <v>422</v>
      </c>
      <c r="I63" s="86"/>
      <c r="J63" s="83">
        <f>_xlfn.IFNA(VLOOKUP(封面!B1,一般公共预算财政拨款支出决算具体情况!A:AH,34,FALSE),"")</f>
        <v>0</v>
      </c>
      <c r="K63" s="83"/>
      <c r="L63" s="11" t="s">
        <v>178</v>
      </c>
    </row>
    <row r="64" spans="1:12" ht="18" customHeight="1">
      <c r="B64" s="15" t="str">
        <f>IF(E63&gt;J63,"增加","减少")</f>
        <v>减少</v>
      </c>
      <c r="C64" s="83">
        <f>ABS(E63-J63)</f>
        <v>0</v>
      </c>
      <c r="D64" s="83"/>
      <c r="E64" s="7" t="s">
        <v>179</v>
      </c>
      <c r="F64" s="15" t="str">
        <f>IF(E63&gt;J63,"增长","下降")</f>
        <v>下降</v>
      </c>
      <c r="G64" s="34" t="str">
        <f>IF(J63=0,IF(E63&gt;0,1,""),C64/J63)</f>
        <v/>
      </c>
      <c r="H64" s="7" t="s">
        <v>313</v>
      </c>
      <c r="I64" s="11" t="s">
        <v>205</v>
      </c>
    </row>
    <row r="65" spans="1:13" ht="18" customHeight="1">
      <c r="A65" s="87" t="s">
        <v>439</v>
      </c>
      <c r="B65" s="87"/>
      <c r="C65" s="87"/>
      <c r="D65" s="87"/>
      <c r="E65" s="83">
        <f>_xlfn.IFNA(VLOOKUP(封面!B1,一般公共预算财政拨款支出决算具体情况!A:AI,35,FALSE),"")</f>
        <v>0</v>
      </c>
      <c r="F65" s="83"/>
      <c r="G65" s="7" t="s">
        <v>179</v>
      </c>
      <c r="H65" s="86" t="s">
        <v>422</v>
      </c>
      <c r="I65" s="86"/>
      <c r="J65" s="83">
        <f>_xlfn.IFNA(VLOOKUP(封面!B1,一般公共预算财政拨款支出决算具体情况!A:AJ,36,FALSE),"")</f>
        <v>0</v>
      </c>
      <c r="K65" s="83"/>
      <c r="L65" s="11" t="s">
        <v>178</v>
      </c>
    </row>
    <row r="66" spans="1:13" ht="18" customHeight="1">
      <c r="A66" s="58"/>
      <c r="B66" s="15" t="str">
        <f>IF(E65&gt;J65,"增加","减少")</f>
        <v>减少</v>
      </c>
      <c r="C66" s="83">
        <f>ABS(E65-J65)</f>
        <v>0</v>
      </c>
      <c r="D66" s="83"/>
      <c r="E66" s="7" t="s">
        <v>179</v>
      </c>
      <c r="F66" s="15" t="str">
        <f>IF(E65&gt;J65,"增长","下降")</f>
        <v>下降</v>
      </c>
      <c r="G66" s="34" t="str">
        <f>IF(J65=0,IF(E65&gt;0,1,""),C66/J65)</f>
        <v/>
      </c>
      <c r="H66" s="7" t="s">
        <v>313</v>
      </c>
      <c r="I66" s="57"/>
      <c r="J66" s="56"/>
      <c r="K66" s="56"/>
      <c r="L66" s="11"/>
    </row>
    <row r="67" spans="1:13" ht="18" customHeight="1">
      <c r="A67" s="89" t="s">
        <v>473</v>
      </c>
      <c r="B67" s="89"/>
      <c r="C67" s="89"/>
      <c r="D67" s="89"/>
      <c r="E67" s="83">
        <f>_xlfn.IFNA(VLOOKUP(封面!B1,一般公共预算财政拨款支出决算具体情况!A:AK,37,FALSE),"")</f>
        <v>1792027</v>
      </c>
      <c r="F67" s="83"/>
      <c r="G67" s="7" t="s">
        <v>179</v>
      </c>
      <c r="H67" s="86" t="s">
        <v>422</v>
      </c>
      <c r="I67" s="86"/>
      <c r="J67" s="83">
        <f>_xlfn.IFNA(VLOOKUP(封面!B1,一般公共预算财政拨款支出决算具体情况!A:AL,38,FALSE),"")</f>
        <v>1818481.44</v>
      </c>
      <c r="K67" s="83"/>
      <c r="L67" s="11" t="s">
        <v>178</v>
      </c>
    </row>
    <row r="68" spans="1:13" ht="18" customHeight="1">
      <c r="B68" s="15" t="str">
        <f>IF(E67&gt;J67,"增加","减少")</f>
        <v>减少</v>
      </c>
      <c r="C68" s="83">
        <f>ABS(E67-J67)</f>
        <v>26454.439999999944</v>
      </c>
      <c r="D68" s="83"/>
      <c r="E68" s="7" t="s">
        <v>179</v>
      </c>
      <c r="F68" s="15" t="str">
        <f>IF(E67&gt;J67,"增长","下降")</f>
        <v>下降</v>
      </c>
      <c r="G68" s="34">
        <f>IF(J67=0,IF(E67&gt;0,1,""),C68/J67)</f>
        <v>1.4547544681016895E-2</v>
      </c>
      <c r="H68" s="7" t="s">
        <v>316</v>
      </c>
      <c r="I68" s="11" t="s">
        <v>205</v>
      </c>
    </row>
    <row r="69" spans="1:13" ht="18" customHeight="1">
      <c r="A69" s="87" t="s">
        <v>440</v>
      </c>
      <c r="B69" s="87"/>
      <c r="C69" s="87"/>
      <c r="D69" s="87"/>
      <c r="E69" s="83">
        <f>_xlfn.IFNA(VLOOKUP(封面!B1,一般公共预算财政拨款支出决算具体情况!A:AM,39,FALSE),"")</f>
        <v>1792027</v>
      </c>
      <c r="F69" s="83"/>
      <c r="G69" s="7" t="s">
        <v>179</v>
      </c>
      <c r="H69" s="86" t="s">
        <v>422</v>
      </c>
      <c r="I69" s="86"/>
      <c r="J69" s="83">
        <f>_xlfn.IFNA(VLOOKUP(封面!B1,一般公共预算财政拨款支出决算具体情况!A:AN,40,FALSE),"")</f>
        <v>1818481.44</v>
      </c>
      <c r="K69" s="83"/>
      <c r="L69" s="11" t="s">
        <v>178</v>
      </c>
    </row>
    <row r="70" spans="1:13" ht="18" customHeight="1">
      <c r="A70" s="15"/>
      <c r="B70" s="15" t="str">
        <f>IF(E69&gt;J69,"增加","减少")</f>
        <v>减少</v>
      </c>
      <c r="C70" s="83">
        <f>ABS(E69-J69)</f>
        <v>26454.439999999944</v>
      </c>
      <c r="D70" s="83"/>
      <c r="E70" s="7" t="s">
        <v>179</v>
      </c>
      <c r="F70" s="15" t="str">
        <f>IF(E69&gt;J69,"增长","下降")</f>
        <v>下降</v>
      </c>
      <c r="G70" s="34">
        <f>IF(J69=0,IF(E69&gt;0,1,""),C70/J69)</f>
        <v>1.4547544681016895E-2</v>
      </c>
      <c r="H70" s="7" t="s">
        <v>316</v>
      </c>
    </row>
    <row r="71" spans="1:13" ht="36" customHeight="1">
      <c r="B71" s="84" t="s">
        <v>482</v>
      </c>
      <c r="C71" s="84"/>
      <c r="D71" s="84"/>
      <c r="E71" s="84"/>
      <c r="F71" s="84"/>
      <c r="G71" s="84"/>
      <c r="H71" s="84"/>
      <c r="I71" s="84"/>
      <c r="J71" s="84"/>
      <c r="K71" s="84"/>
      <c r="L71" s="84"/>
    </row>
    <row r="72" spans="1:13" ht="18" customHeight="1">
      <c r="A72" s="6" t="s">
        <v>206</v>
      </c>
    </row>
    <row r="73" spans="1:13" ht="18" customHeight="1">
      <c r="A73" s="7" t="str">
        <f>IF(_xlfn.IFNA(VLOOKUP(封面!B1,'2021决算导出'!A:W,23,FALSE),"")=0,"本年度无此项支出。","")</f>
        <v>本年度无此项支出。</v>
      </c>
    </row>
    <row r="74" spans="1:13" ht="18" customHeight="1">
      <c r="A74" s="7" t="s">
        <v>207</v>
      </c>
    </row>
    <row r="75" spans="1:13" ht="18" customHeight="1">
      <c r="A75" s="88" t="s">
        <v>441</v>
      </c>
      <c r="B75" s="88"/>
      <c r="C75" s="88"/>
      <c r="D75" s="88"/>
      <c r="E75" s="88"/>
      <c r="F75" s="83">
        <f>_xlfn.IFNA(VLOOKUP(封面!B1,'2021决算导出'!A:W,23,FALSE),"")</f>
        <v>0</v>
      </c>
      <c r="G75" s="83"/>
      <c r="H75" s="7" t="s">
        <v>179</v>
      </c>
      <c r="I75" s="85" t="s">
        <v>196</v>
      </c>
      <c r="J75" s="85"/>
      <c r="K75" s="85"/>
      <c r="L75" s="85"/>
      <c r="M75" s="85"/>
    </row>
    <row r="76" spans="1:13" ht="18" customHeight="1">
      <c r="A76" s="88" t="s">
        <v>208</v>
      </c>
      <c r="B76" s="88"/>
      <c r="C76" s="88"/>
      <c r="D76" s="83">
        <f>_xlfn.IFNA(VLOOKUP(封面!B1,'2021决算导出'!A:Y,25,FALSE),"")</f>
        <v>0</v>
      </c>
      <c r="E76" s="83"/>
      <c r="F76" s="7" t="s">
        <v>179</v>
      </c>
      <c r="G76" s="86" t="s">
        <v>198</v>
      </c>
      <c r="H76" s="86"/>
      <c r="I76" s="13">
        <v>100</v>
      </c>
      <c r="J76" s="7" t="s">
        <v>183</v>
      </c>
      <c r="K76" s="9"/>
      <c r="L76" s="9"/>
      <c r="M76" s="9"/>
    </row>
    <row r="77" spans="1:13" ht="18" customHeight="1">
      <c r="A77" s="7" t="s">
        <v>209</v>
      </c>
    </row>
    <row r="78" spans="1:13" ht="18" customHeight="1">
      <c r="A78" s="85" t="s">
        <v>442</v>
      </c>
      <c r="B78" s="85"/>
      <c r="C78" s="85"/>
      <c r="D78" s="85"/>
      <c r="E78" s="83">
        <f>_xlfn.IFNA(VLOOKUP(封面!B1,'2021决算导出'!A:Y,25,FALSE),"")</f>
        <v>0</v>
      </c>
      <c r="F78" s="83"/>
      <c r="G78" s="7" t="s">
        <v>179</v>
      </c>
      <c r="H78" s="86" t="s">
        <v>422</v>
      </c>
      <c r="I78" s="86"/>
      <c r="J78" s="83">
        <f>_xlfn.IFNA(VLOOKUP(封面!B1,'2021决算导出'!A:Z,26,FALSE),"")</f>
        <v>0</v>
      </c>
      <c r="K78" s="83"/>
      <c r="L78" s="11" t="s">
        <v>178</v>
      </c>
    </row>
    <row r="79" spans="1:13" ht="18" customHeight="1">
      <c r="B79" s="15" t="str">
        <f>IF(E78&gt;J78,"增加","减少")</f>
        <v>减少</v>
      </c>
      <c r="C79" s="83">
        <f>ABS(E78-J78)</f>
        <v>0</v>
      </c>
      <c r="D79" s="83"/>
      <c r="E79" s="7" t="s">
        <v>179</v>
      </c>
      <c r="F79" s="15" t="str">
        <f>IF(E78&gt;J78,"增长","下降")</f>
        <v>下降</v>
      </c>
      <c r="G79" s="34" t="str">
        <f>IF(J78=0,IF(E78&gt;0,1,""),C79/J78)</f>
        <v/>
      </c>
      <c r="H79" s="7" t="s">
        <v>316</v>
      </c>
      <c r="I79" s="11" t="s">
        <v>205</v>
      </c>
    </row>
    <row r="80" spans="1:13" ht="18" customHeight="1">
      <c r="A80" s="87" t="s">
        <v>443</v>
      </c>
      <c r="B80" s="87"/>
      <c r="C80" s="87"/>
      <c r="D80" s="87"/>
      <c r="E80" s="83">
        <f>E78</f>
        <v>0</v>
      </c>
      <c r="F80" s="83"/>
      <c r="G80" s="7" t="s">
        <v>179</v>
      </c>
      <c r="H80" s="86" t="s">
        <v>422</v>
      </c>
      <c r="I80" s="86"/>
      <c r="J80" s="83">
        <f>J78</f>
        <v>0</v>
      </c>
      <c r="K80" s="83"/>
      <c r="L80" s="11" t="s">
        <v>178</v>
      </c>
    </row>
    <row r="81" spans="1:13" ht="18" customHeight="1">
      <c r="A81" s="15"/>
      <c r="B81" s="15" t="str">
        <f>B79</f>
        <v>减少</v>
      </c>
      <c r="C81" s="83">
        <f>C79</f>
        <v>0</v>
      </c>
      <c r="D81" s="83"/>
      <c r="E81" s="7" t="s">
        <v>179</v>
      </c>
      <c r="F81" s="15" t="str">
        <f>F79</f>
        <v>下降</v>
      </c>
      <c r="G81" s="34" t="str">
        <f>IF(J80=0,IF(E80&gt;0,1,""),C81/J80)</f>
        <v/>
      </c>
      <c r="H81" s="7" t="s">
        <v>316</v>
      </c>
    </row>
    <row r="82" spans="1:13" ht="18" customHeight="1">
      <c r="A82" s="6" t="s">
        <v>210</v>
      </c>
    </row>
    <row r="83" spans="1:13" ht="18" customHeight="1">
      <c r="A83" s="7" t="s">
        <v>211</v>
      </c>
    </row>
    <row r="84" spans="1:13" ht="18" customHeight="1">
      <c r="A84" s="6" t="s">
        <v>212</v>
      </c>
    </row>
    <row r="85" spans="1:13" ht="18" customHeight="1">
      <c r="A85" s="7" t="s">
        <v>444</v>
      </c>
      <c r="G85" s="83">
        <f>_xlfn.IFNA(VLOOKUP(封面!B1,'2021决算导出'!A:AA,27,FALSE),"")</f>
        <v>15992252.35</v>
      </c>
      <c r="H85" s="83"/>
      <c r="I85" s="11" t="s">
        <v>179</v>
      </c>
    </row>
    <row r="86" spans="1:13" ht="130.35" customHeight="1">
      <c r="A86" s="84" t="s">
        <v>213</v>
      </c>
      <c r="B86" s="84"/>
      <c r="C86" s="84"/>
      <c r="D86" s="84"/>
      <c r="E86" s="84"/>
      <c r="F86" s="84"/>
      <c r="G86" s="84"/>
      <c r="H86" s="84"/>
      <c r="I86" s="84"/>
      <c r="J86" s="84"/>
      <c r="K86" s="84"/>
      <c r="L86" s="84"/>
      <c r="M86" s="84"/>
    </row>
    <row r="87" spans="1:13" ht="18" customHeight="1"/>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sheetData>
  <mergeCells count="155">
    <mergeCell ref="E58:F58"/>
    <mergeCell ref="H58:I58"/>
    <mergeCell ref="J58:K58"/>
    <mergeCell ref="C54:D54"/>
    <mergeCell ref="A55:D55"/>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C40:D40"/>
    <mergeCell ref="A41:D41"/>
    <mergeCell ref="E41:F41"/>
    <mergeCell ref="H41:I41"/>
    <mergeCell ref="J41:K41"/>
    <mergeCell ref="B38:L38"/>
    <mergeCell ref="C35:D35"/>
    <mergeCell ref="C37:D37"/>
    <mergeCell ref="A39:D39"/>
    <mergeCell ref="E39:F39"/>
    <mergeCell ref="H39:I39"/>
    <mergeCell ref="J39:K39"/>
    <mergeCell ref="A36:D36"/>
    <mergeCell ref="E36:F36"/>
    <mergeCell ref="H36:I36"/>
    <mergeCell ref="J36:K36"/>
    <mergeCell ref="C44:D44"/>
    <mergeCell ref="B45:L45"/>
    <mergeCell ref="A46:D46"/>
    <mergeCell ref="E46:F46"/>
    <mergeCell ref="H46:I46"/>
    <mergeCell ref="J46:K46"/>
    <mergeCell ref="C42:D42"/>
    <mergeCell ref="A43:D43"/>
    <mergeCell ref="E43:F43"/>
    <mergeCell ref="H43:I43"/>
    <mergeCell ref="J43:K43"/>
    <mergeCell ref="C49:D49"/>
    <mergeCell ref="A50:D50"/>
    <mergeCell ref="E50:F50"/>
    <mergeCell ref="C47:D47"/>
    <mergeCell ref="A48:D48"/>
    <mergeCell ref="E48:F48"/>
    <mergeCell ref="H48:I48"/>
    <mergeCell ref="J48:K48"/>
    <mergeCell ref="H50:K50"/>
    <mergeCell ref="A51:D51"/>
    <mergeCell ref="E51:F51"/>
    <mergeCell ref="H51:K51"/>
    <mergeCell ref="A63:D63"/>
    <mergeCell ref="E63:F63"/>
    <mergeCell ref="A65:D65"/>
    <mergeCell ref="E65:F65"/>
    <mergeCell ref="A61:D61"/>
    <mergeCell ref="E61:F61"/>
    <mergeCell ref="H61:I61"/>
    <mergeCell ref="J61:K61"/>
    <mergeCell ref="C62:D62"/>
    <mergeCell ref="H63:I63"/>
    <mergeCell ref="J63:K63"/>
    <mergeCell ref="H52:K52"/>
    <mergeCell ref="A53:D53"/>
    <mergeCell ref="E53:F53"/>
    <mergeCell ref="H53:I53"/>
    <mergeCell ref="J53:K53"/>
    <mergeCell ref="A52:D52"/>
    <mergeCell ref="E52:F52"/>
    <mergeCell ref="C70:D70"/>
    <mergeCell ref="A67:D67"/>
    <mergeCell ref="E67:F67"/>
    <mergeCell ref="H67:I67"/>
    <mergeCell ref="J67:K67"/>
    <mergeCell ref="C81:D81"/>
    <mergeCell ref="E55:F55"/>
    <mergeCell ref="H55:I55"/>
    <mergeCell ref="J55:K55"/>
    <mergeCell ref="C56:D56"/>
    <mergeCell ref="C66:D66"/>
    <mergeCell ref="C64:D64"/>
    <mergeCell ref="H65:I65"/>
    <mergeCell ref="J65:K65"/>
    <mergeCell ref="A59:D59"/>
    <mergeCell ref="E59:F59"/>
    <mergeCell ref="H59:I59"/>
    <mergeCell ref="J59:K59"/>
    <mergeCell ref="C60:D60"/>
    <mergeCell ref="B57:L57"/>
    <mergeCell ref="A58:D58"/>
    <mergeCell ref="G85:H85"/>
    <mergeCell ref="A86:M86"/>
    <mergeCell ref="A4:M4"/>
    <mergeCell ref="A78:D78"/>
    <mergeCell ref="E78:F78"/>
    <mergeCell ref="H78:I78"/>
    <mergeCell ref="J78:K78"/>
    <mergeCell ref="C79:D79"/>
    <mergeCell ref="A80:D80"/>
    <mergeCell ref="E80:F80"/>
    <mergeCell ref="H80:I80"/>
    <mergeCell ref="J80:K80"/>
    <mergeCell ref="B71:L71"/>
    <mergeCell ref="A75:E75"/>
    <mergeCell ref="F75:G75"/>
    <mergeCell ref="I75:M75"/>
    <mergeCell ref="A76:C76"/>
    <mergeCell ref="D76:E76"/>
    <mergeCell ref="G76:H76"/>
    <mergeCell ref="C68:D68"/>
    <mergeCell ref="A69:D69"/>
    <mergeCell ref="E69:F69"/>
    <mergeCell ref="H69:I69"/>
    <mergeCell ref="J69:K69"/>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5"/>
  <sheetViews>
    <sheetView workbookViewId="0">
      <selection activeCell="A14" sqref="A14:XFD14"/>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413</v>
      </c>
      <c r="B1" s="81"/>
      <c r="C1" s="81"/>
      <c r="D1" s="81"/>
      <c r="E1" s="81"/>
      <c r="F1" s="81"/>
      <c r="G1" s="81"/>
      <c r="H1" s="81"/>
      <c r="I1" s="81"/>
      <c r="J1" s="81"/>
      <c r="K1" s="81"/>
      <c r="L1" s="81"/>
      <c r="M1" s="81"/>
      <c r="N1" s="81"/>
    </row>
    <row r="2" spans="1:14" ht="18" customHeight="1">
      <c r="A2" s="6" t="s">
        <v>214</v>
      </c>
    </row>
    <row r="3" spans="1:14" ht="18" customHeight="1">
      <c r="A3" s="16" t="str">
        <f>IF(_xlfn.IFNA(VLOOKUP(封面!B1,'2021决算导出'!A:AB,28,FALSE),"")=0,"本年度无此项支出。","")</f>
        <v/>
      </c>
    </row>
    <row r="4" spans="1:14" ht="18" customHeight="1">
      <c r="A4" s="7" t="s">
        <v>445</v>
      </c>
      <c r="F4" s="83">
        <f>_xlfn.IFNA(VLOOKUP(封面!B1,'2021决算导出'!A:AB,28,FALSE),"")</f>
        <v>54000</v>
      </c>
      <c r="G4" s="83"/>
      <c r="H4" s="7" t="s">
        <v>179</v>
      </c>
      <c r="I4" s="7" t="s">
        <v>446</v>
      </c>
    </row>
    <row r="5" spans="1:14" ht="18" customHeight="1">
      <c r="A5" s="91">
        <f>_xlfn.IFNA(VLOOKUP(封面!B1,'2021决算导出'!A:AC,29,FALSE),"")</f>
        <v>54000</v>
      </c>
      <c r="B5" s="91"/>
      <c r="C5" s="7" t="s">
        <v>178</v>
      </c>
      <c r="D5" s="30" t="str">
        <f>IF(F4&gt;A5,"增加","减少")</f>
        <v>减少</v>
      </c>
      <c r="E5" s="91">
        <f>ABS(F4-A5)</f>
        <v>0</v>
      </c>
      <c r="F5" s="91"/>
      <c r="G5" s="7" t="s">
        <v>216</v>
      </c>
    </row>
    <row r="6" spans="1:14" ht="18" customHeight="1">
      <c r="A6" s="7" t="s">
        <v>217</v>
      </c>
    </row>
    <row r="7" spans="1:14" ht="18" customHeight="1">
      <c r="A7" s="55" t="s">
        <v>447</v>
      </c>
      <c r="B7" s="19"/>
      <c r="C7" s="19"/>
      <c r="D7" s="19"/>
      <c r="E7" s="19"/>
      <c r="F7" s="19"/>
      <c r="G7" s="19"/>
      <c r="H7" s="19"/>
      <c r="I7" s="19"/>
      <c r="J7" s="19"/>
      <c r="K7" s="19"/>
      <c r="L7" s="19"/>
      <c r="M7" s="19"/>
      <c r="N7" s="19"/>
    </row>
    <row r="8" spans="1:14" ht="18" customHeight="1">
      <c r="A8" s="7" t="s">
        <v>218</v>
      </c>
    </row>
    <row r="9" spans="1:14" ht="39" customHeight="1">
      <c r="A9" s="92" t="s">
        <v>448</v>
      </c>
      <c r="B9" s="92"/>
      <c r="C9" s="92"/>
      <c r="D9" s="92"/>
      <c r="E9" s="92"/>
      <c r="F9" s="92"/>
      <c r="G9" s="92"/>
      <c r="H9" s="92"/>
      <c r="I9" s="92"/>
      <c r="J9" s="92"/>
      <c r="K9" s="92"/>
      <c r="L9" s="92"/>
      <c r="M9" s="92"/>
      <c r="N9" s="92"/>
    </row>
    <row r="10" spans="1:14" ht="18" customHeight="1">
      <c r="A10" s="7" t="s">
        <v>219</v>
      </c>
    </row>
    <row r="11" spans="1:14" ht="18" customHeight="1">
      <c r="A11" s="88" t="s">
        <v>449</v>
      </c>
      <c r="B11" s="88"/>
      <c r="C11" s="35">
        <f>_xlfn.IFNA(VLOOKUP(封面!B1,'2021决算导出'!A:AI,35,FALSE),"")</f>
        <v>54000</v>
      </c>
      <c r="D11" s="7" t="s">
        <v>179</v>
      </c>
      <c r="E11" s="88" t="s">
        <v>450</v>
      </c>
      <c r="F11" s="88"/>
      <c r="G11" s="88"/>
      <c r="H11" s="91">
        <f>_xlfn.IFNA(VLOOKUP(封面!B1,'2021决算导出'!A:AJ,36,FALSE),"")</f>
        <v>54000</v>
      </c>
      <c r="I11" s="91"/>
      <c r="J11" s="16" t="s">
        <v>178</v>
      </c>
      <c r="K11" s="30" t="str">
        <f>IF(C11&gt;H11,"增加","减少")</f>
        <v>减少</v>
      </c>
      <c r="L11" s="91">
        <f>ABS(C11-H11)</f>
        <v>0</v>
      </c>
      <c r="M11" s="91"/>
      <c r="N11" s="7" t="s">
        <v>215</v>
      </c>
    </row>
    <row r="12" spans="1:14" ht="18" customHeight="1">
      <c r="A12" s="88" t="s">
        <v>451</v>
      </c>
      <c r="B12" s="88"/>
      <c r="C12" s="88"/>
      <c r="D12" s="88"/>
      <c r="E12" s="88"/>
      <c r="F12" s="91">
        <f>_xlfn.IFNA(VLOOKUP(封面!B1,'2021决算导出'!A:AK,37,FALSE),"")</f>
        <v>0</v>
      </c>
      <c r="G12" s="91"/>
      <c r="H12" s="17" t="s">
        <v>179</v>
      </c>
      <c r="I12" s="88" t="s">
        <v>450</v>
      </c>
      <c r="J12" s="88"/>
      <c r="K12" s="88"/>
      <c r="L12" s="91">
        <f>_xlfn.IFNA(VLOOKUP(封面!B1,'2021决算导出'!A:AL,38,FALSE),"")</f>
        <v>0</v>
      </c>
      <c r="M12" s="91"/>
      <c r="N12" s="7" t="s">
        <v>178</v>
      </c>
    </row>
    <row r="13" spans="1:14" ht="18" customHeight="1">
      <c r="A13" s="15" t="str">
        <f>IF(F12&gt;L12,"增加","减少")</f>
        <v>减少</v>
      </c>
      <c r="B13" s="91">
        <f>ABS(F12-L12)</f>
        <v>0</v>
      </c>
      <c r="C13" s="91"/>
      <c r="D13" s="7" t="s">
        <v>215</v>
      </c>
      <c r="H13" s="91"/>
      <c r="I13" s="91"/>
      <c r="J13" s="16"/>
    </row>
    <row r="14" spans="1:14" ht="18" customHeight="1">
      <c r="A14" s="88" t="s">
        <v>452</v>
      </c>
      <c r="B14" s="88"/>
      <c r="C14" s="88"/>
      <c r="D14" s="8">
        <f>_xlfn.IFNA(VLOOKUP(封面!B1,'2021决算导出'!A:AM,39,FALSE),"")</f>
        <v>0</v>
      </c>
      <c r="E14" s="7" t="s">
        <v>220</v>
      </c>
      <c r="F14" s="88" t="s">
        <v>221</v>
      </c>
      <c r="G14" s="88"/>
      <c r="H14" s="91">
        <f>IF(D14=0,0,F12/D14)</f>
        <v>0</v>
      </c>
      <c r="I14" s="91"/>
      <c r="J14" s="7" t="s">
        <v>215</v>
      </c>
    </row>
    <row r="15" spans="1:14" ht="18" customHeight="1">
      <c r="A15" s="86" t="s">
        <v>453</v>
      </c>
      <c r="B15" s="86"/>
      <c r="C15" s="86"/>
      <c r="D15" s="86"/>
      <c r="E15" s="86"/>
      <c r="F15" s="91">
        <f>_xlfn.IFNA(VLOOKUP(封面!B1,'2021决算导出'!A:AO,41,FALSE),"")</f>
        <v>54000</v>
      </c>
      <c r="G15" s="91" t="s">
        <v>179</v>
      </c>
      <c r="H15" s="7" t="s">
        <v>179</v>
      </c>
      <c r="I15" s="7" t="s">
        <v>450</v>
      </c>
      <c r="L15" s="91">
        <f>_xlfn.IFNA(VLOOKUP(封面!B1,'2021决算导出'!A:AP,42,FALSE),"")</f>
        <v>54000</v>
      </c>
      <c r="M15" s="91" t="s">
        <v>179</v>
      </c>
      <c r="N15" s="7" t="s">
        <v>179</v>
      </c>
    </row>
    <row r="16" spans="1:14" ht="18" customHeight="1">
      <c r="A16" s="15" t="str">
        <f>IF(F15&gt;L15,"增加","减少")</f>
        <v>减少</v>
      </c>
      <c r="B16" s="91">
        <f>ABS(F15-L15)</f>
        <v>0</v>
      </c>
      <c r="C16" s="91"/>
      <c r="D16" s="7" t="s">
        <v>215</v>
      </c>
    </row>
    <row r="17" spans="1:14" ht="36" customHeight="1">
      <c r="A17" s="84" t="s">
        <v>222</v>
      </c>
      <c r="B17" s="84"/>
      <c r="C17" s="84"/>
      <c r="D17" s="84"/>
      <c r="E17" s="84"/>
      <c r="F17" s="84"/>
      <c r="G17" s="84"/>
      <c r="H17" s="84"/>
      <c r="I17" s="84"/>
      <c r="J17" s="84"/>
      <c r="K17" s="84"/>
      <c r="L17" s="84"/>
      <c r="M17" s="84"/>
      <c r="N17" s="84"/>
    </row>
    <row r="18" spans="1:14" ht="18" customHeight="1">
      <c r="A18" s="88" t="s">
        <v>454</v>
      </c>
      <c r="B18" s="88"/>
      <c r="C18" s="88"/>
      <c r="D18" s="88"/>
      <c r="E18" s="88"/>
      <c r="F18" s="88"/>
      <c r="G18" s="91">
        <f>_xlfn.IFNA(VLOOKUP(封面!B1,'2021决算导出'!A:AQ,43,FALSE),"")</f>
        <v>30000</v>
      </c>
      <c r="H18" s="91" t="s">
        <v>179</v>
      </c>
      <c r="I18" s="7" t="s">
        <v>179</v>
      </c>
      <c r="J18" s="7" t="s">
        <v>223</v>
      </c>
      <c r="L18" s="91">
        <f>_xlfn.IFNA(VLOOKUP(封面!B1,'2021决算导出'!A:AR,44,FALSE),"")</f>
        <v>0</v>
      </c>
      <c r="M18" s="91" t="s">
        <v>179</v>
      </c>
      <c r="N18" s="7" t="s">
        <v>179</v>
      </c>
    </row>
    <row r="19" spans="1:14" ht="18" customHeight="1">
      <c r="A19" s="88" t="s">
        <v>224</v>
      </c>
      <c r="B19" s="88"/>
      <c r="C19" s="91">
        <f>_xlfn.IFNA(VLOOKUP(封面!B1,'2021决算导出'!A:AS,45,FALSE),"")</f>
        <v>10000</v>
      </c>
      <c r="D19" s="91" t="s">
        <v>179</v>
      </c>
      <c r="E19" s="7" t="s">
        <v>179</v>
      </c>
      <c r="F19" s="88" t="s">
        <v>225</v>
      </c>
      <c r="G19" s="88"/>
      <c r="H19" s="88"/>
      <c r="I19" s="91">
        <f>_xlfn.IFNA(VLOOKUP(封面!B1,'2021决算导出'!A:AT,46,FALSE),"")</f>
        <v>14000</v>
      </c>
      <c r="J19" s="91" t="s">
        <v>179</v>
      </c>
      <c r="K19" s="7" t="s">
        <v>215</v>
      </c>
    </row>
    <row r="20" spans="1:14" ht="18" customHeight="1">
      <c r="A20" s="88" t="s">
        <v>455</v>
      </c>
      <c r="B20" s="88"/>
      <c r="C20" s="88"/>
      <c r="D20" s="8">
        <f>_xlfn.IFNA(VLOOKUP(封面!B1,'2021决算导出'!A:AU,47,FALSE),"")</f>
        <v>2</v>
      </c>
      <c r="E20" s="85" t="s">
        <v>407</v>
      </c>
      <c r="F20" s="85"/>
      <c r="G20" s="85"/>
      <c r="H20" s="85"/>
      <c r="I20" s="85"/>
      <c r="J20" s="85"/>
      <c r="K20" s="85"/>
      <c r="L20" s="85"/>
      <c r="M20" s="54">
        <f>F15/D20</f>
        <v>27000</v>
      </c>
      <c r="N20" s="7" t="s">
        <v>215</v>
      </c>
    </row>
    <row r="21" spans="1:14" ht="18" customHeight="1">
      <c r="A21" s="6" t="s">
        <v>226</v>
      </c>
    </row>
    <row r="22" spans="1:14" ht="18" customHeight="1">
      <c r="A22" s="7" t="s">
        <v>227</v>
      </c>
    </row>
    <row r="23" spans="1:14" ht="18" customHeight="1">
      <c r="A23" s="6" t="s">
        <v>228</v>
      </c>
    </row>
    <row r="24" spans="1:14" ht="18" customHeight="1">
      <c r="A24" s="88" t="s">
        <v>456</v>
      </c>
      <c r="B24" s="88"/>
      <c r="C24" s="88"/>
      <c r="D24" s="88"/>
      <c r="E24" s="83">
        <f>_xlfn.IFNA(VLOOKUP(封面!B1,'2021决算导出'!A:AW,49,FALSE),"")</f>
        <v>206000</v>
      </c>
      <c r="F24" s="83"/>
      <c r="G24" s="7" t="s">
        <v>179</v>
      </c>
      <c r="H24" s="88" t="s">
        <v>229</v>
      </c>
      <c r="I24" s="88"/>
      <c r="J24" s="88"/>
      <c r="K24" s="88"/>
      <c r="L24" s="83">
        <f>_xlfn.IFNA(VLOOKUP(封面!B1,'2021决算导出'!A:AX,50,FALSE),"")</f>
        <v>0</v>
      </c>
      <c r="M24" s="83" t="s">
        <v>179</v>
      </c>
      <c r="N24" s="7" t="s">
        <v>179</v>
      </c>
    </row>
    <row r="25" spans="1:14" ht="18" customHeight="1">
      <c r="A25" s="88" t="s">
        <v>230</v>
      </c>
      <c r="B25" s="88"/>
      <c r="C25" s="88"/>
      <c r="D25" s="83">
        <f>_xlfn.IFNA(VLOOKUP(封面!B1,'2021决算导出'!A:AY,51,FALSE),"")</f>
        <v>0</v>
      </c>
      <c r="E25" s="83" t="s">
        <v>179</v>
      </c>
      <c r="F25" s="7" t="s">
        <v>179</v>
      </c>
      <c r="G25" s="88" t="s">
        <v>231</v>
      </c>
      <c r="H25" s="88"/>
      <c r="I25" s="88"/>
      <c r="J25" s="83">
        <f>_xlfn.IFNA(VLOOKUP(封面!B1,'2021决算导出'!A:AZ,52,FALSE),"")</f>
        <v>206000</v>
      </c>
      <c r="K25" s="83" t="s">
        <v>179</v>
      </c>
      <c r="L25" s="7" t="s">
        <v>215</v>
      </c>
    </row>
    <row r="26" spans="1:14" ht="18" customHeight="1">
      <c r="A26" s="88" t="s">
        <v>232</v>
      </c>
      <c r="B26" s="88"/>
      <c r="C26" s="88"/>
      <c r="D26" s="88"/>
      <c r="E26" s="83">
        <f>_xlfn.IFNA(VLOOKUP(封面!B1,'2021决算导出'!A:BA,53,FALSE),"")</f>
        <v>0</v>
      </c>
      <c r="F26" s="83" t="s">
        <v>179</v>
      </c>
      <c r="G26" s="7" t="s">
        <v>179</v>
      </c>
      <c r="H26" s="86" t="s">
        <v>233</v>
      </c>
      <c r="I26" s="86"/>
      <c r="J26" s="86"/>
      <c r="K26" s="29">
        <f>E26/$E$24</f>
        <v>0</v>
      </c>
      <c r="L26" s="18" t="s">
        <v>314</v>
      </c>
      <c r="M26" s="7" t="s">
        <v>408</v>
      </c>
    </row>
    <row r="27" spans="1:14" ht="18" customHeight="1">
      <c r="A27" s="88" t="s">
        <v>234</v>
      </c>
      <c r="B27" s="88"/>
      <c r="C27" s="88"/>
      <c r="D27" s="88"/>
      <c r="E27" s="83">
        <f>_xlfn.IFNA(VLOOKUP(封面!B1,'2021决算导出'!A:BB,54,FALSE),"")</f>
        <v>0</v>
      </c>
      <c r="F27" s="83" t="s">
        <v>179</v>
      </c>
      <c r="G27" s="7" t="s">
        <v>179</v>
      </c>
      <c r="H27" s="86" t="s">
        <v>233</v>
      </c>
      <c r="I27" s="86"/>
      <c r="J27" s="86"/>
      <c r="K27" s="29">
        <f>E27/$E$24</f>
        <v>0</v>
      </c>
      <c r="L27" s="18" t="s">
        <v>316</v>
      </c>
    </row>
    <row r="28" spans="1:14" ht="18" customHeight="1">
      <c r="A28" s="6" t="s">
        <v>235</v>
      </c>
    </row>
    <row r="29" spans="1:14" ht="18" customHeight="1">
      <c r="A29" s="88" t="s">
        <v>457</v>
      </c>
      <c r="B29" s="88"/>
      <c r="C29" s="8">
        <f>_xlfn.IFNA(VLOOKUP(封面!B1,'2021决算导出'!A:BC,55,FALSE),"")</f>
        <v>2</v>
      </c>
      <c r="D29" s="7" t="s">
        <v>236</v>
      </c>
      <c r="M29" s="91">
        <f>_xlfn.IFNA(VLOOKUP(封面!B1,'2021决算导出'!A:BD,56,FALSE),"")</f>
        <v>1040965</v>
      </c>
      <c r="N29" s="91" t="s">
        <v>179</v>
      </c>
    </row>
    <row r="30" spans="1:14" ht="18" customHeight="1">
      <c r="A30" s="12" t="s">
        <v>237</v>
      </c>
      <c r="B30" s="88" t="s">
        <v>238</v>
      </c>
      <c r="C30" s="88"/>
      <c r="D30" s="88"/>
      <c r="E30" s="88"/>
      <c r="F30" s="88"/>
      <c r="G30" s="8">
        <f>_xlfn.IFNA(VLOOKUP(封面!B1,'2021决算导出'!A:BE,57,FALSE),"")</f>
        <v>1</v>
      </c>
      <c r="H30" s="7" t="s">
        <v>239</v>
      </c>
      <c r="J30" s="7" t="s">
        <v>240</v>
      </c>
    </row>
    <row r="31" spans="1:14" ht="18" customHeight="1">
      <c r="A31" s="12">
        <f>_xlfn.IFNA(VLOOKUP(封面!B1,'2021决算导出'!A:BF,58,FALSE),"")</f>
        <v>0</v>
      </c>
      <c r="B31" s="7" t="s">
        <v>241</v>
      </c>
    </row>
    <row r="32" spans="1:14" ht="18" customHeight="1">
      <c r="A32" s="6" t="s">
        <v>242</v>
      </c>
    </row>
    <row r="33" spans="1:14" ht="18" customHeight="1">
      <c r="A33" s="7" t="s">
        <v>243</v>
      </c>
    </row>
    <row r="34" spans="1:14" ht="18" customHeight="1">
      <c r="A34" s="6" t="s">
        <v>244</v>
      </c>
    </row>
    <row r="35" spans="1:14" ht="375.6" customHeight="1">
      <c r="A35" s="84" t="s">
        <v>474</v>
      </c>
      <c r="B35" s="84"/>
      <c r="C35" s="84"/>
      <c r="D35" s="84"/>
      <c r="E35" s="84"/>
      <c r="F35" s="84"/>
      <c r="G35" s="84"/>
      <c r="H35" s="84"/>
      <c r="I35" s="84"/>
      <c r="J35" s="84"/>
      <c r="K35" s="84"/>
      <c r="L35" s="84"/>
      <c r="M35" s="84"/>
      <c r="N35" s="84"/>
    </row>
  </sheetData>
  <mergeCells count="50">
    <mergeCell ref="A14:C14"/>
    <mergeCell ref="F14:G14"/>
    <mergeCell ref="A15:E15"/>
    <mergeCell ref="A9:N9"/>
    <mergeCell ref="A11:B11"/>
    <mergeCell ref="E11:G11"/>
    <mergeCell ref="H11:I11"/>
    <mergeCell ref="L11:M11"/>
    <mergeCell ref="A1:N1"/>
    <mergeCell ref="F4:G4"/>
    <mergeCell ref="A5:B5"/>
    <mergeCell ref="E5:F5"/>
    <mergeCell ref="A17:N17"/>
    <mergeCell ref="I12:K12"/>
    <mergeCell ref="H13:I13"/>
    <mergeCell ref="B13:C13"/>
    <mergeCell ref="F12:G12"/>
    <mergeCell ref="L12:M12"/>
    <mergeCell ref="H14:I14"/>
    <mergeCell ref="F15:G15"/>
    <mergeCell ref="L15:M15"/>
    <mergeCell ref="B16:C16"/>
    <mergeCell ref="A12:E12"/>
    <mergeCell ref="G18:H18"/>
    <mergeCell ref="L18:M18"/>
    <mergeCell ref="C19:D19"/>
    <mergeCell ref="I19:J19"/>
    <mergeCell ref="A18:F18"/>
    <mergeCell ref="A19:B19"/>
    <mergeCell ref="F19:H19"/>
    <mergeCell ref="A20:C20"/>
    <mergeCell ref="E20:L20"/>
    <mergeCell ref="A24:D24"/>
    <mergeCell ref="E24:F24"/>
    <mergeCell ref="H24:K24"/>
    <mergeCell ref="L24:M24"/>
    <mergeCell ref="A25:C25"/>
    <mergeCell ref="D25:E25"/>
    <mergeCell ref="G25:I25"/>
    <mergeCell ref="J25:K25"/>
    <mergeCell ref="A29:B29"/>
    <mergeCell ref="M29:N29"/>
    <mergeCell ref="B30:F30"/>
    <mergeCell ref="A35:N35"/>
    <mergeCell ref="A26:D26"/>
    <mergeCell ref="E26:F26"/>
    <mergeCell ref="H26:J26"/>
    <mergeCell ref="A27:D27"/>
    <mergeCell ref="E27:F27"/>
    <mergeCell ref="H27:J27"/>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0:N11"/>
  <sheetViews>
    <sheetView zoomScale="90" zoomScaleNormal="90" workbookViewId="0">
      <selection activeCell="A10" sqref="A10:N10"/>
    </sheetView>
  </sheetViews>
  <sheetFormatPr defaultRowHeight="14.25"/>
  <sheetData>
    <row r="10" spans="1:14" ht="54.6" customHeight="1">
      <c r="A10" s="81" t="s">
        <v>476</v>
      </c>
      <c r="B10" s="81"/>
      <c r="C10" s="81"/>
      <c r="D10" s="81"/>
      <c r="E10" s="81"/>
      <c r="F10" s="81"/>
      <c r="G10" s="81"/>
      <c r="H10" s="81"/>
      <c r="I10" s="81"/>
      <c r="J10" s="81"/>
      <c r="K10" s="81"/>
      <c r="L10" s="81"/>
      <c r="M10" s="81"/>
      <c r="N10" s="81"/>
    </row>
    <row r="11" spans="1:14" ht="78" customHeight="1">
      <c r="A11" s="82" t="s">
        <v>477</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375" style="61" customWidth="1"/>
    <col min="3" max="3" width="5.875" style="61" customWidth="1"/>
    <col min="4" max="6" width="13.375" style="61" customWidth="1"/>
    <col min="7" max="8" width="12.375" style="61" customWidth="1"/>
    <col min="9" max="9" width="9" style="61" customWidth="1"/>
    <col min="10" max="10" width="12.25" style="61" customWidth="1"/>
    <col min="11" max="13" width="13.375" style="61" customWidth="1"/>
    <col min="14" max="14" width="12.625" style="61" customWidth="1"/>
    <col min="15" max="20" width="13.375" style="61" customWidth="1"/>
    <col min="21" max="21" width="11.625" style="61" customWidth="1"/>
    <col min="22" max="22" width="13.375" style="61" customWidth="1"/>
    <col min="23" max="23" width="11" style="61" customWidth="1"/>
    <col min="24" max="24" width="11.625" style="70" customWidth="1"/>
    <col min="25" max="25" width="10.625" style="61" customWidth="1"/>
    <col min="26" max="26" width="10.375" style="61" customWidth="1"/>
    <col min="27" max="27" width="13.375" style="61" customWidth="1"/>
    <col min="28" max="28" width="11" style="61" customWidth="1"/>
    <col min="29" max="29" width="10.875" style="61" customWidth="1"/>
    <col min="30" max="34" width="7.625" style="61" customWidth="1"/>
    <col min="35" max="35" width="13.375" style="61" customWidth="1"/>
    <col min="36" max="36" width="11.25" style="61" customWidth="1"/>
    <col min="37" max="40" width="6.875" style="61" customWidth="1"/>
    <col min="41" max="41" width="12.375" style="61" customWidth="1"/>
    <col min="42" max="42" width="11.75" style="61" customWidth="1"/>
    <col min="43" max="46" width="11.125" style="61" customWidth="1"/>
    <col min="47" max="47" width="8.62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625" style="61" customWidth="1"/>
    <col min="59" max="16384" width="8.875" style="61"/>
  </cols>
  <sheetData>
    <row r="1" spans="1:58" ht="60" customHeight="1">
      <c r="A1" s="21" t="s">
        <v>458</v>
      </c>
      <c r="B1" s="22" t="s">
        <v>251</v>
      </c>
      <c r="C1" s="22" t="s">
        <v>246</v>
      </c>
      <c r="D1" s="22" t="s">
        <v>252</v>
      </c>
      <c r="E1" s="22" t="s">
        <v>253</v>
      </c>
      <c r="F1" s="22" t="s">
        <v>254</v>
      </c>
      <c r="G1" s="22" t="s">
        <v>255</v>
      </c>
      <c r="H1" s="22" t="s">
        <v>256</v>
      </c>
      <c r="I1" s="22" t="s">
        <v>257</v>
      </c>
      <c r="J1" s="22" t="s">
        <v>258</v>
      </c>
      <c r="K1" s="22" t="s">
        <v>259</v>
      </c>
      <c r="L1" s="22" t="s">
        <v>260</v>
      </c>
      <c r="M1" s="22" t="s">
        <v>261</v>
      </c>
      <c r="N1" s="22" t="s">
        <v>262</v>
      </c>
      <c r="O1" s="22" t="s">
        <v>263</v>
      </c>
      <c r="P1" s="22" t="s">
        <v>264</v>
      </c>
      <c r="Q1" s="22" t="s">
        <v>265</v>
      </c>
      <c r="R1" s="22" t="s">
        <v>266</v>
      </c>
      <c r="S1" s="22" t="s">
        <v>267</v>
      </c>
      <c r="T1" s="22" t="s">
        <v>268</v>
      </c>
      <c r="U1" s="22" t="s">
        <v>269</v>
      </c>
      <c r="V1" s="22" t="s">
        <v>271</v>
      </c>
      <c r="W1" s="22" t="s">
        <v>463</v>
      </c>
      <c r="X1" s="60" t="s">
        <v>464</v>
      </c>
      <c r="Y1" s="22" t="s">
        <v>465</v>
      </c>
      <c r="Z1" s="22" t="s">
        <v>459</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ht="11.85" customHeight="1">
      <c r="A2" s="62">
        <v>255001</v>
      </c>
      <c r="B2" s="25" t="s">
        <v>302</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8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8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8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8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8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8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8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8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8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8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8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8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8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8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8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8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8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8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8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8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8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8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8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8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8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8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8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8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8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8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8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8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8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8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8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8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8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8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8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8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8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8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8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8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8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8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8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8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8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8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8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8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8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8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8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8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8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8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8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8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8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8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8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8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8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8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8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8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8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8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8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8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8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8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8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8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8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8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8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8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8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8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8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8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85" customHeight="1">
      <c r="A87" s="62">
        <v>255108</v>
      </c>
      <c r="B87" s="25" t="s">
        <v>309</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8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8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8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8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8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8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8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8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8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8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8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8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8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8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8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8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8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8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8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8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8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8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8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8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8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8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8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8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8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8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8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8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8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8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85" customHeight="1">
      <c r="A122" s="62">
        <v>255154</v>
      </c>
      <c r="B122" s="25" t="s">
        <v>460</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8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8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8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8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8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8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8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8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8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8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8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8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8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8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8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8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85" customHeight="1">
      <c r="A139" s="62">
        <v>255172</v>
      </c>
      <c r="B139" s="25" t="s">
        <v>310</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8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8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8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8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8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8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8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8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8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8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8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8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8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8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8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8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8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8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8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8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8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8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85" customHeight="1">
      <c r="A162" s="62">
        <v>255204</v>
      </c>
      <c r="B162" s="25" t="s">
        <v>461</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85" customHeight="1">
      <c r="A163" s="62">
        <v>255205</v>
      </c>
      <c r="B163" s="25" t="s">
        <v>462</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8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397</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250</v>
      </c>
      <c r="B1" s="22" t="s">
        <v>251</v>
      </c>
      <c r="C1" s="22" t="s">
        <v>246</v>
      </c>
      <c r="D1" s="71" t="s">
        <v>252</v>
      </c>
      <c r="E1" s="71" t="s">
        <v>253</v>
      </c>
      <c r="F1" s="22" t="s">
        <v>254</v>
      </c>
      <c r="G1" s="22" t="s">
        <v>255</v>
      </c>
      <c r="H1" s="22" t="s">
        <v>256</v>
      </c>
      <c r="I1" s="22" t="s">
        <v>257</v>
      </c>
      <c r="J1" s="22" t="s">
        <v>258</v>
      </c>
      <c r="K1" s="71" t="s">
        <v>259</v>
      </c>
      <c r="L1" s="22" t="s">
        <v>260</v>
      </c>
      <c r="M1" s="22" t="s">
        <v>261</v>
      </c>
      <c r="N1" s="22" t="s">
        <v>262</v>
      </c>
      <c r="O1" s="71" t="s">
        <v>263</v>
      </c>
      <c r="P1" s="22" t="s">
        <v>264</v>
      </c>
      <c r="Q1" s="22" t="s">
        <v>265</v>
      </c>
      <c r="R1" s="22" t="s">
        <v>266</v>
      </c>
      <c r="S1" s="22" t="s">
        <v>267</v>
      </c>
      <c r="T1" s="22" t="s">
        <v>268</v>
      </c>
      <c r="U1" s="22" t="s">
        <v>269</v>
      </c>
      <c r="V1" s="22" t="s">
        <v>270</v>
      </c>
      <c r="W1" s="22" t="s">
        <v>271</v>
      </c>
      <c r="X1" s="22" t="s">
        <v>272</v>
      </c>
      <c r="Y1" s="22" t="s">
        <v>273</v>
      </c>
      <c r="Z1" s="22" t="s">
        <v>318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c r="A2" s="24">
        <v>255001</v>
      </c>
      <c r="B2" s="25" t="s">
        <v>302</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303</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304</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625" style="36" customWidth="1"/>
    <col min="4" max="4" width="13.125" style="36" customWidth="1"/>
    <col min="5" max="5" width="14.375" style="36" customWidth="1"/>
    <col min="6" max="6" width="15.25" style="36" customWidth="1"/>
    <col min="7" max="16384" width="8.875" style="36"/>
  </cols>
  <sheetData>
    <row r="1" spans="1:6" ht="24">
      <c r="A1" s="21" t="s">
        <v>250</v>
      </c>
      <c r="B1" s="22" t="s">
        <v>251</v>
      </c>
      <c r="C1" s="22" t="s">
        <v>305</v>
      </c>
      <c r="D1" s="22" t="s">
        <v>306</v>
      </c>
      <c r="E1" s="22" t="s">
        <v>307</v>
      </c>
      <c r="F1" s="22" t="s">
        <v>308</v>
      </c>
    </row>
    <row r="2" spans="1:6">
      <c r="A2" s="24">
        <v>255001</v>
      </c>
      <c r="B2" s="25" t="s">
        <v>302</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309</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310</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311</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312</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2022-08-25T04:56:47Z</cp:lastPrinted>
  <dcterms:created xsi:type="dcterms:W3CDTF">2021-08-26T09:47:38Z</dcterms:created>
  <dcterms:modified xsi:type="dcterms:W3CDTF">2022-08-31T09:30:19Z</dcterms:modified>
</cp:coreProperties>
</file>