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<sst xmlns="http://schemas.openxmlformats.org/spreadsheetml/2006/main" count="4861" uniqueCount="487">
  <si>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</si>
  <si>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</si>
  <si>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</si>
  <si>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</si>
  <si>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</si>
  <si>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</si>
  <si>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</si>
  <si>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</si>
  <si>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</si>
  <si>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</si>
  <si>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</si>
  <si>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</si>
  <si>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</si>
  <si>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</si>
  <si>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</si>
  <si>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</si>
  <si>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</si>
  <si>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</si>
  <si>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</si>
  <si>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</si>
  <si>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</si>
  <si>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</si>
  <si>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</si>
  <si>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</si>
  <si>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</si>
  <si>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</si>
  <si>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</si>
  <si>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</si>
  <si>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</si>
  <si>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</si>
  <si>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</si>
  <si>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</si>
  <si>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</si>
  <si>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</si>
  <si>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</si>
  <si>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</si>
  <si>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</si>
  <si>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</si>
  <si>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</si>
  <si>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</si>
  <si>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</si>
  <si>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</si>
  <si>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</si>
  <si>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</si>
  <si>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</si>
  <si>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</si>
  <si>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</si>
  <si>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</si>
  <si>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</si>
  <si>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</si>
  <si>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</si>
  <si>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</si>
  <si>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</si>
  <si>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</si>
  <si>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</si>
  <si>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</si>
  <si>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</si>
  <si>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</si>
  <si>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</si>
  <si>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</si>
  <si>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</si>
  <si>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</si>
  <si>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</si>
  <si>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</si>
  <si>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</si>
  <si>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</si>
  <si>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</si>
  <si>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</si>
  <si>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</si>
  <si>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</si>
  <si>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</si>
  <si>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</si>
  <si>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</si>
  <si>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</si>
  <si>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</si>
  <si>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</si>
  <si>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</si>
  <si>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</si>
  <si>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</si>
  <si>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</si>
  <si>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</si>
  <si>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</si>
  <si>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</si>
  <si>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</si>
  <si>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</si>
  <si>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</si>
  <si>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</si>
  <si>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</si>
  <si>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</si>
  <si>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</si>
  <si>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</si>
  <si>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</si>
  <si>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</si>
  <si>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</si>
  <si>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</si>
  <si>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</si>
  <si>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</si>
  <si>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</si>
  <si>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</si>
  <si>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</si>
  <si>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</si>
  <si>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</si>
  <si>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</si>
  <si>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</si>
  <si>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</si>
  <si>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</si>
  <si>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</si>
  <si>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</si>
  <si>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</si>
  <si>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</si>
  <si>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</si>
  <si>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</si>
  <si>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</si>
  <si>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</si>
  <si>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</si>
  <si>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</si>
  <si>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</si>
  <si>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</si>
  <si>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</si>
  <si>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</si>
  <si>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</si>
  <si>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</si>
  <si>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</si>
  <si>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</si>
  <si>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</si>
  <si>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</si>
  <si>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</si>
  <si>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</si>
  <si>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</si>
  <si>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</si>
  <si>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</si>
  <si>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</si>
  <si>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</si>
  <si>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</si>
  <si>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</si>
  <si>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</si>
  <si>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</si>
  <si>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</si>
  <si>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</si>
  <si>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</si>
  <si>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</si>
  <si>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</si>
  <si>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</si>
  <si>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</si>
  <si>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</si>
  <si>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</si>
  <si>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</si>
  <si>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</si>
  <si>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</si>
  <si>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</si>
  <si>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</si>
  <si>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</si>
  <si>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</si>
  <si>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</si>
  <si>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</si>
  <si>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</si>
  <si>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</si>
  <si>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</si>
  <si>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</si>
  <si>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</si>
  <si>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</si>
  <si>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</si>
  <si>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</si>
  <si>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</si>
  <si>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</si>
  <si>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</si>
  <si>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</si>
  <si>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</si>
  <si>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</si>
  <si>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</si>
  <si>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</si>
  <si>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</si>
  <si>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</si>
  <si>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</si>
  <si>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</si>
  <si>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</si>
  <si>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</si>
  <si>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</si>
  <si>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</si>
  <si>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</si>
  <si>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</si>
  <si>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</si>
  <si>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</si>
  <si>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</si>
  <si>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</si>
  <si>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</si>
  <si>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</si>
  <si>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</si>
  <si>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</si>
  <si>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</si>
  <si>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</si>
  <si>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</si>
  <si>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</si>
  <si>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</si>
  <si>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</si>
  <si>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</si>
  <si>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</si>
  <si>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</si>
  <si>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</si>
  <si>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</si>
  <si>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</si>
  <si>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</si>
  <si>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</si>
  <si>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</si>
  <si>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</si>
  <si>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</si>
  <si>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</si>
  <si>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</si>
  <si>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</si>
  <si>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</si>
  <si>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</si>
  <si>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</si>
  <si>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</si>
  <si>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</si>
  <si>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</si>
  <si>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</si>
  <si>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</si>
  <si>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</si>
  <si>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</si>
  <si>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</si>
  <si>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</si>
  <si>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</si>
  <si>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</si>
  <si>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</si>
  <si>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</si>
  <si>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</si>
  <si>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</si>
  <si>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</si>
  <si>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</si>
  <si>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</si>
  <si>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</si>
  <si>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</si>
  <si>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</si>
  <si>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</si>
  <si>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</si>
  <si>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</si>
  <si>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</si>
  <si>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</si>
  <si>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</si>
  <si>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</si>
  <si>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</si>
  <si>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</si>
  <si>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</si>
  <si>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</si>
  <si>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</si>
  <si>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</si>
  <si>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</si>
  <si>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</si>
  <si>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</si>
  <si>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</si>
  <si>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</si>
  <si>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</si>
  <si>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</si>
  <si>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</si>
  <si>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</si>
  <si>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</si>
  <si>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</si>
  <si>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</si>
  <si>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</si>
  <si>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</si>
  <si>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</si>
  <si>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</si>
  <si>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</si>
  <si>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</si>
  <si>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</si>
  <si>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</si>
  <si>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</si>
  <si>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</si>
  <si>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</si>
  <si>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</si>
  <si>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</si>
  <si>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</si>
  <si>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</si>
  <si>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</si>
  <si>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</si>
  <si>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</si>
  <si>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</si>
  <si>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</si>
  <si>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</si>
  <si>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</si>
  <si>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</si>
  <si>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</si>
  <si>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</si>
  <si>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</si>
  <si>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</si>
  <si>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</si>
  <si>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</si>
  <si>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</si>
  <si>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</si>
  <si>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</si>
  <si>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</si>
  <si>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</si>
  <si>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</si>
  <si>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</si>
  <si>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</si>
  <si>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</si>
  <si>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</si>
  <si>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</si>
  <si>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</si>
  <si>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</si>
  <si>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</si>
  <si>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</si>
  <si>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</si>
  <si>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</si>
  <si>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</si>
  <si>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</si>
  <si>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</si>
  <si>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</si>
  <si>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</si>
  <si>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</si>
  <si>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</si>
  <si>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</si>
  <si>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</si>
  <si>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</si>
  <si>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</si>
  <si>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</si>
  <si>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</si>
  <si>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</si>
  <si>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</si>
  <si>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</si>
  <si>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</si>
  <si>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</si>
  <si>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</si>
  <si>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</si>
  <si>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</si>
  <si>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</si>
  <si>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</si>
  <si>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</si>
  <si>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</si>
  <si>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</si>
  <si>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</si>
  <si>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</si>
  <si>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</si>
  <si>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</si>
  <si>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</si>
  <si>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</si>
  <si>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</si>
  <si>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</si>
  <si>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</si>
  <si>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</si>
  <si>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</si>
  <si>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</si>
  <si>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</si>
  <si>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</si>
  <si>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</si>
  <si>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</si>
  <si>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</si>
  <si>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</si>
  <si>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</si>
  <si>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</si>
  <si>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</si>
  <si>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</si>
  <si>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</si>
  <si>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</si>
  <si>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</si>
  <si>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</si>
  <si>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</si>
  <si>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</si>
  <si>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</si>
  <si>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</si>
  <si>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</si>
  <si>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</si>
  <si>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</si>
  <si>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</si>
  <si>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</si>
  <si>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</si>
  <si>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</si>
  <si>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</si>
  <si>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</si>
  <si>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</si>
  <si>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</si>
  <si>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</si>
  <si>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</si>
  <si>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</si>
  <si>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</si>
  <si>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</si>
  <si>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</si>
  <si>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</si>
  <si>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</si>
  <si>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</si>
  <si>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</si>
  <si>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</si>
  <si>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</si>
  <si>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</si>
  <si>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</si>
  <si>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</si>
  <si>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</si>
  <si>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</si>
  <si>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</si>
  <si>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</si>
  <si>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</si>
  <si>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</si>
  <si>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</si>
  <si>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</si>
  <si>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</si>
  <si>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</si>
  <si>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</si>
  <si>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</si>
  <si>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</si>
  <si>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</si>
  <si>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</si>
  <si>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</si>
  <si>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</si>
  <si>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</si>
  <si>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</si>
  <si>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</si>
  <si>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</si>
  <si>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</si>
  <si>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</si>
  <si>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</si>
  <si>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</si>
  <si>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</si>
  <si>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</si>
  <si>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</si>
  <si>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</si>
  <si>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</si>
  <si>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</si>
  <si>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</si>
  <si>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</si>
  <si>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</si>
  <si>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</si>
  <si>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</si>
  <si>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</si>
  <si>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</si>
  <si>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</si>
  <si>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</si>
  <si>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</si>
  <si>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</si>
  <si>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</si>
  <si>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</si>
  <si>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</si>
  <si>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</si>
  <si>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</si>
  <si>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</si>
  <si>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</si>
  <si>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</si>
  <si>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</si>
  <si>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</si>
  <si>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</si>
  <si>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</si>
  <si>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</si>
  <si>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</si>
  <si>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</si>
  <si>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</si>
  <si>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</si>
  <si>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</si>
  <si>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</si>
  <si>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</si>
  <si>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</si>
  <si>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</si>
  <si>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</si>
  <si>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</si>
  <si>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</si>
  <si>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</si>
  <si>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</si>
  <si>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</si>
  <si>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</si>
  <si>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</si>
  <si>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</si>
  <si>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</si>
  <si>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</si>
  <si>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</si>
  <si>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</si>
  <si>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</si>
  <si>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</si>
  <si>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</si>
  <si>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</si>
  <si>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</si>
  <si>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</si>
  <si>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</si>
  <si>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</si>
  <si>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</si>
  <si>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</si>
  <si>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</si>
  <si>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</si>
  <si>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</si>
  <si>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</si>
  <si>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</si>
  <si>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</si>
  <si>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青少年科学技术馆隶属北京市西城区教育委员会，是北京市建立最早的区级青少年科技馆之一。西城区青少年科学技术馆,现有教职工31人，行政工作人员7名，一线教师12人，退休教师26人，现设有机器人、生物、环保、电子、模型、天文等学科的专业活动室科普展室，配备有先进的科普器材供学生活动实验，为青少年进行丰富多彩的科技活动提供了有力的物质保障。西城区青少年科学技术馆机器人、生命探索、电子技术、模型、环境教育等小组主动探索青少年STEM教育、创客教育等活动形式，开展综合性交叉教学，从小学低年级一直贯穿到高中阶段，培养了一大批喜爱实践、勇于创新的青少年科技爱好者，培养的学生屡屡获得国内和国际大赛的奖项。西城科技馆是归核算中心集中管理的集中型财务核算单位，内部形成以由馆长担任组长，行政副馆长为副组长，各中层以上干部、人事、财务、内部审计、纪检监察为成员的内部控制管理工作。</t>
    <phoneticPr fontId="4" type="noConversion"/>
  </si>
  <si>
    <t>主要原因是项目收、支出增加，人员收、支出也有增加。</t>
    <phoneticPr fontId="4" type="noConversion"/>
  </si>
  <si>
    <t>主要原因是科技项目增加了。</t>
    <phoneticPr fontId="4" type="noConversion"/>
  </si>
  <si>
    <t>主要原因是科协的经费支持。</t>
    <phoneticPr fontId="4" type="noConversion"/>
  </si>
  <si>
    <t>主要原因是科协的经费支持。</t>
    <phoneticPr fontId="4" type="noConversion"/>
  </si>
  <si>
    <t>主要原因是有人员的增减，按本年的实际人员支出。</t>
    <phoneticPr fontId="4" type="noConversion"/>
  </si>
  <si>
    <t>主要原因是有人员的增减，按本年的实际人员支出。</t>
    <phoneticPr fontId="4" type="noConversion"/>
  </si>
  <si>
    <t>主要原因是公车运行维修费用少。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</si>
</sst>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1"/>
      <name val="等线"/>
      <family val="2"/>
      <charset val="134"/>
      <scheme val="minor"/>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22" fillId="0" borderId="0" xfId="0" applyFont="1">
      <alignment vertical="center"/>
    </xf>
    <xf numFmtId="176" fontId="22" fillId="0" borderId="0" xfId="0" applyNumberFormat="1" applyFont="1" applyAlignment="1">
      <alignment vertical="center" shrinkToFit="1"/>
    </xf>
    <xf numFmtId="0" fontId="24" fillId="0" borderId="0" xfId="0" applyFo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22" fillId="0" borderId="0" xfId="0" applyFont="1" applyAlignment="1">
      <alignment horizontal="right" vertical="center"/>
    </xf>
    <xf numFmtId="176" fontId="22" fillId="0" borderId="0" xfId="0" applyNumberFormat="1" applyFont="1" applyAlignment="1">
      <alignment horizontal="left" vertical="center" shrinkToFit="1"/>
    </xf>
    <xf numFmtId="0" fontId="22"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7" t="s">
        <v>0</v>
      </c>
      <c r="B1" s="28">
        <v>255091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82" t="str">
        <f>_xlfn.IFNA(VLOOKUP(B1,'2021决算导出'!A:B,2,FALSE),"")</f>
        <v>北京市西城区青少年科学技术馆</v>
      </c>
      <c r="B11" s="82"/>
      <c r="C11" s="82"/>
      <c r="D11" s="82"/>
      <c r="E11" s="82"/>
      <c r="F11" s="82"/>
      <c r="G11" s="82"/>
      <c r="H11" s="82"/>
      <c r="I11" s="82"/>
      <c r="J11" s="82"/>
      <c r="K11" s="82"/>
      <c r="L11" s="82"/>
      <c r="M11" s="82"/>
      <c r="N11" s="1"/>
    </row>
    <row r="12" spans="1:14" ht="72" customHeight="1">
      <c r="A12" s="82" t="s">
        <v>411</v>
      </c>
      <c r="B12" s="82"/>
      <c r="C12" s="82"/>
      <c r="D12" s="82"/>
      <c r="E12" s="82"/>
      <c r="F12" s="82"/>
      <c r="G12" s="82"/>
      <c r="H12" s="82"/>
      <c r="I12" s="82"/>
      <c r="J12" s="82"/>
      <c r="K12" s="82"/>
      <c r="L12" s="82"/>
      <c r="M12" s="82"/>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0" zoomScale="90" zoomScaleNormal="90" workbookViewId="0">
      <selection sqref="A1:N1"/>
    </sheetView>
  </sheetViews>
  <sheetFormatPr defaultRowHeight="18"/>
  <cols>
    <col min="3" max="3" width="8.875" style="3"/>
  </cols>
  <sheetData>
    <row r="1" spans="1:14" ht="48.6" customHeight="1">
      <c r="A1" s="83" t="s">
        <v>173</v>
      </c>
      <c r="B1" s="83"/>
      <c r="C1" s="83"/>
      <c r="D1" s="83"/>
      <c r="E1" s="83"/>
      <c r="F1" s="83"/>
      <c r="G1" s="83"/>
      <c r="H1" s="83"/>
      <c r="I1" s="83"/>
      <c r="J1" s="83"/>
      <c r="K1" s="83"/>
      <c r="L1" s="83"/>
      <c r="M1" s="83"/>
      <c r="N1" s="83"/>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84" t="s">
        <v>416</v>
      </c>
      <c r="B10" s="84"/>
      <c r="C10" s="84"/>
      <c r="D10" s="84"/>
      <c r="E10" s="84"/>
      <c r="F10" s="84"/>
      <c r="G10" s="84"/>
      <c r="H10" s="84"/>
      <c r="I10" s="84"/>
      <c r="J10" s="84"/>
      <c r="K10" s="84"/>
      <c r="L10" s="84"/>
      <c r="M10" s="84"/>
      <c r="N10" s="84"/>
    </row>
    <row r="11" spans="1:14" ht="78" customHeight="1">
      <c r="A11" s="85" t="s">
        <v>476</v>
      </c>
      <c r="B11" s="85"/>
      <c r="C11" s="85"/>
      <c r="D11" s="85"/>
      <c r="E11" s="85"/>
      <c r="F11" s="85"/>
      <c r="G11" s="85"/>
      <c r="H11" s="85"/>
      <c r="I11" s="85"/>
      <c r="J11" s="85"/>
      <c r="K11" s="85"/>
      <c r="L11" s="85"/>
      <c r="M11" s="85"/>
      <c r="N11" s="8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opLeftCell="A83" zoomScaleNormal="100" workbookViewId="0">
      <selection activeCell="B80" sqref="B80:L8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4" t="s">
        <v>413</v>
      </c>
      <c r="B1" s="84"/>
      <c r="C1" s="84"/>
      <c r="D1" s="84"/>
      <c r="E1" s="84"/>
      <c r="F1" s="84"/>
      <c r="G1" s="84"/>
      <c r="H1" s="84"/>
      <c r="I1" s="84"/>
      <c r="J1" s="84"/>
      <c r="K1" s="84"/>
      <c r="L1" s="84"/>
      <c r="M1" s="84"/>
      <c r="N1" s="59"/>
    </row>
    <row r="2" spans="1:14" ht="18" customHeight="1">
      <c r="A2" s="6" t="s">
        <v>174</v>
      </c>
    </row>
    <row r="3" spans="1:14" ht="18" customHeight="1">
      <c r="A3" s="7" t="s">
        <v>175</v>
      </c>
    </row>
    <row r="4" spans="1:14" ht="280.14999999999998" customHeight="1">
      <c r="A4" s="92" t="s">
        <v>479</v>
      </c>
      <c r="B4" s="92"/>
      <c r="C4" s="92"/>
      <c r="D4" s="92"/>
      <c r="E4" s="92"/>
      <c r="F4" s="92"/>
      <c r="G4" s="92"/>
      <c r="H4" s="92"/>
      <c r="I4" s="92"/>
      <c r="J4" s="92"/>
      <c r="K4" s="92"/>
      <c r="L4" s="92"/>
      <c r="M4" s="92"/>
      <c r="N4" s="19"/>
    </row>
    <row r="5" spans="1:14" ht="18" customHeight="1">
      <c r="A5" s="7" t="s">
        <v>176</v>
      </c>
    </row>
    <row r="6" spans="1:14" ht="18" customHeight="1">
      <c r="A6" s="89" t="s">
        <v>246</v>
      </c>
      <c r="B6" s="89"/>
      <c r="C6" s="10">
        <v>34</v>
      </c>
      <c r="D6" s="10" t="s">
        <v>248</v>
      </c>
      <c r="E6" s="8">
        <f>_xlfn.IFNA(VLOOKUP(封面!B1,'2021决算导出'!A:C,3,FALSE),"")</f>
        <v>31</v>
      </c>
      <c r="F6" s="10" t="s">
        <v>249</v>
      </c>
      <c r="G6" s="10"/>
      <c r="H6" s="10"/>
      <c r="I6" s="10"/>
      <c r="J6" s="10"/>
      <c r="K6" s="10"/>
      <c r="L6" s="10"/>
      <c r="M6" s="10"/>
      <c r="N6" s="10"/>
    </row>
    <row r="7" spans="1:14" ht="18" customHeight="1">
      <c r="A7" s="6" t="s">
        <v>177</v>
      </c>
    </row>
    <row r="8" spans="1:14" ht="18" customHeight="1">
      <c r="A8" s="89" t="s">
        <v>417</v>
      </c>
      <c r="B8" s="89"/>
      <c r="C8" s="89"/>
      <c r="D8" s="14">
        <f>_xlfn.IFNA(VLOOKUP(封面!B1,'2021决算导出'!A:D,4,FALSE),"")</f>
        <v>18851380.800000001</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1129853.7300000004</v>
      </c>
      <c r="I8" s="16" t="s">
        <v>179</v>
      </c>
      <c r="J8" s="30" t="str">
        <f>IF(ISNA(VLOOKUP(封面!B1,'2020决算导出'!A:D,4,FALSE)),"",IF(D8-VLOOKUP(封面!B1,'2020决算导出'!A:D,4,FALSE)&gt;0,"增长","下降"))</f>
        <v>增长</v>
      </c>
      <c r="K8" s="31">
        <f>IF(ISNA(VLOOKUP(封面!B1,'2020决算导出'!A:D,4,FALSE)),"",H8/VLOOKUP(封面!B1,'2020决算导出'!A:D,4,FALSE))</f>
        <v>6.3756002828485397E-2</v>
      </c>
      <c r="L8" s="7" t="s">
        <v>314</v>
      </c>
    </row>
    <row r="9" spans="1:14" ht="18" customHeight="1">
      <c r="A9" s="7" t="s">
        <v>180</v>
      </c>
      <c r="G9" s="32"/>
      <c r="H9" s="32"/>
      <c r="I9" s="32"/>
      <c r="J9" s="32"/>
      <c r="K9" s="32"/>
    </row>
    <row r="10" spans="1:14" ht="18" customHeight="1">
      <c r="A10" s="89" t="s">
        <v>418</v>
      </c>
      <c r="B10" s="89"/>
      <c r="C10" s="89"/>
      <c r="D10" s="14">
        <f>_xlfn.IFNA(VLOOKUP(封面!B1,'2021决算导出'!A:E,5,FALSE),"")</f>
        <v>18354453.890000001</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835180.91000000015</v>
      </c>
      <c r="I10" s="16" t="s">
        <v>179</v>
      </c>
      <c r="J10" s="30" t="str">
        <f>IF(ISNA(VLOOKUP(封面!B1,'2020决算导出'!A:E,5,FALSE)),"",IF(D10-VLOOKUP(封面!B1,'2020决算导出'!A:E,5,FALSE)&gt;0,"增长","下降"))</f>
        <v>增长</v>
      </c>
      <c r="K10" s="31">
        <f>IF(ISNA(VLOOKUP(封面!B1,'2020决算导出'!A:E,5,FALSE)),"",H10/VLOOKUP(封面!B1,'2020决算导出'!A:E,5,FALSE))</f>
        <v>4.7672121494621529E-2</v>
      </c>
      <c r="L10" s="7" t="s">
        <v>315</v>
      </c>
    </row>
    <row r="11" spans="1:14" ht="18" customHeight="1">
      <c r="A11" s="89" t="s">
        <v>181</v>
      </c>
      <c r="B11" s="89"/>
      <c r="C11" s="89"/>
      <c r="D11" s="14">
        <f>_xlfn.IFNA(VLOOKUP(封面!B1,'2021决算导出'!A:F,6,FALSE),"")</f>
        <v>17724260.559999999</v>
      </c>
      <c r="E11" s="7" t="s">
        <v>179</v>
      </c>
      <c r="F11" s="89" t="s">
        <v>182</v>
      </c>
      <c r="G11" s="89"/>
      <c r="H11" s="29">
        <f>D11/$D$10</f>
        <v>0.9656653728965835</v>
      </c>
      <c r="I11" s="7" t="s">
        <v>316</v>
      </c>
    </row>
    <row r="12" spans="1:14" ht="18" customHeight="1">
      <c r="A12" s="89" t="s">
        <v>184</v>
      </c>
      <c r="B12" s="89"/>
      <c r="C12" s="89"/>
      <c r="D12" s="14">
        <f>_xlfn.IFNA(VLOOKUP(封面!B1,'2021决算导出'!A:G,7,FALSE),"")</f>
        <v>0</v>
      </c>
      <c r="E12" s="7" t="s">
        <v>179</v>
      </c>
      <c r="F12" s="89" t="s">
        <v>182</v>
      </c>
      <c r="G12" s="89"/>
      <c r="H12" s="29">
        <f t="shared" ref="H12:H15" si="0">D12/$D$10</f>
        <v>0</v>
      </c>
      <c r="I12" s="7" t="s">
        <v>316</v>
      </c>
    </row>
    <row r="13" spans="1:14" ht="18" customHeight="1">
      <c r="A13" s="89" t="s">
        <v>185</v>
      </c>
      <c r="B13" s="89"/>
      <c r="C13" s="89"/>
      <c r="D13" s="14">
        <f>_xlfn.IFNA(VLOOKUP(封面!B1,'2021决算导出'!A:H,8,FALSE),"")</f>
        <v>630193.32999999996</v>
      </c>
      <c r="E13" s="7" t="s">
        <v>179</v>
      </c>
      <c r="F13" s="89" t="s">
        <v>182</v>
      </c>
      <c r="G13" s="89"/>
      <c r="H13" s="29">
        <f t="shared" si="0"/>
        <v>3.4334627103416365E-2</v>
      </c>
      <c r="I13" s="7" t="s">
        <v>316</v>
      </c>
    </row>
    <row r="14" spans="1:14" ht="18" customHeight="1">
      <c r="A14" s="89" t="s">
        <v>186</v>
      </c>
      <c r="B14" s="89"/>
      <c r="C14" s="89"/>
      <c r="D14" s="14">
        <f>_xlfn.IFNA(VLOOKUP(封面!B1,'2021决算导出'!A:I,9,FALSE),"")</f>
        <v>0</v>
      </c>
      <c r="E14" s="7" t="s">
        <v>179</v>
      </c>
      <c r="F14" s="89" t="s">
        <v>182</v>
      </c>
      <c r="G14" s="89"/>
      <c r="H14" s="29">
        <f t="shared" si="0"/>
        <v>0</v>
      </c>
      <c r="I14" s="7" t="s">
        <v>316</v>
      </c>
    </row>
    <row r="15" spans="1:14" ht="18" customHeight="1">
      <c r="A15" s="89" t="s">
        <v>187</v>
      </c>
      <c r="B15" s="89"/>
      <c r="C15" s="89"/>
      <c r="D15" s="14">
        <f>_xlfn.IFNA(VLOOKUP(封面!B1,'2021决算导出'!A:J,10,FALSE),"")</f>
        <v>0</v>
      </c>
      <c r="E15" s="7" t="s">
        <v>179</v>
      </c>
      <c r="F15" s="89" t="s">
        <v>182</v>
      </c>
      <c r="G15" s="89"/>
      <c r="H15" s="29">
        <f t="shared" si="0"/>
        <v>0</v>
      </c>
      <c r="I15" s="7" t="s">
        <v>317</v>
      </c>
    </row>
    <row r="16" spans="1:14" ht="18" customHeight="1">
      <c r="A16" s="7" t="s">
        <v>188</v>
      </c>
    </row>
    <row r="17" spans="1:13" ht="18" customHeight="1">
      <c r="A17" s="89" t="s">
        <v>419</v>
      </c>
      <c r="B17" s="89"/>
      <c r="C17" s="89"/>
      <c r="D17" s="14">
        <f>_xlfn.IFNA(VLOOKUP(封面!B1,'2021决算导出'!A:K,11,FALSE),"")</f>
        <v>17810715.120000001</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589188.05000000075</v>
      </c>
      <c r="I17" s="7" t="s">
        <v>179</v>
      </c>
      <c r="J17" s="30" t="str">
        <f>IF(ISNA(VLOOKUP(封面!B1,'2020决算导出'!A:K,11,FALSE)),"",IF(D17-VLOOKUP(封面!B1,'2020决算导出'!A:K,11,FALSE)&gt;0,"增长","下降"))</f>
        <v>增长</v>
      </c>
      <c r="K17" s="31">
        <f>IF(ISNA(VLOOKUP(封面!B1,'2020决算导出'!A:K,11,FALSE)),"",H17/VLOOKUP(封面!B1,'2020决算导出'!A:K,11,FALSE))</f>
        <v>3.4212299966497731E-2</v>
      </c>
      <c r="L17" s="7" t="s">
        <v>318</v>
      </c>
    </row>
    <row r="18" spans="1:13" ht="18" customHeight="1">
      <c r="A18" s="89" t="s">
        <v>189</v>
      </c>
      <c r="B18" s="89"/>
      <c r="C18" s="89"/>
      <c r="D18" s="14">
        <f>_xlfn.IFNA(VLOOKUP(封面!B1,'2021决算导出'!A:L,12,FALSE),"")</f>
        <v>12883782.869999999</v>
      </c>
      <c r="E18" s="7" t="s">
        <v>179</v>
      </c>
      <c r="F18" s="89" t="s">
        <v>190</v>
      </c>
      <c r="G18" s="89"/>
      <c r="H18" s="29">
        <f>D18/$D$17</f>
        <v>0.72337257562064683</v>
      </c>
      <c r="I18" s="7" t="s">
        <v>316</v>
      </c>
    </row>
    <row r="19" spans="1:13" ht="18" customHeight="1">
      <c r="A19" s="89" t="s">
        <v>191</v>
      </c>
      <c r="B19" s="89"/>
      <c r="C19" s="89"/>
      <c r="D19" s="14">
        <f>_xlfn.IFNA(VLOOKUP(封面!B1,'2021决算导出'!A:M,13,FALSE),"")</f>
        <v>4711397.4000000004</v>
      </c>
      <c r="E19" s="7" t="s">
        <v>179</v>
      </c>
      <c r="F19" s="89" t="s">
        <v>190</v>
      </c>
      <c r="G19" s="89"/>
      <c r="H19" s="29">
        <f t="shared" ref="H19:H20" si="1">D19/$D$17</f>
        <v>0.26452600966647766</v>
      </c>
      <c r="I19" s="7" t="s">
        <v>316</v>
      </c>
    </row>
    <row r="20" spans="1:13" ht="18" customHeight="1">
      <c r="A20" s="89" t="s">
        <v>192</v>
      </c>
      <c r="B20" s="89"/>
      <c r="C20" s="89"/>
      <c r="D20" s="14">
        <f>_xlfn.IFNA(VLOOKUP(封面!B1,'2021决算导出'!A:N,14,FALSE),"")</f>
        <v>215534.85</v>
      </c>
      <c r="E20" s="7" t="s">
        <v>179</v>
      </c>
      <c r="F20" s="89" t="s">
        <v>190</v>
      </c>
      <c r="G20" s="89"/>
      <c r="H20" s="29">
        <f t="shared" si="1"/>
        <v>1.210141471287538E-2</v>
      </c>
      <c r="I20" s="7" t="s">
        <v>317</v>
      </c>
    </row>
    <row r="21" spans="1:13" ht="18" customHeight="1">
      <c r="A21" s="6" t="s">
        <v>193</v>
      </c>
    </row>
    <row r="22" spans="1:13" ht="18" customHeight="1">
      <c r="A22" s="89" t="s">
        <v>420</v>
      </c>
      <c r="B22" s="89"/>
      <c r="C22" s="89"/>
      <c r="D22" s="89"/>
      <c r="E22" s="86">
        <f>_xlfn.IFNA(VLOOKUP(封面!B1,'2021决算导出'!A:O,15,FALSE),"")</f>
        <v>18221187.469999999</v>
      </c>
      <c r="F22" s="86"/>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499660.39999999851</v>
      </c>
      <c r="J22" s="7" t="s">
        <v>179</v>
      </c>
      <c r="K22" s="30" t="str">
        <f>IF(ISNA(VLOOKUP(封面!B1,'2020决算导出'!A:O,15,FALSE)),"",IF(E22-VLOOKUP(封面!B1,'2020决算导出'!A:O,15,FALSE)&gt;0,"增长","下降"))</f>
        <v>增长</v>
      </c>
      <c r="L22" s="31">
        <f>IF(ISNA(VLOOKUP(封面!B1,'2020决算导出'!A:O,15,FALSE)),"",I22/VLOOKUP(封面!B1,'2020决算导出'!A:O,15,FALSE))</f>
        <v>2.819510971184034E-2</v>
      </c>
      <c r="M22" s="7" t="s">
        <v>314</v>
      </c>
    </row>
    <row r="23" spans="1:13" ht="63.6" customHeight="1">
      <c r="B23" s="90" t="s">
        <v>480</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9" t="s">
        <v>421</v>
      </c>
      <c r="B26" s="89"/>
      <c r="C26" s="89"/>
      <c r="D26" s="89"/>
      <c r="E26" s="89"/>
      <c r="F26" s="86">
        <f>_xlfn.IFNA(VLOOKUP(封面!B1,'2021决算导出'!A:P,16,FALSE),"")</f>
        <v>17595180.27</v>
      </c>
      <c r="G26" s="86"/>
      <c r="H26" s="7" t="s">
        <v>179</v>
      </c>
      <c r="I26" s="10" t="s">
        <v>197</v>
      </c>
      <c r="J26" s="10"/>
      <c r="K26" s="10"/>
      <c r="L26" s="10"/>
      <c r="M26" s="10"/>
    </row>
    <row r="27" spans="1:13" ht="18" customHeight="1">
      <c r="A27" s="89" t="s">
        <v>200</v>
      </c>
      <c r="B27" s="89"/>
      <c r="C27" s="89"/>
      <c r="D27" s="86">
        <f>_xlfn.IFNA(VLOOKUP(封面!B1,'2021决算导出'!A:Q,17,FALSE),"")</f>
        <v>12971599.92</v>
      </c>
      <c r="E27" s="86"/>
      <c r="F27" s="7" t="s">
        <v>179</v>
      </c>
      <c r="G27" s="87" t="s">
        <v>199</v>
      </c>
      <c r="H27" s="87"/>
      <c r="I27" s="29">
        <f>D27/$F$26</f>
        <v>0.73722461043020615</v>
      </c>
      <c r="J27" s="7" t="s">
        <v>316</v>
      </c>
      <c r="K27" s="9"/>
      <c r="L27" s="9"/>
      <c r="M27" s="9"/>
    </row>
    <row r="28" spans="1:13" ht="18" customHeight="1">
      <c r="A28" s="89" t="s">
        <v>201</v>
      </c>
      <c r="B28" s="89"/>
      <c r="C28" s="89"/>
      <c r="D28" s="86">
        <f>_xlfn.IFNA(VLOOKUP(封面!B1,'2021决算导出'!A:R,18,FALSE),"")</f>
        <v>245356.62</v>
      </c>
      <c r="E28" s="86"/>
      <c r="F28" s="7" t="s">
        <v>179</v>
      </c>
      <c r="G28" s="87" t="s">
        <v>199</v>
      </c>
      <c r="H28" s="87"/>
      <c r="I28" s="29">
        <f t="shared" ref="I28:I32" si="2">D28/$F$26</f>
        <v>1.3944535732795877E-2</v>
      </c>
      <c r="J28" s="7" t="s">
        <v>316</v>
      </c>
      <c r="K28" s="9"/>
      <c r="L28" s="9"/>
      <c r="M28" s="9"/>
    </row>
    <row r="29" spans="1:13" ht="18" customHeight="1">
      <c r="A29" s="89" t="s">
        <v>198</v>
      </c>
      <c r="B29" s="89"/>
      <c r="C29" s="89"/>
      <c r="D29" s="86">
        <f>_xlfn.IFNA(VLOOKUP(封面!B1,'2021决算导出'!A:S,19,FALSE),"")</f>
        <v>1851524.48</v>
      </c>
      <c r="E29" s="86"/>
      <c r="F29" s="7" t="s">
        <v>179</v>
      </c>
      <c r="G29" s="87" t="s">
        <v>199</v>
      </c>
      <c r="H29" s="87"/>
      <c r="I29" s="29">
        <f t="shared" si="2"/>
        <v>0.10522907134727526</v>
      </c>
      <c r="J29" s="7" t="s">
        <v>316</v>
      </c>
    </row>
    <row r="30" spans="1:13" ht="18" customHeight="1">
      <c r="A30" s="89" t="s">
        <v>202</v>
      </c>
      <c r="B30" s="89"/>
      <c r="C30" s="89"/>
      <c r="D30" s="86">
        <f>_xlfn.IFNA(VLOOKUP(封面!B1,'2021决算导出'!A:T,20,FALSE),"")</f>
        <v>944199.25</v>
      </c>
      <c r="E30" s="86"/>
      <c r="F30" s="7" t="s">
        <v>179</v>
      </c>
      <c r="G30" s="87" t="s">
        <v>199</v>
      </c>
      <c r="H30" s="87"/>
      <c r="I30" s="29">
        <f t="shared" si="2"/>
        <v>5.3662380010386791E-2</v>
      </c>
      <c r="J30" s="7" t="s">
        <v>316</v>
      </c>
    </row>
    <row r="31" spans="1:13" ht="18" customHeight="1">
      <c r="A31" s="89" t="s">
        <v>203</v>
      </c>
      <c r="B31" s="89"/>
      <c r="C31" s="89"/>
      <c r="D31" s="86">
        <f>_xlfn.IFNA(VLOOKUP(封面!B1,'2021决算导出'!A:U,21,FALSE),"")</f>
        <v>0</v>
      </c>
      <c r="E31" s="86"/>
      <c r="F31" s="7" t="s">
        <v>179</v>
      </c>
      <c r="G31" s="87" t="s">
        <v>199</v>
      </c>
      <c r="H31" s="87"/>
      <c r="I31" s="29">
        <f t="shared" si="2"/>
        <v>0</v>
      </c>
      <c r="J31" s="7" t="s">
        <v>316</v>
      </c>
    </row>
    <row r="32" spans="1:13" ht="18" customHeight="1">
      <c r="A32" s="89" t="s">
        <v>204</v>
      </c>
      <c r="B32" s="89"/>
      <c r="C32" s="89"/>
      <c r="D32" s="86">
        <f>_xlfn.IFNA(VLOOKUP(封面!B1,'2021决算导出'!A:V,22,FALSE),"")</f>
        <v>1582500</v>
      </c>
      <c r="E32" s="86"/>
      <c r="F32" s="7" t="s">
        <v>179</v>
      </c>
      <c r="G32" s="87" t="s">
        <v>199</v>
      </c>
      <c r="H32" s="87"/>
      <c r="I32" s="29">
        <f t="shared" si="2"/>
        <v>8.9939402479335892E-2</v>
      </c>
      <c r="J32" s="7" t="s">
        <v>316</v>
      </c>
    </row>
    <row r="33" spans="1:12" ht="18" customHeight="1">
      <c r="A33" s="7" t="s">
        <v>205</v>
      </c>
    </row>
    <row r="34" spans="1:12" ht="18" customHeight="1">
      <c r="A34" s="91" t="s">
        <v>422</v>
      </c>
      <c r="B34" s="91"/>
      <c r="C34" s="91"/>
      <c r="D34" s="91"/>
      <c r="E34" s="86">
        <f>_xlfn.IFNA(VLOOKUP(封面!B1,一般公共预算财政拨款支出决算具体情况!A:C,3,FALSE),"")</f>
        <v>12971599.92</v>
      </c>
      <c r="F34" s="86"/>
      <c r="G34" s="7" t="s">
        <v>179</v>
      </c>
      <c r="H34" s="87" t="s">
        <v>423</v>
      </c>
      <c r="I34" s="87"/>
      <c r="J34" s="86">
        <f>_xlfn.IFNA(VLOOKUP(封面!B1,一般公共预算财政拨款支出决算具体情况!A:D,4,FALSE),"")</f>
        <v>12138170.68</v>
      </c>
      <c r="K34" s="86"/>
      <c r="L34" s="11" t="s">
        <v>178</v>
      </c>
    </row>
    <row r="35" spans="1:12" ht="18" customHeight="1">
      <c r="B35" s="15" t="str">
        <f>IF(E34&gt;J34,"增加","减少")</f>
        <v>增加</v>
      </c>
      <c r="C35" s="86">
        <f>ABS(E34-J34)</f>
        <v>833429.24000000022</v>
      </c>
      <c r="D35" s="86"/>
      <c r="E35" s="7" t="s">
        <v>179</v>
      </c>
      <c r="F35" s="15" t="str">
        <f>IF(E34&gt;J34,"增长","下降")</f>
        <v>增长</v>
      </c>
      <c r="G35" s="34">
        <f>IF(J34=0,IF(E34&gt;0,1,""),C35/J34)</f>
        <v>6.8661848805045819E-2</v>
      </c>
      <c r="H35" s="7" t="s">
        <v>317</v>
      </c>
      <c r="I35" s="11" t="s">
        <v>206</v>
      </c>
    </row>
    <row r="36" spans="1:12" s="81" customFormat="1" ht="18" customHeight="1">
      <c r="A36" s="93" t="s">
        <v>424</v>
      </c>
      <c r="B36" s="93"/>
      <c r="C36" s="93"/>
      <c r="D36" s="93"/>
      <c r="E36" s="94">
        <f>_xlfn.IFNA(VLOOKUP(封面!B1,一般公共预算财政拨款支出决算具体情况!A:E,5,FALSE),"")</f>
        <v>12357349.92</v>
      </c>
      <c r="F36" s="94"/>
      <c r="G36" s="79" t="s">
        <v>179</v>
      </c>
      <c r="H36" s="95" t="s">
        <v>423</v>
      </c>
      <c r="I36" s="95"/>
      <c r="J36" s="94">
        <f>_xlfn.IFNA(VLOOKUP(封面!B1,一般公共预算财政拨款支出决算具体情况!A:F,6,FALSE),"")</f>
        <v>11523920.68</v>
      </c>
      <c r="K36" s="94"/>
      <c r="L36" s="80" t="s">
        <v>178</v>
      </c>
    </row>
    <row r="37" spans="1:12" ht="18" customHeight="1">
      <c r="A37" s="15"/>
      <c r="B37" s="15" t="str">
        <f>IF(E36&gt;J36,"增加","减少")</f>
        <v>增加</v>
      </c>
      <c r="C37" s="86">
        <f>ABS(E36-J36)</f>
        <v>833429.24000000022</v>
      </c>
      <c r="D37" s="86"/>
      <c r="E37" s="7" t="s">
        <v>179</v>
      </c>
      <c r="F37" s="15" t="str">
        <f>IF(E36&gt;J36,"增长","下降")</f>
        <v>增长</v>
      </c>
      <c r="G37" s="34">
        <f>IF(J36=0,IF(E36&gt;0,1,""),C37/J36)</f>
        <v>7.2321674466784017E-2</v>
      </c>
      <c r="H37" s="7" t="s">
        <v>317</v>
      </c>
    </row>
    <row r="38" spans="1:12" ht="36" customHeight="1">
      <c r="B38" s="92" t="s">
        <v>481</v>
      </c>
      <c r="C38" s="92"/>
      <c r="D38" s="92"/>
      <c r="E38" s="92"/>
      <c r="F38" s="92"/>
      <c r="G38" s="92"/>
      <c r="H38" s="92"/>
      <c r="I38" s="92"/>
      <c r="J38" s="92"/>
      <c r="K38" s="92"/>
      <c r="L38" s="92"/>
    </row>
    <row r="39" spans="1:12" ht="18" customHeight="1">
      <c r="A39" s="89" t="s">
        <v>425</v>
      </c>
      <c r="B39" s="89"/>
      <c r="C39" s="89"/>
      <c r="D39" s="89"/>
      <c r="E39" s="86">
        <f>_xlfn.IFNA(VLOOKUP(封面!B1,一般公共预算财政拨款支出决算具体情况!A:G,7,FALSE),"")</f>
        <v>0</v>
      </c>
      <c r="F39" s="86"/>
      <c r="G39" s="7" t="s">
        <v>179</v>
      </c>
      <c r="H39" s="87" t="s">
        <v>423</v>
      </c>
      <c r="I39" s="87"/>
      <c r="J39" s="86">
        <f>_xlfn.IFNA(VLOOKUP(封面!B1,一般公共预算财政拨款支出决算具体情况!A:H,8,FALSE),"")</f>
        <v>0</v>
      </c>
      <c r="K39" s="86"/>
      <c r="L39" s="11" t="s">
        <v>178</v>
      </c>
    </row>
    <row r="40" spans="1:12" ht="18" customHeight="1">
      <c r="A40" s="15"/>
      <c r="B40" s="15" t="str">
        <f>IF(E39&gt;J39,"增加","减少")</f>
        <v>减少</v>
      </c>
      <c r="C40" s="86">
        <f>ABS(E39-J39)</f>
        <v>0</v>
      </c>
      <c r="D40" s="86"/>
      <c r="E40" s="7" t="s">
        <v>179</v>
      </c>
      <c r="F40" s="15" t="str">
        <f>IF(E39&gt;J39,"增长","下降")</f>
        <v>下降</v>
      </c>
      <c r="G40" s="34" t="str">
        <f>IF(J39=0,IF(E39&gt;0,1,""),C40/J39)</f>
        <v/>
      </c>
      <c r="H40" s="7" t="s">
        <v>317</v>
      </c>
    </row>
    <row r="41" spans="1:12" ht="36" customHeight="1">
      <c r="B41" s="92" t="s">
        <v>194</v>
      </c>
      <c r="C41" s="92"/>
      <c r="D41" s="92"/>
      <c r="E41" s="92"/>
      <c r="F41" s="92"/>
      <c r="G41" s="92"/>
      <c r="H41" s="92"/>
      <c r="I41" s="92"/>
      <c r="J41" s="92"/>
      <c r="K41" s="92"/>
      <c r="L41" s="92"/>
    </row>
    <row r="42" spans="1:12" ht="18" customHeight="1">
      <c r="A42" s="89" t="s">
        <v>426</v>
      </c>
      <c r="B42" s="89"/>
      <c r="C42" s="89"/>
      <c r="D42" s="89"/>
      <c r="E42" s="86">
        <f>_xlfn.IFNA(VLOOKUP(封面!B1,一般公共预算财政拨款支出决算具体情况!A:I,9,FALSE),"")</f>
        <v>0</v>
      </c>
      <c r="F42" s="86"/>
      <c r="G42" s="7" t="s">
        <v>179</v>
      </c>
      <c r="H42" s="87" t="s">
        <v>423</v>
      </c>
      <c r="I42" s="87"/>
      <c r="J42" s="86">
        <f>_xlfn.IFNA(VLOOKUP(封面!B1,一般公共预算财政拨款支出决算具体情况!A:J,10,FALSE),"")</f>
        <v>0</v>
      </c>
      <c r="K42" s="86"/>
      <c r="L42" s="11" t="s">
        <v>178</v>
      </c>
    </row>
    <row r="43" spans="1:12" ht="18" customHeight="1">
      <c r="A43" s="15"/>
      <c r="B43" s="15" t="str">
        <f>IF(E42&gt;J42,"增加","减少")</f>
        <v>减少</v>
      </c>
      <c r="C43" s="86">
        <f>ABS(E42-J42)</f>
        <v>0</v>
      </c>
      <c r="D43" s="86"/>
      <c r="E43" s="7" t="s">
        <v>179</v>
      </c>
      <c r="F43" s="15" t="str">
        <f>IF(E42&gt;J42,"增长","下降")</f>
        <v>下降</v>
      </c>
      <c r="G43" s="34" t="str">
        <f>IF(J42=0,IF(E42&gt;0,1,""),C43/J42)</f>
        <v/>
      </c>
      <c r="H43" s="7" t="s">
        <v>317</v>
      </c>
    </row>
    <row r="44" spans="1:12" ht="36" customHeight="1">
      <c r="B44" s="92" t="s">
        <v>194</v>
      </c>
      <c r="C44" s="92"/>
      <c r="D44" s="92"/>
      <c r="E44" s="92"/>
      <c r="F44" s="92"/>
      <c r="G44" s="92"/>
      <c r="H44" s="92"/>
      <c r="I44" s="92"/>
      <c r="J44" s="92"/>
      <c r="K44" s="92"/>
      <c r="L44" s="92"/>
    </row>
    <row r="45" spans="1:12" ht="18" customHeight="1">
      <c r="A45" s="89" t="s">
        <v>427</v>
      </c>
      <c r="B45" s="89"/>
      <c r="C45" s="89"/>
      <c r="D45" s="89"/>
      <c r="E45" s="86">
        <f>_xlfn.IFNA(VLOOKUP(封面!B1,一般公共预算财政拨款支出决算具体情况!A:K,11,FALSE),"")</f>
        <v>0</v>
      </c>
      <c r="F45" s="86"/>
      <c r="G45" s="7" t="s">
        <v>179</v>
      </c>
      <c r="H45" s="87" t="s">
        <v>423</v>
      </c>
      <c r="I45" s="87"/>
      <c r="J45" s="86">
        <f>_xlfn.IFNA(VLOOKUP(封面!B1,一般公共预算财政拨款支出决算具体情况!A:L,12,FALSE),"")</f>
        <v>0</v>
      </c>
      <c r="K45" s="86"/>
      <c r="L45" s="11" t="s">
        <v>178</v>
      </c>
    </row>
    <row r="46" spans="1:12" ht="18" customHeight="1">
      <c r="A46" s="15"/>
      <c r="B46" s="15" t="str">
        <f>IF(E45&gt;J45,"增加","减少")</f>
        <v>减少</v>
      </c>
      <c r="C46" s="86">
        <f>ABS(E45-J45)</f>
        <v>0</v>
      </c>
      <c r="D46" s="86"/>
      <c r="E46" s="7" t="s">
        <v>179</v>
      </c>
      <c r="F46" s="15" t="str">
        <f>IF(E45&gt;J45,"增长","下降")</f>
        <v>下降</v>
      </c>
      <c r="G46" s="34" t="str">
        <f>IF(J45=0,IF(E45&gt;0,1,""),C46/J45)</f>
        <v/>
      </c>
      <c r="H46" s="7" t="s">
        <v>317</v>
      </c>
    </row>
    <row r="47" spans="1:12" ht="36" customHeight="1">
      <c r="B47" s="92" t="s">
        <v>194</v>
      </c>
      <c r="C47" s="92"/>
      <c r="D47" s="92"/>
      <c r="E47" s="92"/>
      <c r="F47" s="92"/>
      <c r="G47" s="92"/>
      <c r="H47" s="92"/>
      <c r="I47" s="92"/>
      <c r="J47" s="92"/>
      <c r="K47" s="92"/>
      <c r="L47" s="92"/>
    </row>
    <row r="48" spans="1:12" ht="18" customHeight="1">
      <c r="A48" s="89" t="s">
        <v>428</v>
      </c>
      <c r="B48" s="89"/>
      <c r="C48" s="89"/>
      <c r="D48" s="89"/>
      <c r="E48" s="86">
        <f>_xlfn.IFNA(VLOOKUP(封面!B1,一般公共预算财政拨款支出决算具体情况!A:M,13,FALSE),"")</f>
        <v>21080</v>
      </c>
      <c r="F48" s="86"/>
      <c r="G48" s="7" t="s">
        <v>179</v>
      </c>
      <c r="H48" s="87" t="s">
        <v>423</v>
      </c>
      <c r="I48" s="87"/>
      <c r="J48" s="86">
        <f>_xlfn.IFNA(VLOOKUP(封面!B1,一般公共预算财政拨款支出决算具体情况!A:N,14,FALSE),"")</f>
        <v>21080</v>
      </c>
      <c r="K48" s="86"/>
      <c r="L48" s="11" t="s">
        <v>178</v>
      </c>
    </row>
    <row r="49" spans="1:12" ht="18" customHeight="1">
      <c r="A49" s="15"/>
      <c r="B49" s="15" t="str">
        <f>IF(E48&gt;J48,"增加","减少")</f>
        <v>减少</v>
      </c>
      <c r="C49" s="86">
        <f>ABS(E48-J48)</f>
        <v>0</v>
      </c>
      <c r="D49" s="86"/>
      <c r="E49" s="7" t="s">
        <v>179</v>
      </c>
      <c r="F49" s="15" t="str">
        <f>IF(E48&gt;J48,"增长","下降")</f>
        <v>下降</v>
      </c>
      <c r="G49" s="34">
        <f>IF(J48=0,IF(E48&gt;0,1,""),C49/J48)</f>
        <v>0</v>
      </c>
      <c r="H49" s="7" t="s">
        <v>317</v>
      </c>
    </row>
    <row r="50" spans="1:12" ht="36" customHeight="1">
      <c r="B50" s="92" t="s">
        <v>194</v>
      </c>
      <c r="C50" s="92"/>
      <c r="D50" s="92"/>
      <c r="E50" s="92"/>
      <c r="F50" s="92"/>
      <c r="G50" s="92"/>
      <c r="H50" s="92"/>
      <c r="I50" s="92"/>
      <c r="J50" s="92"/>
      <c r="K50" s="92"/>
      <c r="L50" s="92"/>
    </row>
    <row r="51" spans="1:12" ht="18" customHeight="1">
      <c r="A51" s="88" t="s">
        <v>429</v>
      </c>
      <c r="B51" s="88"/>
      <c r="C51" s="88"/>
      <c r="D51" s="88"/>
      <c r="E51" s="86">
        <f>_xlfn.IFNA(VLOOKUP(封面!B1,一般公共预算财政拨款支出决算具体情况!A:O,15,FALSE),"")</f>
        <v>593170</v>
      </c>
      <c r="F51" s="86"/>
      <c r="G51" s="7" t="s">
        <v>179</v>
      </c>
      <c r="H51" s="87" t="s">
        <v>423</v>
      </c>
      <c r="I51" s="87"/>
      <c r="J51" s="86">
        <f>_xlfn.IFNA(VLOOKUP(封面!B1,一般公共预算财政拨款支出决算具体情况!A:P,16,FALSE),"")</f>
        <v>593170</v>
      </c>
      <c r="K51" s="86"/>
      <c r="L51" s="11" t="s">
        <v>178</v>
      </c>
    </row>
    <row r="52" spans="1:12" ht="18" customHeight="1">
      <c r="A52" s="15"/>
      <c r="B52" s="15" t="str">
        <f>IF(E51&gt;J51,"增加","减少")</f>
        <v>减少</v>
      </c>
      <c r="C52" s="86">
        <f>ABS(E51-J51)</f>
        <v>0</v>
      </c>
      <c r="D52" s="86"/>
      <c r="E52" s="7" t="s">
        <v>179</v>
      </c>
      <c r="F52" s="15" t="str">
        <f>IF(E51&gt;J51,"增长","下降")</f>
        <v>下降</v>
      </c>
      <c r="G52" s="34">
        <f>IF(J51=0,IF(E51&gt;0,1,""),C52/J51)</f>
        <v>0</v>
      </c>
      <c r="H52" s="7" t="s">
        <v>317</v>
      </c>
    </row>
    <row r="53" spans="1:12" ht="36" customHeight="1">
      <c r="B53" s="92" t="s">
        <v>194</v>
      </c>
      <c r="C53" s="92"/>
      <c r="D53" s="92"/>
      <c r="E53" s="92"/>
      <c r="F53" s="92"/>
      <c r="G53" s="92"/>
      <c r="H53" s="92"/>
      <c r="I53" s="92"/>
      <c r="J53" s="92"/>
      <c r="K53" s="92"/>
      <c r="L53" s="92"/>
    </row>
    <row r="54" spans="1:12" ht="18" customHeight="1">
      <c r="A54" s="96" t="s">
        <v>430</v>
      </c>
      <c r="B54" s="96"/>
      <c r="C54" s="96"/>
      <c r="D54" s="96"/>
      <c r="E54" s="86">
        <f>_xlfn.IFNA(VLOOKUP(封面!B1,一般公共预算财政拨款支出决算具体情况!A:Q,17,FALSE),"")</f>
        <v>245356.62</v>
      </c>
      <c r="F54" s="86"/>
      <c r="G54" s="7" t="s">
        <v>179</v>
      </c>
      <c r="H54" s="91" t="s">
        <v>431</v>
      </c>
      <c r="I54" s="91"/>
      <c r="J54" s="91"/>
      <c r="K54" s="91"/>
      <c r="L54" s="11"/>
    </row>
    <row r="55" spans="1:12" ht="18" customHeight="1">
      <c r="A55" s="88" t="s">
        <v>473</v>
      </c>
      <c r="B55" s="88"/>
      <c r="C55" s="88"/>
      <c r="D55" s="88"/>
      <c r="E55" s="86">
        <f>_xlfn.IFNA(VLOOKUP(封面!B1,一般公共预算财政拨款支出决算具体情况!A:S,19,FALSE),"")</f>
        <v>0</v>
      </c>
      <c r="F55" s="86"/>
      <c r="G55" s="7" t="s">
        <v>179</v>
      </c>
      <c r="H55" s="91" t="s">
        <v>433</v>
      </c>
      <c r="I55" s="91"/>
      <c r="J55" s="91"/>
      <c r="K55" s="91"/>
      <c r="L55" s="11"/>
    </row>
    <row r="56" spans="1:12" ht="36" customHeight="1">
      <c r="B56" s="92" t="s">
        <v>482</v>
      </c>
      <c r="C56" s="92"/>
      <c r="D56" s="92"/>
      <c r="E56" s="92"/>
      <c r="F56" s="92"/>
      <c r="G56" s="92"/>
      <c r="H56" s="92"/>
      <c r="I56" s="92"/>
      <c r="J56" s="92"/>
      <c r="K56" s="92"/>
      <c r="L56" s="92"/>
    </row>
    <row r="57" spans="1:12" ht="18" customHeight="1">
      <c r="A57" s="89" t="s">
        <v>432</v>
      </c>
      <c r="B57" s="89"/>
      <c r="C57" s="89"/>
      <c r="D57" s="89"/>
      <c r="E57" s="86">
        <f>_xlfn.IFNA(VLOOKUP(封面!B1,一般公共预算财政拨款支出决算具体情况!A:U,21,FALSE),"")</f>
        <v>245356.62</v>
      </c>
      <c r="F57" s="86"/>
      <c r="G57" s="7" t="s">
        <v>179</v>
      </c>
      <c r="H57" s="91" t="s">
        <v>433</v>
      </c>
      <c r="I57" s="91"/>
      <c r="J57" s="91"/>
      <c r="K57" s="91"/>
      <c r="L57" s="11"/>
    </row>
    <row r="58" spans="1:12" ht="36" customHeight="1">
      <c r="B58" s="92" t="s">
        <v>483</v>
      </c>
      <c r="C58" s="92"/>
      <c r="D58" s="92"/>
      <c r="E58" s="92"/>
      <c r="F58" s="92"/>
      <c r="G58" s="92"/>
      <c r="H58" s="92"/>
      <c r="I58" s="92"/>
      <c r="J58" s="92"/>
      <c r="K58" s="92"/>
      <c r="L58" s="92"/>
    </row>
    <row r="59" spans="1:12" ht="18" customHeight="1">
      <c r="A59" s="96" t="s">
        <v>434</v>
      </c>
      <c r="B59" s="96"/>
      <c r="C59" s="96"/>
      <c r="D59" s="96"/>
      <c r="E59" s="86">
        <f>_xlfn.IFNA(VLOOKUP(封面!B1,一般公共预算财政拨款支出决算具体情况!A:W,23,FALSE),"")</f>
        <v>1851524.48</v>
      </c>
      <c r="F59" s="86"/>
      <c r="G59" s="7" t="s">
        <v>179</v>
      </c>
      <c r="H59" s="87" t="s">
        <v>423</v>
      </c>
      <c r="I59" s="87"/>
      <c r="J59" s="86">
        <f>_xlfn.IFNA(VLOOKUP(封面!B1,一般公共预算财政拨款支出决算具体情况!A:X,24,FALSE),"")</f>
        <v>1884315.8</v>
      </c>
      <c r="K59" s="86"/>
      <c r="L59" s="11" t="s">
        <v>178</v>
      </c>
    </row>
    <row r="60" spans="1:12" ht="18" customHeight="1">
      <c r="B60" s="15" t="str">
        <f>IF(E59&gt;J59,"增加","减少")</f>
        <v>减少</v>
      </c>
      <c r="C60" s="86">
        <f>ABS(E59-J59)</f>
        <v>32791.320000000065</v>
      </c>
      <c r="D60" s="86"/>
      <c r="E60" s="7" t="s">
        <v>179</v>
      </c>
      <c r="F60" s="15" t="str">
        <f>IF(E59&gt;J59,"增长","下降")</f>
        <v>下降</v>
      </c>
      <c r="G60" s="34">
        <f>IF(J59=0,IF(E59&gt;0,1,""),C60/J59)</f>
        <v>1.7402242235616802E-2</v>
      </c>
      <c r="H60" s="7" t="s">
        <v>317</v>
      </c>
      <c r="I60" s="11" t="s">
        <v>206</v>
      </c>
    </row>
    <row r="61" spans="1:12" ht="18" customHeight="1">
      <c r="A61" s="88" t="s">
        <v>435</v>
      </c>
      <c r="B61" s="88"/>
      <c r="C61" s="88"/>
      <c r="D61" s="88"/>
      <c r="E61" s="86">
        <f>_xlfn.IFNA(VLOOKUP(封面!B1,一般公共预算财政拨款支出决算具体情况!A:Y,25,FALSE),"")</f>
        <v>1851524.48</v>
      </c>
      <c r="F61" s="86"/>
      <c r="G61" s="7" t="s">
        <v>179</v>
      </c>
      <c r="H61" s="87" t="s">
        <v>423</v>
      </c>
      <c r="I61" s="87"/>
      <c r="J61" s="86">
        <f>_xlfn.IFNA(VLOOKUP(封面!B1,一般公共预算财政拨款支出决算具体情况!A:Z,26,FALSE),"")</f>
        <v>1884315.8</v>
      </c>
      <c r="K61" s="86"/>
      <c r="L61" s="11" t="s">
        <v>178</v>
      </c>
    </row>
    <row r="62" spans="1:12" ht="18" customHeight="1">
      <c r="A62" s="15"/>
      <c r="B62" s="15" t="str">
        <f>IF(E61&gt;J61,"增加","减少")</f>
        <v>减少</v>
      </c>
      <c r="C62" s="86">
        <f>ABS(E61-J61)</f>
        <v>32791.320000000065</v>
      </c>
      <c r="D62" s="86"/>
      <c r="E62" s="7" t="s">
        <v>179</v>
      </c>
      <c r="F62" s="15" t="str">
        <f>IF(E61&gt;J61,"增长","下降")</f>
        <v>下降</v>
      </c>
      <c r="G62" s="34">
        <f>IF(J61=0,IF(E61&gt;0,1,""),C62/J61)</f>
        <v>1.7402242235616802E-2</v>
      </c>
      <c r="H62" s="7" t="s">
        <v>317</v>
      </c>
    </row>
    <row r="63" spans="1:12" ht="36" customHeight="1">
      <c r="B63" s="92" t="s">
        <v>484</v>
      </c>
      <c r="C63" s="92"/>
      <c r="D63" s="92"/>
      <c r="E63" s="92"/>
      <c r="F63" s="92"/>
      <c r="G63" s="92"/>
      <c r="H63" s="92"/>
      <c r="I63" s="92"/>
      <c r="J63" s="92"/>
      <c r="K63" s="92"/>
      <c r="L63" s="92"/>
    </row>
    <row r="64" spans="1:12" ht="18" customHeight="1">
      <c r="A64" s="88" t="s">
        <v>436</v>
      </c>
      <c r="B64" s="88"/>
      <c r="C64" s="88"/>
      <c r="D64" s="88"/>
      <c r="E64" s="86">
        <f>_xlfn.IFNA(VLOOKUP(封面!B1,一般公共预算财政拨款支出决算具体情况!A:AA,27,FALSE),"")</f>
        <v>0</v>
      </c>
      <c r="F64" s="86"/>
      <c r="G64" s="7" t="s">
        <v>179</v>
      </c>
      <c r="H64" s="87" t="s">
        <v>433</v>
      </c>
      <c r="I64" s="87"/>
      <c r="J64" s="86"/>
      <c r="K64" s="86"/>
      <c r="L64" s="11"/>
    </row>
    <row r="65" spans="1:12" ht="36" customHeight="1">
      <c r="B65" s="92" t="s">
        <v>194</v>
      </c>
      <c r="C65" s="92"/>
      <c r="D65" s="92"/>
      <c r="E65" s="92"/>
      <c r="F65" s="92"/>
      <c r="G65" s="92"/>
      <c r="H65" s="92"/>
      <c r="I65" s="92"/>
      <c r="J65" s="92"/>
      <c r="K65" s="92"/>
      <c r="L65" s="92"/>
    </row>
    <row r="66" spans="1:12" ht="18" customHeight="1">
      <c r="A66" s="96" t="s">
        <v>437</v>
      </c>
      <c r="B66" s="96"/>
      <c r="C66" s="96"/>
      <c r="D66" s="96"/>
      <c r="E66" s="86">
        <f>_xlfn.IFNA(VLOOKUP(封面!B1,一般公共预算财政拨款支出决算具体情况!A:AC,29,FALSE),"")</f>
        <v>944199.25</v>
      </c>
      <c r="F66" s="86"/>
      <c r="G66" s="7" t="s">
        <v>179</v>
      </c>
      <c r="H66" s="87" t="s">
        <v>423</v>
      </c>
      <c r="I66" s="87"/>
      <c r="J66" s="86">
        <f>_xlfn.IFNA(VLOOKUP(封面!B1,一般公共预算财政拨款支出决算具体情况!A:AD,30,FALSE),"")</f>
        <v>828115.3</v>
      </c>
      <c r="K66" s="86"/>
      <c r="L66" s="11" t="s">
        <v>178</v>
      </c>
    </row>
    <row r="67" spans="1:12" ht="18" customHeight="1">
      <c r="B67" s="15" t="str">
        <f>IF(E66&gt;J66,"增加","减少")</f>
        <v>增加</v>
      </c>
      <c r="C67" s="86">
        <f>ABS(E66-J66)</f>
        <v>116083.94999999995</v>
      </c>
      <c r="D67" s="86"/>
      <c r="E67" s="7" t="s">
        <v>179</v>
      </c>
      <c r="F67" s="15" t="str">
        <f>IF(E66&gt;J66,"增长","下降")</f>
        <v>增长</v>
      </c>
      <c r="G67" s="34">
        <f>IF(J66=0,IF(E66&gt;0,1,""),C67/J66)</f>
        <v>0.14017848722273329</v>
      </c>
      <c r="H67" s="7" t="s">
        <v>317</v>
      </c>
      <c r="I67" s="11" t="s">
        <v>206</v>
      </c>
    </row>
    <row r="68" spans="1:12" ht="18" customHeight="1">
      <c r="A68" s="88" t="s">
        <v>438</v>
      </c>
      <c r="B68" s="88"/>
      <c r="C68" s="88"/>
      <c r="D68" s="88"/>
      <c r="E68" s="86">
        <f>_xlfn.IFNA(VLOOKUP(封面!B1,一般公共预算财政拨款支出决算具体情况!A:AE,31,FALSE),"")</f>
        <v>944199.25</v>
      </c>
      <c r="F68" s="86"/>
      <c r="G68" s="7" t="s">
        <v>179</v>
      </c>
      <c r="H68" s="87" t="s">
        <v>423</v>
      </c>
      <c r="I68" s="87"/>
      <c r="J68" s="86">
        <f>_xlfn.IFNA(VLOOKUP(封面!B1,一般公共预算财政拨款支出决算具体情况!A:AF,32,FALSE),"")</f>
        <v>828115.3</v>
      </c>
      <c r="K68" s="86"/>
      <c r="L68" s="11" t="s">
        <v>178</v>
      </c>
    </row>
    <row r="69" spans="1:12" ht="18" customHeight="1">
      <c r="A69" s="15"/>
      <c r="B69" s="15" t="str">
        <f>IF(E68&gt;J68,"增加","减少")</f>
        <v>增加</v>
      </c>
      <c r="C69" s="86">
        <f>ABS(E68-J68)</f>
        <v>116083.94999999995</v>
      </c>
      <c r="D69" s="86"/>
      <c r="E69" s="7" t="s">
        <v>179</v>
      </c>
      <c r="F69" s="15" t="str">
        <f>IF(E68&gt;J68,"增长","下降")</f>
        <v>增长</v>
      </c>
      <c r="G69" s="34">
        <f>IF(J68=0,IF(E68&gt;0,1,""),C69/J68)</f>
        <v>0.14017848722273329</v>
      </c>
      <c r="H69" s="7" t="s">
        <v>317</v>
      </c>
    </row>
    <row r="70" spans="1:12" ht="36" customHeight="1">
      <c r="B70" s="92" t="s">
        <v>484</v>
      </c>
      <c r="C70" s="92"/>
      <c r="D70" s="92"/>
      <c r="E70" s="92"/>
      <c r="F70" s="92"/>
      <c r="G70" s="92"/>
      <c r="H70" s="92"/>
      <c r="I70" s="92"/>
      <c r="J70" s="92"/>
      <c r="K70" s="92"/>
      <c r="L70" s="92"/>
    </row>
    <row r="71" spans="1:12" ht="18" customHeight="1">
      <c r="A71" s="96" t="s">
        <v>439</v>
      </c>
      <c r="B71" s="96"/>
      <c r="C71" s="96"/>
      <c r="D71" s="96"/>
      <c r="E71" s="86">
        <f>_xlfn.IFNA(VLOOKUP(封面!B1,一般公共预算财政拨款支出决算具体情况!A:AG,33,FALSE),"")</f>
        <v>0</v>
      </c>
      <c r="F71" s="86"/>
      <c r="G71" s="7" t="s">
        <v>179</v>
      </c>
      <c r="H71" s="87" t="s">
        <v>423</v>
      </c>
      <c r="I71" s="87"/>
      <c r="J71" s="86">
        <f>_xlfn.IFNA(VLOOKUP(封面!B1,一般公共预算财政拨款支出决算具体情况!A:AH,34,FALSE),"")</f>
        <v>0</v>
      </c>
      <c r="K71" s="86"/>
      <c r="L71" s="11" t="s">
        <v>178</v>
      </c>
    </row>
    <row r="72" spans="1:12" ht="18" customHeight="1">
      <c r="B72" s="15" t="str">
        <f>IF(E71&gt;J71,"增加","减少")</f>
        <v>减少</v>
      </c>
      <c r="C72" s="86">
        <f>ABS(E71-J71)</f>
        <v>0</v>
      </c>
      <c r="D72" s="86"/>
      <c r="E72" s="7" t="s">
        <v>179</v>
      </c>
      <c r="F72" s="15" t="str">
        <f>IF(E71&gt;J71,"增长","下降")</f>
        <v>下降</v>
      </c>
      <c r="G72" s="34" t="str">
        <f>IF(J71=0,IF(E71&gt;0,1,""),C72/J71)</f>
        <v/>
      </c>
      <c r="H72" s="7" t="s">
        <v>314</v>
      </c>
      <c r="I72" s="11" t="s">
        <v>206</v>
      </c>
    </row>
    <row r="73" spans="1:12" ht="18" customHeight="1">
      <c r="A73" s="88" t="s">
        <v>440</v>
      </c>
      <c r="B73" s="88"/>
      <c r="C73" s="88"/>
      <c r="D73" s="88"/>
      <c r="E73" s="86">
        <f>_xlfn.IFNA(VLOOKUP(封面!B1,一般公共预算财政拨款支出决算具体情况!A:AI,35,FALSE),"")</f>
        <v>0</v>
      </c>
      <c r="F73" s="86"/>
      <c r="G73" s="7" t="s">
        <v>179</v>
      </c>
      <c r="H73" s="87" t="s">
        <v>423</v>
      </c>
      <c r="I73" s="87"/>
      <c r="J73" s="86">
        <f>_xlfn.IFNA(VLOOKUP(封面!B1,一般公共预算财政拨款支出决算具体情况!A:AJ,36,FALSE),"")</f>
        <v>0</v>
      </c>
      <c r="K73" s="86"/>
      <c r="L73" s="11" t="s">
        <v>178</v>
      </c>
    </row>
    <row r="74" spans="1:12" ht="18" customHeight="1">
      <c r="A74" s="58"/>
      <c r="B74" s="15" t="str">
        <f>IF(E73&gt;J73,"增加","减少")</f>
        <v>减少</v>
      </c>
      <c r="C74" s="86">
        <f>ABS(E73-J73)</f>
        <v>0</v>
      </c>
      <c r="D74" s="86"/>
      <c r="E74" s="7" t="s">
        <v>179</v>
      </c>
      <c r="F74" s="15" t="str">
        <f>IF(E73&gt;J73,"增长","下降")</f>
        <v>下降</v>
      </c>
      <c r="G74" s="34" t="str">
        <f>IF(J73=0,IF(E73&gt;0,1,""),C74/J73)</f>
        <v/>
      </c>
      <c r="H74" s="7" t="s">
        <v>314</v>
      </c>
      <c r="I74" s="57"/>
      <c r="J74" s="56"/>
      <c r="K74" s="56"/>
      <c r="L74" s="11"/>
    </row>
    <row r="75" spans="1:12" ht="36" customHeight="1">
      <c r="B75" s="92" t="s">
        <v>194</v>
      </c>
      <c r="C75" s="92"/>
      <c r="D75" s="92"/>
      <c r="E75" s="92"/>
      <c r="F75" s="92"/>
      <c r="G75" s="92"/>
      <c r="H75" s="92"/>
      <c r="I75" s="92"/>
      <c r="J75" s="92"/>
      <c r="K75" s="92"/>
      <c r="L75" s="92"/>
    </row>
    <row r="76" spans="1:12" ht="18" customHeight="1">
      <c r="A76" s="96" t="s">
        <v>474</v>
      </c>
      <c r="B76" s="96"/>
      <c r="C76" s="96"/>
      <c r="D76" s="96"/>
      <c r="E76" s="86">
        <f>_xlfn.IFNA(VLOOKUP(封面!B1,一般公共预算财政拨款支出决算具体情况!A:AK,37,FALSE),"")</f>
        <v>1582500</v>
      </c>
      <c r="F76" s="86"/>
      <c r="G76" s="7" t="s">
        <v>179</v>
      </c>
      <c r="H76" s="87" t="s">
        <v>423</v>
      </c>
      <c r="I76" s="87"/>
      <c r="J76" s="86">
        <f>_xlfn.IFNA(VLOOKUP(封面!B1,一般公共预算财政拨款支出决算具体情况!A:AL,38,FALSE),"")</f>
        <v>1460641.2</v>
      </c>
      <c r="K76" s="86"/>
      <c r="L76" s="11" t="s">
        <v>178</v>
      </c>
    </row>
    <row r="77" spans="1:12" ht="18" customHeight="1">
      <c r="B77" s="15" t="str">
        <f>IF(E76&gt;J76,"增加","减少")</f>
        <v>增加</v>
      </c>
      <c r="C77" s="86">
        <f>ABS(E76-J76)</f>
        <v>121858.80000000005</v>
      </c>
      <c r="D77" s="86"/>
      <c r="E77" s="7" t="s">
        <v>179</v>
      </c>
      <c r="F77" s="15" t="str">
        <f>IF(E76&gt;J76,"增长","下降")</f>
        <v>增长</v>
      </c>
      <c r="G77" s="34">
        <f>IF(J76=0,IF(E76&gt;0,1,""),C77/J76)</f>
        <v>8.3428291629730866E-2</v>
      </c>
      <c r="H77" s="7" t="s">
        <v>317</v>
      </c>
      <c r="I77" s="11" t="s">
        <v>206</v>
      </c>
    </row>
    <row r="78" spans="1:12" ht="18" customHeight="1">
      <c r="A78" s="88" t="s">
        <v>441</v>
      </c>
      <c r="B78" s="88"/>
      <c r="C78" s="88"/>
      <c r="D78" s="88"/>
      <c r="E78" s="86">
        <f>_xlfn.IFNA(VLOOKUP(封面!B1,一般公共预算财政拨款支出决算具体情况!A:AM,39,FALSE),"")</f>
        <v>1582500</v>
      </c>
      <c r="F78" s="86"/>
      <c r="G78" s="7" t="s">
        <v>179</v>
      </c>
      <c r="H78" s="87" t="s">
        <v>423</v>
      </c>
      <c r="I78" s="87"/>
      <c r="J78" s="86">
        <f>_xlfn.IFNA(VLOOKUP(封面!B1,一般公共预算财政拨款支出决算具体情况!A:AN,40,FALSE),"")</f>
        <v>1460641.2</v>
      </c>
      <c r="K78" s="86"/>
      <c r="L78" s="11" t="s">
        <v>178</v>
      </c>
    </row>
    <row r="79" spans="1:12" ht="18" customHeight="1">
      <c r="A79" s="15"/>
      <c r="B79" s="15" t="str">
        <f>IF(E78&gt;J78,"增加","减少")</f>
        <v>增加</v>
      </c>
      <c r="C79" s="86">
        <f>ABS(E78-J78)</f>
        <v>121858.80000000005</v>
      </c>
      <c r="D79" s="86"/>
      <c r="E79" s="7" t="s">
        <v>179</v>
      </c>
      <c r="F79" s="15" t="str">
        <f>IF(E78&gt;J78,"增长","下降")</f>
        <v>增长</v>
      </c>
      <c r="G79" s="34">
        <f>IF(J78=0,IF(E78&gt;0,1,""),C79/J78)</f>
        <v>8.3428291629730866E-2</v>
      </c>
      <c r="H79" s="7" t="s">
        <v>317</v>
      </c>
    </row>
    <row r="80" spans="1:12" ht="36" customHeight="1">
      <c r="B80" s="92" t="s">
        <v>485</v>
      </c>
      <c r="C80" s="92"/>
      <c r="D80" s="92"/>
      <c r="E80" s="92"/>
      <c r="F80" s="92"/>
      <c r="G80" s="92"/>
      <c r="H80" s="92"/>
      <c r="I80" s="92"/>
      <c r="J80" s="92"/>
      <c r="K80" s="92"/>
      <c r="L80" s="92"/>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9" t="s">
        <v>442</v>
      </c>
      <c r="B84" s="89"/>
      <c r="C84" s="89"/>
      <c r="D84" s="89"/>
      <c r="E84" s="89"/>
      <c r="F84" s="86">
        <f>_xlfn.IFNA(VLOOKUP(封面!B1,'2021决算导出'!A:W,23,FALSE),"")</f>
        <v>0</v>
      </c>
      <c r="G84" s="86"/>
      <c r="H84" s="7" t="s">
        <v>179</v>
      </c>
      <c r="I84" s="91" t="s">
        <v>197</v>
      </c>
      <c r="J84" s="91"/>
      <c r="K84" s="91"/>
      <c r="L84" s="91"/>
      <c r="M84" s="91"/>
    </row>
    <row r="85" spans="1:13" ht="18" customHeight="1">
      <c r="A85" s="89" t="s">
        <v>209</v>
      </c>
      <c r="B85" s="89"/>
      <c r="C85" s="89"/>
      <c r="D85" s="86">
        <f>_xlfn.IFNA(VLOOKUP(封面!B1,'2021决算导出'!A:Y,25,FALSE),"")</f>
        <v>0</v>
      </c>
      <c r="E85" s="86"/>
      <c r="F85" s="7" t="s">
        <v>179</v>
      </c>
      <c r="G85" s="87" t="s">
        <v>199</v>
      </c>
      <c r="H85" s="87"/>
      <c r="I85" s="13">
        <v>100</v>
      </c>
      <c r="J85" s="7" t="s">
        <v>183</v>
      </c>
      <c r="K85" s="9"/>
      <c r="L85" s="9"/>
      <c r="M85" s="9"/>
    </row>
    <row r="86" spans="1:13" ht="18" customHeight="1">
      <c r="A86" s="7" t="s">
        <v>210</v>
      </c>
    </row>
    <row r="87" spans="1:13" ht="18" customHeight="1">
      <c r="A87" s="91" t="s">
        <v>443</v>
      </c>
      <c r="B87" s="91"/>
      <c r="C87" s="91"/>
      <c r="D87" s="91"/>
      <c r="E87" s="86">
        <f>_xlfn.IFNA(VLOOKUP(封面!B1,'2021决算导出'!A:Y,25,FALSE),"")</f>
        <v>0</v>
      </c>
      <c r="F87" s="86"/>
      <c r="G87" s="7" t="s">
        <v>179</v>
      </c>
      <c r="H87" s="87" t="s">
        <v>423</v>
      </c>
      <c r="I87" s="87"/>
      <c r="J87" s="86">
        <f>_xlfn.IFNA(VLOOKUP(封面!B1,'2021决算导出'!A:Z,26,FALSE),"")</f>
        <v>0</v>
      </c>
      <c r="K87" s="86"/>
      <c r="L87" s="11" t="s">
        <v>178</v>
      </c>
    </row>
    <row r="88" spans="1:13" ht="18" customHeight="1">
      <c r="B88" s="15" t="str">
        <f>IF(E87&gt;J87,"增加","减少")</f>
        <v>减少</v>
      </c>
      <c r="C88" s="86">
        <f>ABS(E87-J87)</f>
        <v>0</v>
      </c>
      <c r="D88" s="86"/>
      <c r="E88" s="7" t="s">
        <v>179</v>
      </c>
      <c r="F88" s="15" t="str">
        <f>IF(E87&gt;J87,"增长","下降")</f>
        <v>下降</v>
      </c>
      <c r="G88" s="34" t="str">
        <f>IF(J87=0,IF(E87&gt;0,1,""),C88/J87)</f>
        <v/>
      </c>
      <c r="H88" s="7" t="s">
        <v>317</v>
      </c>
      <c r="I88" s="11" t="s">
        <v>206</v>
      </c>
    </row>
    <row r="89" spans="1:13" ht="18" customHeight="1">
      <c r="A89" s="88" t="s">
        <v>444</v>
      </c>
      <c r="B89" s="88"/>
      <c r="C89" s="88"/>
      <c r="D89" s="88"/>
      <c r="E89" s="86">
        <f>E87</f>
        <v>0</v>
      </c>
      <c r="F89" s="86"/>
      <c r="G89" s="7" t="s">
        <v>179</v>
      </c>
      <c r="H89" s="87" t="s">
        <v>423</v>
      </c>
      <c r="I89" s="87"/>
      <c r="J89" s="86">
        <f>J87</f>
        <v>0</v>
      </c>
      <c r="K89" s="86"/>
      <c r="L89" s="11" t="s">
        <v>178</v>
      </c>
    </row>
    <row r="90" spans="1:13" ht="18" customHeight="1">
      <c r="A90" s="15"/>
      <c r="B90" s="15" t="str">
        <f>B88</f>
        <v>减少</v>
      </c>
      <c r="C90" s="86">
        <f>C88</f>
        <v>0</v>
      </c>
      <c r="D90" s="86"/>
      <c r="E90" s="7" t="s">
        <v>179</v>
      </c>
      <c r="F90" s="15" t="str">
        <f>F88</f>
        <v>下降</v>
      </c>
      <c r="G90" s="34" t="str">
        <f>IF(J89=0,IF(E89&gt;0,1,""),C90/J89)</f>
        <v/>
      </c>
      <c r="H90" s="7" t="s">
        <v>317</v>
      </c>
    </row>
    <row r="91" spans="1:13" ht="36" customHeight="1">
      <c r="B91" s="92" t="s">
        <v>194</v>
      </c>
      <c r="C91" s="92"/>
      <c r="D91" s="92"/>
      <c r="E91" s="92"/>
      <c r="F91" s="92"/>
      <c r="G91" s="92"/>
      <c r="H91" s="92"/>
      <c r="I91" s="92"/>
      <c r="J91" s="92"/>
      <c r="K91" s="92"/>
      <c r="L91" s="92"/>
    </row>
    <row r="92" spans="1:13" ht="18" customHeight="1">
      <c r="A92" s="6" t="s">
        <v>211</v>
      </c>
    </row>
    <row r="93" spans="1:13" ht="18" customHeight="1">
      <c r="A93" s="7" t="s">
        <v>212</v>
      </c>
    </row>
    <row r="94" spans="1:13" ht="18" customHeight="1">
      <c r="A94" s="6" t="s">
        <v>213</v>
      </c>
    </row>
    <row r="95" spans="1:13" ht="18" customHeight="1">
      <c r="A95" s="7" t="s">
        <v>445</v>
      </c>
      <c r="G95" s="86">
        <f>_xlfn.IFNA(VLOOKUP(封面!B1,'2021决算导出'!A:AA,27,FALSE),"")</f>
        <v>12883782.869999999</v>
      </c>
      <c r="H95" s="86"/>
      <c r="I95" s="11" t="s">
        <v>179</v>
      </c>
    </row>
    <row r="96" spans="1:13" ht="130.15" customHeight="1">
      <c r="A96" s="92" t="s">
        <v>214</v>
      </c>
      <c r="B96" s="92"/>
      <c r="C96" s="92"/>
      <c r="D96" s="92"/>
      <c r="E96" s="92"/>
      <c r="F96" s="92"/>
      <c r="G96" s="92"/>
      <c r="H96" s="92"/>
      <c r="I96" s="92"/>
      <c r="J96" s="92"/>
      <c r="K96" s="92"/>
      <c r="L96" s="92"/>
      <c r="M96" s="92"/>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19"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4" t="s">
        <v>414</v>
      </c>
      <c r="B1" s="84"/>
      <c r="C1" s="84"/>
      <c r="D1" s="84"/>
      <c r="E1" s="84"/>
      <c r="F1" s="84"/>
      <c r="G1" s="84"/>
      <c r="H1" s="84"/>
      <c r="I1" s="84"/>
      <c r="J1" s="84"/>
      <c r="K1" s="84"/>
      <c r="L1" s="84"/>
      <c r="M1" s="84"/>
      <c r="N1" s="84"/>
    </row>
    <row r="2" spans="1:14" ht="18" customHeight="1">
      <c r="A2" s="6" t="s">
        <v>215</v>
      </c>
    </row>
    <row r="3" spans="1:14" ht="18" customHeight="1">
      <c r="A3" s="16" t="str">
        <f>IF(_xlfn.IFNA(VLOOKUP(封面!B1,'2021决算导出'!A:AB,28,FALSE),"")=0,"本年度无此项支出。","")</f>
        <v/>
      </c>
    </row>
    <row r="4" spans="1:14" ht="18" customHeight="1">
      <c r="A4" s="7" t="s">
        <v>446</v>
      </c>
      <c r="F4" s="86">
        <f>_xlfn.IFNA(VLOOKUP(封面!B1,'2021决算导出'!A:AB,28,FALSE),"")</f>
        <v>3379.32</v>
      </c>
      <c r="G4" s="86"/>
      <c r="H4" s="7" t="s">
        <v>179</v>
      </c>
      <c r="I4" s="7" t="s">
        <v>447</v>
      </c>
    </row>
    <row r="5" spans="1:14" ht="18" customHeight="1">
      <c r="A5" s="98">
        <f>_xlfn.IFNA(VLOOKUP(封面!B1,'2021决算导出'!A:AC,29,FALSE),"")</f>
        <v>27000</v>
      </c>
      <c r="B5" s="98"/>
      <c r="C5" s="7" t="s">
        <v>178</v>
      </c>
      <c r="D5" s="30" t="str">
        <f>IF(F4&gt;A5,"增加","减少")</f>
        <v>减少</v>
      </c>
      <c r="E5" s="98">
        <f>ABS(F4-A5)</f>
        <v>23620.68</v>
      </c>
      <c r="F5" s="98"/>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7" t="s">
        <v>449</v>
      </c>
      <c r="B9" s="97"/>
      <c r="C9" s="97"/>
      <c r="D9" s="97"/>
      <c r="E9" s="97"/>
      <c r="F9" s="97"/>
      <c r="G9" s="97"/>
      <c r="H9" s="97"/>
      <c r="I9" s="97"/>
      <c r="J9" s="97"/>
      <c r="K9" s="97"/>
      <c r="L9" s="97"/>
      <c r="M9" s="97"/>
      <c r="N9" s="97"/>
    </row>
    <row r="10" spans="1:14" ht="18" customHeight="1">
      <c r="A10" s="7" t="s">
        <v>220</v>
      </c>
    </row>
    <row r="11" spans="1:14" ht="18" customHeight="1">
      <c r="A11" s="89" t="s">
        <v>450</v>
      </c>
      <c r="B11" s="89"/>
      <c r="C11" s="35">
        <f>_xlfn.IFNA(VLOOKUP(封面!B1,'2021决算导出'!A:AI,35,FALSE),"")</f>
        <v>3379.32</v>
      </c>
      <c r="D11" s="7" t="s">
        <v>179</v>
      </c>
      <c r="E11" s="89" t="s">
        <v>451</v>
      </c>
      <c r="F11" s="89"/>
      <c r="G11" s="89"/>
      <c r="H11" s="98">
        <f>_xlfn.IFNA(VLOOKUP(封面!B1,'2021决算导出'!A:AJ,36,FALSE),"")</f>
        <v>27000</v>
      </c>
      <c r="I11" s="98"/>
      <c r="J11" s="16" t="s">
        <v>178</v>
      </c>
      <c r="K11" s="30" t="str">
        <f>IF(C11&gt;H11,"增加","减少")</f>
        <v>减少</v>
      </c>
      <c r="L11" s="98">
        <f>ABS(C11-H11)</f>
        <v>23620.68</v>
      </c>
      <c r="M11" s="98"/>
      <c r="N11" s="7" t="s">
        <v>216</v>
      </c>
    </row>
    <row r="12" spans="1:14" ht="18" customHeight="1">
      <c r="A12" s="89" t="s">
        <v>452</v>
      </c>
      <c r="B12" s="89"/>
      <c r="C12" s="89"/>
      <c r="D12" s="89"/>
      <c r="E12" s="89"/>
      <c r="F12" s="98">
        <f>_xlfn.IFNA(VLOOKUP(封面!B1,'2021决算导出'!A:AK,37,FALSE),"")</f>
        <v>0</v>
      </c>
      <c r="G12" s="98"/>
      <c r="H12" s="17" t="s">
        <v>179</v>
      </c>
      <c r="I12" s="89" t="s">
        <v>451</v>
      </c>
      <c r="J12" s="89"/>
      <c r="K12" s="89"/>
      <c r="L12" s="98">
        <f>_xlfn.IFNA(VLOOKUP(封面!B1,'2021决算导出'!A:AL,38,FALSE),"")</f>
        <v>0</v>
      </c>
      <c r="M12" s="98"/>
      <c r="N12" s="7" t="s">
        <v>178</v>
      </c>
    </row>
    <row r="13" spans="1:14" ht="18" customHeight="1">
      <c r="A13" s="15" t="str">
        <f>IF(F12&gt;L12,"增加","减少")</f>
        <v>减少</v>
      </c>
      <c r="B13" s="98">
        <f>ABS(F12-L12)</f>
        <v>0</v>
      </c>
      <c r="C13" s="98"/>
      <c r="D13" s="7" t="s">
        <v>216</v>
      </c>
      <c r="H13" s="98"/>
      <c r="I13" s="98"/>
      <c r="J13" s="16"/>
    </row>
    <row r="14" spans="1:14" ht="36" customHeight="1">
      <c r="A14" s="92" t="s">
        <v>486</v>
      </c>
      <c r="B14" s="92"/>
      <c r="C14" s="92"/>
      <c r="D14" s="92"/>
      <c r="E14" s="92"/>
      <c r="F14" s="92"/>
      <c r="G14" s="92"/>
      <c r="H14" s="92"/>
      <c r="I14" s="92"/>
      <c r="J14" s="92"/>
      <c r="K14" s="92"/>
      <c r="L14" s="92"/>
      <c r="M14" s="92"/>
      <c r="N14" s="92"/>
    </row>
    <row r="15" spans="1:14" ht="18" customHeight="1">
      <c r="A15" s="89" t="s">
        <v>453</v>
      </c>
      <c r="B15" s="89"/>
      <c r="C15" s="89"/>
      <c r="D15" s="8">
        <f>_xlfn.IFNA(VLOOKUP(封面!B1,'2021决算导出'!A:AM,39,FALSE),"")</f>
        <v>0</v>
      </c>
      <c r="E15" s="7" t="s">
        <v>221</v>
      </c>
      <c r="F15" s="89" t="s">
        <v>222</v>
      </c>
      <c r="G15" s="89"/>
      <c r="H15" s="98">
        <f>IF(D15=0,0,F12/D15)</f>
        <v>0</v>
      </c>
      <c r="I15" s="98"/>
      <c r="J15" s="7" t="s">
        <v>216</v>
      </c>
    </row>
    <row r="16" spans="1:14" ht="18" customHeight="1">
      <c r="A16" s="87" t="s">
        <v>454</v>
      </c>
      <c r="B16" s="87"/>
      <c r="C16" s="87"/>
      <c r="D16" s="87"/>
      <c r="E16" s="87"/>
      <c r="F16" s="98">
        <f>_xlfn.IFNA(VLOOKUP(封面!B1,'2021决算导出'!A:AO,41,FALSE),"")</f>
        <v>3379.32</v>
      </c>
      <c r="G16" s="98" t="s">
        <v>179</v>
      </c>
      <c r="H16" s="7" t="s">
        <v>179</v>
      </c>
      <c r="I16" s="7" t="s">
        <v>451</v>
      </c>
      <c r="L16" s="98">
        <f>_xlfn.IFNA(VLOOKUP(封面!B1,'2021决算导出'!A:AP,42,FALSE),"")</f>
        <v>27000</v>
      </c>
      <c r="M16" s="98" t="s">
        <v>179</v>
      </c>
      <c r="N16" s="7" t="s">
        <v>179</v>
      </c>
    </row>
    <row r="17" spans="1:14" ht="18" customHeight="1">
      <c r="A17" s="15" t="str">
        <f>IF(F16&gt;L16,"增加","减少")</f>
        <v>减少</v>
      </c>
      <c r="B17" s="98">
        <f>ABS(F16-L16)</f>
        <v>23620.68</v>
      </c>
      <c r="C17" s="98"/>
      <c r="D17" s="7" t="s">
        <v>216</v>
      </c>
    </row>
    <row r="18" spans="1:14" ht="36" customHeight="1">
      <c r="A18" s="92" t="s">
        <v>223</v>
      </c>
      <c r="B18" s="92"/>
      <c r="C18" s="92"/>
      <c r="D18" s="92"/>
      <c r="E18" s="92"/>
      <c r="F18" s="92"/>
      <c r="G18" s="92"/>
      <c r="H18" s="92"/>
      <c r="I18" s="92"/>
      <c r="J18" s="92"/>
      <c r="K18" s="92"/>
      <c r="L18" s="92"/>
      <c r="M18" s="92"/>
      <c r="N18" s="92"/>
    </row>
    <row r="19" spans="1:14" ht="18" customHeight="1">
      <c r="A19" s="89" t="s">
        <v>455</v>
      </c>
      <c r="B19" s="89"/>
      <c r="C19" s="89"/>
      <c r="D19" s="89"/>
      <c r="E19" s="89"/>
      <c r="F19" s="89"/>
      <c r="G19" s="98">
        <f>_xlfn.IFNA(VLOOKUP(封面!B1,'2021决算导出'!A:AQ,43,FALSE),"")</f>
        <v>0</v>
      </c>
      <c r="H19" s="98" t="s">
        <v>179</v>
      </c>
      <c r="I19" s="7" t="s">
        <v>179</v>
      </c>
      <c r="J19" s="7" t="s">
        <v>224</v>
      </c>
      <c r="L19" s="98">
        <f>_xlfn.IFNA(VLOOKUP(封面!B1,'2021决算导出'!A:AR,44,FALSE),"")</f>
        <v>1549.55</v>
      </c>
      <c r="M19" s="98" t="s">
        <v>179</v>
      </c>
      <c r="N19" s="7" t="s">
        <v>179</v>
      </c>
    </row>
    <row r="20" spans="1:14" ht="18" customHeight="1">
      <c r="A20" s="89" t="s">
        <v>225</v>
      </c>
      <c r="B20" s="89"/>
      <c r="C20" s="98">
        <f>_xlfn.IFNA(VLOOKUP(封面!B1,'2021决算导出'!A:AS,45,FALSE),"")</f>
        <v>1829.77</v>
      </c>
      <c r="D20" s="98" t="s">
        <v>179</v>
      </c>
      <c r="E20" s="7" t="s">
        <v>179</v>
      </c>
      <c r="F20" s="89" t="s">
        <v>226</v>
      </c>
      <c r="G20" s="89"/>
      <c r="H20" s="89"/>
      <c r="I20" s="98">
        <f>_xlfn.IFNA(VLOOKUP(封面!B1,'2021决算导出'!A:AT,46,FALSE),"")</f>
        <v>0</v>
      </c>
      <c r="J20" s="98" t="s">
        <v>179</v>
      </c>
      <c r="K20" s="7" t="s">
        <v>216</v>
      </c>
    </row>
    <row r="21" spans="1:14" ht="18" customHeight="1">
      <c r="A21" s="89" t="s">
        <v>456</v>
      </c>
      <c r="B21" s="89"/>
      <c r="C21" s="89"/>
      <c r="D21" s="8">
        <f>_xlfn.IFNA(VLOOKUP(封面!B1,'2021决算导出'!A:AU,47,FALSE),"")</f>
        <v>1</v>
      </c>
      <c r="E21" s="91" t="s">
        <v>408</v>
      </c>
      <c r="F21" s="91"/>
      <c r="G21" s="91"/>
      <c r="H21" s="91"/>
      <c r="I21" s="91"/>
      <c r="J21" s="91"/>
      <c r="K21" s="91"/>
      <c r="L21" s="91"/>
      <c r="M21" s="54">
        <f>F16/D21</f>
        <v>3379.32</v>
      </c>
      <c r="N21" s="7" t="s">
        <v>216</v>
      </c>
    </row>
    <row r="22" spans="1:14" ht="18" customHeight="1">
      <c r="A22" s="6" t="s">
        <v>227</v>
      </c>
    </row>
    <row r="23" spans="1:14" ht="18" customHeight="1">
      <c r="A23" s="7" t="s">
        <v>228</v>
      </c>
    </row>
    <row r="24" spans="1:14" ht="18" customHeight="1">
      <c r="A24" s="6" t="s">
        <v>229</v>
      </c>
    </row>
    <row r="25" spans="1:14" ht="18" customHeight="1">
      <c r="A25" s="89" t="s">
        <v>457</v>
      </c>
      <c r="B25" s="89"/>
      <c r="C25" s="89"/>
      <c r="D25" s="89"/>
      <c r="E25" s="86">
        <f>_xlfn.IFNA(VLOOKUP(封面!B1,'2021决算导出'!A:AW,49,FALSE),"")</f>
        <v>955184.7</v>
      </c>
      <c r="F25" s="86"/>
      <c r="G25" s="7" t="s">
        <v>179</v>
      </c>
      <c r="H25" s="89" t="s">
        <v>230</v>
      </c>
      <c r="I25" s="89"/>
      <c r="J25" s="89"/>
      <c r="K25" s="89"/>
      <c r="L25" s="86">
        <f>_xlfn.IFNA(VLOOKUP(封面!B1,'2021决算导出'!A:AX,50,FALSE),"")</f>
        <v>70540</v>
      </c>
      <c r="M25" s="86" t="s">
        <v>179</v>
      </c>
      <c r="N25" s="7" t="s">
        <v>179</v>
      </c>
    </row>
    <row r="26" spans="1:14" ht="18" customHeight="1">
      <c r="A26" s="89" t="s">
        <v>231</v>
      </c>
      <c r="B26" s="89"/>
      <c r="C26" s="89"/>
      <c r="D26" s="86">
        <f>_xlfn.IFNA(VLOOKUP(封面!B1,'2021决算导出'!A:AY,51,FALSE),"")</f>
        <v>0</v>
      </c>
      <c r="E26" s="86" t="s">
        <v>179</v>
      </c>
      <c r="F26" s="7" t="s">
        <v>179</v>
      </c>
      <c r="G26" s="89" t="s">
        <v>232</v>
      </c>
      <c r="H26" s="89"/>
      <c r="I26" s="89"/>
      <c r="J26" s="86">
        <f>_xlfn.IFNA(VLOOKUP(封面!B1,'2021决算导出'!A:AZ,52,FALSE),"")</f>
        <v>884645</v>
      </c>
      <c r="K26" s="86" t="s">
        <v>179</v>
      </c>
      <c r="L26" s="7" t="s">
        <v>216</v>
      </c>
    </row>
    <row r="27" spans="1:14" ht="18" customHeight="1">
      <c r="A27" s="89" t="s">
        <v>233</v>
      </c>
      <c r="B27" s="89"/>
      <c r="C27" s="89"/>
      <c r="D27" s="89"/>
      <c r="E27" s="86">
        <f>_xlfn.IFNA(VLOOKUP(封面!B1,'2021决算导出'!A:BA,53,FALSE),"")</f>
        <v>0</v>
      </c>
      <c r="F27" s="86" t="s">
        <v>179</v>
      </c>
      <c r="G27" s="7" t="s">
        <v>179</v>
      </c>
      <c r="H27" s="87" t="s">
        <v>234</v>
      </c>
      <c r="I27" s="87"/>
      <c r="J27" s="87"/>
      <c r="K27" s="29">
        <f>E27/$E$25</f>
        <v>0</v>
      </c>
      <c r="L27" s="18" t="s">
        <v>315</v>
      </c>
      <c r="M27" s="7" t="s">
        <v>409</v>
      </c>
    </row>
    <row r="28" spans="1:14" ht="18" customHeight="1">
      <c r="A28" s="89" t="s">
        <v>235</v>
      </c>
      <c r="B28" s="89"/>
      <c r="C28" s="89"/>
      <c r="D28" s="89"/>
      <c r="E28" s="86">
        <f>_xlfn.IFNA(VLOOKUP(封面!B1,'2021决算导出'!A:BB,54,FALSE),"")</f>
        <v>0</v>
      </c>
      <c r="F28" s="86" t="s">
        <v>179</v>
      </c>
      <c r="G28" s="7" t="s">
        <v>179</v>
      </c>
      <c r="H28" s="87" t="s">
        <v>234</v>
      </c>
      <c r="I28" s="87"/>
      <c r="J28" s="87"/>
      <c r="K28" s="29">
        <f>E28/$E$25</f>
        <v>0</v>
      </c>
      <c r="L28" s="18" t="s">
        <v>317</v>
      </c>
    </row>
    <row r="29" spans="1:14" ht="18" customHeight="1">
      <c r="A29" s="6" t="s">
        <v>236</v>
      </c>
    </row>
    <row r="30" spans="1:14" ht="18" customHeight="1">
      <c r="A30" s="89" t="s">
        <v>458</v>
      </c>
      <c r="B30" s="89"/>
      <c r="C30" s="8">
        <f>_xlfn.IFNA(VLOOKUP(封面!B1,'2021决算导出'!A:BC,55,FALSE),"")</f>
        <v>1</v>
      </c>
      <c r="D30" s="7" t="s">
        <v>237</v>
      </c>
      <c r="M30" s="98">
        <f>_xlfn.IFNA(VLOOKUP(封面!B1,'2021决算导出'!A:BD,56,FALSE),"")</f>
        <v>136573</v>
      </c>
      <c r="N30" s="98" t="s">
        <v>179</v>
      </c>
    </row>
    <row r="31" spans="1:14" ht="18" customHeight="1">
      <c r="A31" s="12" t="s">
        <v>238</v>
      </c>
      <c r="B31" s="89" t="s">
        <v>239</v>
      </c>
      <c r="C31" s="89"/>
      <c r="D31" s="89"/>
      <c r="E31" s="89"/>
      <c r="F31" s="89"/>
      <c r="G31" s="8">
        <f>_xlfn.IFNA(VLOOKUP(封面!B1,'2021决算导出'!A:BE,57,FALSE),"")</f>
        <v>8</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92" t="s">
        <v>475</v>
      </c>
      <c r="B36" s="92"/>
      <c r="C36" s="92"/>
      <c r="D36" s="92"/>
      <c r="E36" s="92"/>
      <c r="F36" s="92"/>
      <c r="G36" s="92"/>
      <c r="H36" s="92"/>
      <c r="I36" s="92"/>
      <c r="J36" s="92"/>
      <c r="K36" s="92"/>
      <c r="L36" s="92"/>
      <c r="M36" s="92"/>
      <c r="N36" s="92"/>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4" t="s">
        <v>477</v>
      </c>
      <c r="B10" s="84"/>
      <c r="C10" s="84"/>
      <c r="D10" s="84"/>
      <c r="E10" s="84"/>
      <c r="F10" s="84"/>
      <c r="G10" s="84"/>
      <c r="H10" s="84"/>
      <c r="I10" s="84"/>
      <c r="J10" s="84"/>
      <c r="K10" s="84"/>
      <c r="L10" s="84"/>
      <c r="M10" s="84"/>
      <c r="N10" s="84"/>
    </row>
    <row r="11" spans="1:14" ht="78" customHeight="1">
      <c r="A11" s="85" t="s">
        <v>478</v>
      </c>
      <c r="B11" s="85"/>
      <c r="C11" s="85"/>
      <c r="D11" s="85"/>
      <c r="E11" s="85"/>
      <c r="F11" s="85"/>
      <c r="G11" s="85"/>
      <c r="H11" s="85"/>
      <c r="I11" s="85"/>
      <c r="J11" s="85"/>
      <c r="K11" s="85"/>
      <c r="L11" s="85"/>
      <c r="M11" s="85"/>
      <c r="N11" s="8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2022-09-02T02:58:55Z</dcterms:modified>
</cp:coreProperties>
</file>