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4" i="5"/>
  <c r="A11" i="1"/>
  <c r="D10" i="5"/>
  <c r="J10" i="5" s="1"/>
  <c r="H10" i="5" l="1"/>
  <c r="K10" i="5" s="1"/>
  <c r="G10" i="5"/>
  <c r="G6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s="1"/>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702" i="10" l="1"/>
  <c r="S60" i="11"/>
  <c r="T60" i="11"/>
  <c r="C605" i="10"/>
  <c r="S52" i="11"/>
  <c r="T52" i="11"/>
  <c r="C901" i="10"/>
  <c r="S79" i="11"/>
  <c r="T79" i="11"/>
  <c r="C1363" i="10"/>
  <c r="S120" i="11"/>
  <c r="T120" i="11"/>
  <c r="C1527" i="10"/>
  <c r="S136" i="11"/>
  <c r="T136" i="11"/>
  <c r="C109" i="10"/>
  <c r="S11" i="11"/>
  <c r="T11" i="11"/>
  <c r="C839" i="10"/>
  <c r="S73" i="11"/>
  <c r="T73" i="11"/>
  <c r="C871" i="10"/>
  <c r="S76" i="11"/>
  <c r="E46" i="5" s="1"/>
  <c r="T76" i="11"/>
  <c r="C1255" i="10"/>
  <c r="S111" i="11"/>
  <c r="T111" i="11"/>
  <c r="C1708" i="10"/>
  <c r="T153" i="11"/>
  <c r="S153" i="11"/>
  <c r="C31" i="10"/>
  <c r="S5" i="11"/>
  <c r="T5"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5" i="10"/>
  <c r="S3" i="11"/>
  <c r="T3" i="11"/>
  <c r="C84" i="10"/>
  <c r="S9" i="11"/>
  <c r="T9"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T122" i="11"/>
  <c r="S122" i="11"/>
  <c r="C1396" i="10"/>
  <c r="S123" i="11"/>
  <c r="T123" i="11"/>
  <c r="C1419" i="10"/>
  <c r="T125" i="11"/>
  <c r="S125" i="11"/>
  <c r="C1449" i="10"/>
  <c r="S128" i="11"/>
  <c r="T128" i="11"/>
  <c r="C1518" i="10"/>
  <c r="T135" i="11"/>
  <c r="S135" i="11"/>
  <c r="C1547" i="10"/>
  <c r="S138" i="11"/>
  <c r="T138" i="11"/>
  <c r="C1558" i="10"/>
  <c r="T139" i="11"/>
  <c r="S139" i="11"/>
  <c r="C1637" i="10"/>
  <c r="S146" i="11"/>
  <c r="T146" i="11"/>
  <c r="C1648" i="10"/>
  <c r="T147" i="11"/>
  <c r="S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2" i="10"/>
  <c r="T2" i="11"/>
  <c r="S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T131" i="11"/>
  <c r="S131" i="11"/>
  <c r="C1508" i="10"/>
  <c r="S134" i="11"/>
  <c r="T134" i="11"/>
  <c r="C1537" i="10"/>
  <c r="T137" i="11"/>
  <c r="S137" i="11"/>
  <c r="C1588" i="10"/>
  <c r="S142" i="11"/>
  <c r="T142" i="11"/>
  <c r="C1600" i="10"/>
  <c r="T143" i="11"/>
  <c r="S143" i="11"/>
  <c r="C1671" i="10"/>
  <c r="T149" i="11"/>
  <c r="S149" i="11"/>
  <c r="T151" i="11"/>
  <c r="S151" i="11"/>
  <c r="C44" i="10"/>
  <c r="S6" i="11"/>
  <c r="T6" i="11"/>
  <c r="C57" i="10"/>
  <c r="S7" i="11"/>
  <c r="T7" i="11"/>
  <c r="C18" i="10"/>
  <c r="S4" i="11"/>
  <c r="T4"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T133" i="11"/>
  <c r="S133" i="11"/>
  <c r="C1567" i="10"/>
  <c r="S140" i="11"/>
  <c r="T140" i="11"/>
  <c r="C1578" i="10"/>
  <c r="T141" i="11"/>
  <c r="S141" i="11"/>
  <c r="C1620" i="10"/>
  <c r="T145" i="11"/>
  <c r="S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E60" i="5" s="1"/>
  <c r="AI76" i="11"/>
  <c r="AE76" i="11"/>
  <c r="E54" i="5" s="1"/>
  <c r="AA76" i="11"/>
  <c r="M76" i="11"/>
  <c r="E39" i="5" s="1"/>
  <c r="I76" i="11"/>
  <c r="E76" i="11"/>
  <c r="E36" i="5" s="1"/>
  <c r="Z76" i="11"/>
  <c r="J49" i="5" s="1"/>
  <c r="V76" i="11"/>
  <c r="P76" i="11"/>
  <c r="J42" i="5" s="1"/>
  <c r="L76" i="11"/>
  <c r="H76" i="11"/>
  <c r="Y76" i="11"/>
  <c r="E49" i="5" s="1"/>
  <c r="U76" i="11"/>
  <c r="O76" i="11"/>
  <c r="E42" i="5" s="1"/>
  <c r="K76" i="11"/>
  <c r="G76" i="11"/>
  <c r="AN76" i="11"/>
  <c r="J60" i="5" s="1"/>
  <c r="AJ76" i="11"/>
  <c r="AF76" i="11"/>
  <c r="J54" i="5" s="1"/>
  <c r="AB76" i="11"/>
  <c r="N76" i="11"/>
  <c r="J39" i="5" s="1"/>
  <c r="J76" i="11"/>
  <c r="F76" i="11"/>
  <c r="J36" i="5" s="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AD119" i="11"/>
  <c r="X113" i="11"/>
  <c r="Q138" i="11"/>
  <c r="C119" i="11"/>
  <c r="C50" i="5"/>
  <c r="G50" i="5" s="1"/>
  <c r="F50" i="5"/>
  <c r="B50" i="5"/>
  <c r="B40" i="5"/>
  <c r="C40" i="5"/>
  <c r="G40" i="5" s="1"/>
  <c r="F40" i="5"/>
  <c r="B61" i="5"/>
  <c r="C61" i="5"/>
  <c r="G61" i="5" s="1"/>
  <c r="F61" i="5"/>
  <c r="C163" i="11"/>
  <c r="W163" i="11"/>
  <c r="D163" i="11"/>
  <c r="X163" i="11"/>
  <c r="Q163" i="11"/>
  <c r="AC163" i="11"/>
  <c r="AG163" i="11"/>
  <c r="AK163" i="11"/>
  <c r="R163" i="11"/>
  <c r="AD163" i="11"/>
  <c r="AH163" i="11"/>
  <c r="AL163" i="11"/>
  <c r="AG130" i="11"/>
  <c r="AD87" i="11"/>
  <c r="AC101" i="11"/>
  <c r="AL87" i="11"/>
  <c r="F43" i="5"/>
  <c r="C43" i="5"/>
  <c r="G43" i="5" s="1"/>
  <c r="B43" i="5"/>
  <c r="B37" i="5"/>
  <c r="F37" i="5"/>
  <c r="C37" i="5"/>
  <c r="G37" i="5" s="1"/>
  <c r="B55" i="5"/>
  <c r="C55" i="5"/>
  <c r="G55" i="5" s="1"/>
  <c r="F55" i="5"/>
  <c r="D113" i="11"/>
  <c r="Q162" i="11"/>
  <c r="AC162" i="11"/>
  <c r="AG162" i="11"/>
  <c r="AK162" i="11"/>
  <c r="R162" i="11"/>
  <c r="AD162" i="11"/>
  <c r="AH162" i="11"/>
  <c r="AL162" i="11"/>
  <c r="C162" i="11"/>
  <c r="W162" i="11"/>
  <c r="D162" i="11"/>
  <c r="X162"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E47" i="5" s="1"/>
  <c r="Q76" i="11"/>
  <c r="E45" i="5" s="1"/>
  <c r="AL76" i="11"/>
  <c r="J58" i="5" s="1"/>
  <c r="AH76" i="11"/>
  <c r="J57" i="5" s="1"/>
  <c r="AD76" i="11"/>
  <c r="J52" i="5" s="1"/>
  <c r="D76" i="11"/>
  <c r="J34" i="5" s="1"/>
  <c r="AK76" i="11"/>
  <c r="E58" i="5" s="1"/>
  <c r="AG76" i="11"/>
  <c r="E57" i="5" s="1"/>
  <c r="AC76" i="11"/>
  <c r="E52" i="5" s="1"/>
  <c r="C76" i="11"/>
  <c r="E34" i="5" s="1"/>
  <c r="X76" i="11"/>
  <c r="J47" i="5" s="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F59" i="5" l="1"/>
  <c r="C59" i="5"/>
  <c r="G59" i="5" s="1"/>
  <c r="B59" i="5"/>
  <c r="F35" i="5"/>
  <c r="C35" i="5"/>
  <c r="G35" i="5" s="1"/>
  <c r="B35" i="5"/>
  <c r="C53" i="5"/>
  <c r="G53" i="5" s="1"/>
  <c r="F53" i="5"/>
  <c r="B53" i="5"/>
  <c r="F48" i="5"/>
  <c r="B48" i="5"/>
  <c r="C48" i="5"/>
  <c r="G48" i="5" s="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<sst xmlns="http://schemas.openxmlformats.org/spreadsheetml/2006/main" count="4750" uniqueCount="451">
  <si>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</si>
  <si>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</si>
  <si>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</si>
  <si>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</si>
  <si>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</si>
  <si>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</si>
  <si>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</si>
  <si>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</si>
  <si>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</si>
  <si>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</si>
  <si>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</si>
  <si>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</si>
  <si>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</si>
  <si>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</si>
  <si>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</si>
  <si>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</si>
  <si>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</si>
  <si>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</si>
  <si>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</si>
  <si>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</si>
  <si>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</si>
  <si>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</si>
  <si>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</si>
  <si>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</si>
  <si>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</si>
  <si>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</si>
  <si>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</si>
  <si>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</si>
  <si>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</si>
  <si>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</si>
  <si>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</si>
  <si>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</si>
  <si>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</si>
  <si>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</si>
  <si>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</si>
  <si>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</si>
  <si>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</si>
  <si>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</si>
  <si>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</si>
  <si>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</si>
  <si>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</si>
  <si>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</si>
  <si>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</si>
  <si>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</si>
  <si>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</si>
  <si>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</si>
  <si>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</si>
  <si>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</si>
  <si>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</si>
  <si>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</si>
  <si>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</si>
  <si>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</si>
  <si>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</si>
  <si>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</si>
  <si>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</si>
  <si>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</si>
  <si>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</si>
  <si>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</si>
  <si>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</si>
  <si>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</si>
  <si>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</si>
  <si>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</si>
  <si>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</si>
  <si>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</si>
  <si>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</si>
  <si>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</si>
  <si>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</si>
  <si>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</si>
  <si>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</si>
  <si>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</si>
  <si>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</si>
  <si>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</si>
  <si>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</si>
  <si>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</si>
  <si>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</si>
  <si>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</si>
  <si>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</si>
  <si>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</si>
  <si>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</si>
  <si>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</si>
  <si>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</si>
  <si>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</si>
  <si>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</si>
  <si>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</si>
  <si>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</si>
  <si>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</si>
  <si>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</si>
  <si>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</si>
  <si>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</si>
  <si>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</si>
  <si>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</si>
  <si>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</si>
  <si>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</si>
  <si>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</si>
  <si>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</si>
  <si>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</si>
  <si>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</si>
  <si>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</si>
  <si>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</si>
  <si>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</si>
  <si>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</si>
  <si>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</si>
  <si>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</si>
  <si>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</si>
  <si>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</si>
  <si>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</si>
  <si>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</si>
  <si>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</si>
  <si>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</si>
  <si>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</si>
  <si>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</si>
  <si>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</si>
  <si>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</si>
  <si>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</si>
  <si>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</si>
  <si>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</si>
  <si>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</si>
  <si>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</si>
  <si>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</si>
  <si>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</si>
  <si>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</si>
  <si>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</si>
  <si>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</si>
  <si>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</si>
  <si>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</si>
  <si>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</si>
  <si>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</si>
  <si>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</si>
  <si>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</si>
  <si>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</si>
  <si>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</si>
  <si>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</si>
  <si>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</si>
  <si>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</si>
  <si>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</si>
  <si>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</si>
  <si>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</si>
  <si>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</si>
  <si>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</si>
  <si>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</si>
  <si>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</si>
  <si>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</si>
  <si>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</si>
  <si>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</si>
  <si>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</si>
  <si>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</si>
  <si>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</si>
  <si>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</si>
  <si>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</si>
  <si>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</si>
  <si>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</si>
  <si>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</si>
  <si>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</si>
  <si>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</si>
  <si>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</si>
  <si>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</si>
  <si>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</si>
  <si>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</si>
  <si>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</si>
  <si>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</si>
  <si>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</si>
  <si>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</si>
  <si>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</si>
  <si>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</si>
  <si>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</si>
  <si>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</si>
  <si>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</si>
  <si>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</si>
  <si>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</si>
  <si>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</si>
  <si>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</si>
  <si>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</si>
  <si>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</si>
  <si>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</si>
  <si>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</si>
  <si>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</si>
  <si>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</si>
  <si>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</si>
  <si>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</si>
  <si>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</si>
  <si>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</si>
  <si>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</si>
  <si>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</si>
  <si>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</si>
  <si>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</si>
  <si>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</si>
  <si>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</si>
  <si>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</si>
  <si>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</si>
  <si>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</si>
  <si>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</si>
  <si>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</si>
  <si>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</si>
  <si>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</si>
  <si>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</si>
  <si>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</si>
  <si>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</si>
  <si>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</si>
  <si>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</si>
  <si>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</si>
  <si>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</si>
  <si>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</si>
  <si>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</si>
  <si>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</si>
  <si>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</si>
  <si>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</si>
  <si>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</si>
  <si>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</si>
  <si>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</si>
  <si>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</si>
  <si>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</si>
  <si>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</si>
  <si>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</si>
  <si>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</si>
  <si>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</si>
  <si>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</si>
  <si>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</si>
  <si>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</si>
  <si>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</si>
  <si>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</si>
  <si>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</si>
  <si>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</si>
  <si>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</si>
  <si>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</si>
  <si>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</si>
  <si>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</si>
  <si>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</si>
  <si>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</si>
  <si>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</si>
  <si>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</si>
  <si>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</si>
  <si>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</si>
  <si>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</si>
  <si>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</si>
  <si>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</si>
  <si>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</si>
  <si>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</si>
  <si>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</si>
  <si>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</si>
  <si>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</si>
  <si>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</si>
  <si>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</si>
  <si>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</si>
  <si>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</si>
  <si>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</si>
  <si>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</si>
  <si>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</si>
  <si>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</si>
  <si>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</si>
  <si>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</si>
  <si>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</si>
  <si>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</si>
  <si>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</si>
  <si>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</si>
  <si>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</si>
  <si>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</si>
  <si>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</si>
  <si>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</si>
  <si>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</si>
  <si>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</si>
  <si>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</si>
  <si>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</si>
  <si>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</si>
  <si>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</si>
  <si>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</si>
  <si>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</si>
  <si>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</si>
  <si>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</si>
  <si>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</si>
  <si>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</si>
  <si>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</si>
  <si>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</si>
  <si>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</si>
  <si>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</si>
  <si>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</si>
  <si>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</si>
  <si>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</si>
  <si>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</si>
  <si>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</si>
  <si>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</si>
  <si>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</si>
  <si>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</si>
  <si>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</si>
  <si>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</si>
  <si>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</si>
  <si>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</si>
  <si>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</si>
  <si>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</si>
  <si>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</si>
  <si>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</si>
  <si>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</si>
  <si>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</si>
  <si>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</si>
  <si>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</si>
  <si>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</si>
  <si>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</si>
  <si>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</si>
  <si>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</si>
  <si>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</si>
  <si>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</si>
  <si>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</si>
  <si>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</si>
  <si>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</si>
  <si>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</si>
  <si>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</si>
  <si>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</si>
  <si>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</si>
  <si>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</si>
  <si>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</si>
  <si>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</si>
  <si>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</si>
  <si>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</si>
  <si>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</si>
  <si>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</si>
  <si>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</si>
  <si>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</si>
  <si>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</si>
  <si>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</si>
  <si>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</si>
  <si>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</si>
  <si>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</si>
  <si>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</si>
  <si>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</si>
  <si>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</si>
  <si>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</si>
  <si>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</si>
  <si>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</si>
  <si>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</si>
  <si>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</si>
  <si>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</si>
  <si>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</si>
  <si>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</si>
  <si>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</si>
  <si>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</si>
  <si>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</si>
  <si>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</si>
  <si>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</si>
  <si>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</si>
  <si>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</si>
  <si>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</si>
  <si>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</si>
  <si>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</si>
  <si>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</si>
  <si>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</si>
  <si>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</si>
  <si>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</si>
  <si>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</si>
  <si>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</si>
  <si>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</si>
  <si>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</si>
  <si>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</si>
  <si>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</si>
  <si>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</si>
  <si>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</si>
  <si>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</si>
  <si>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</si>
  <si>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</si>
  <si>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</si>
  <si>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</si>
  <si>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</si>
  <si>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</si>
  <si>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</si>
  <si>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</si>
  <si>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</si>
  <si>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</si>
  <si>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</si>
  <si>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</si>
  <si>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</si>
  <si>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</si>
  <si>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</si>
  <si>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</si>
  <si>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</si>
  <si>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</si>
  <si>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</si>
  <si>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</si>
  <si>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</si>
  <si>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</si>
  <si>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</si>
  <si>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</si>
  <si>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</si>
  <si>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</si>
  <si>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</si>
  <si>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</si>
  <si>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</si>
  <si>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</si>
  <si>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</si>
  <si>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</si>
  <si>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</si>
  <si>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</si>
  <si>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</si>
  <si>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</si>
  <si>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</si>
  <si>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</si>
  <si>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</si>
  <si>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</si>
  <si>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</si>
  <si>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</si>
  <si>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</si>
  <si>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</si>
  <si>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</si>
  <si>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</si>
  <si>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</si>
  <si>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</si>
  <si>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</si>
  <si>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</si>
  <si>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</si>
  <si>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</si>
  <si>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</si>
  <si>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</si>
  <si>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</si>
  <si>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</si>
  <si>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</si>
  <si>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</si>
  <si>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2021年年初无预算。</t>
  </si>
  <si>
    <t>3.社会保障和就业支出（类）2021年度决算</t>
  </si>
  <si>
    <t>行政事业单位养老支出（款）2021年度决算</t>
  </si>
  <si>
    <t>4.卫生健康支出（类）2021年度决算</t>
  </si>
  <si>
    <t>行政事业单位医疗（款）2021年度决算</t>
  </si>
  <si>
    <t>5.城乡社区支出（类）2021年度决算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</si>
  <si>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</si>
  <si>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</si>
  <si>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</si>
  <si>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</si>
  <si>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</si>
  <si>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</si>
  <si>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</si>
  <si>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</si>
  <si>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</si>
  <si>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</si>
  <si>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</si>
  <si>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</si>
  <si>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</si>
  <si>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</si>
  <si>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</si>
  <si>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</si>
  <si>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</si>
  <si>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</si>
  <si>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</si>
  <si>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</si>
  <si>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</si>
  <si>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</si>
  <si>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</si>
  <si>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</si>
  <si>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北京市西城区新街口少年宫设
1、党支部及主任室：主要由少年宫主任承担该部门工作，主要负责少年宫（社区学校）党支部和行政工作，监督指导各部门主管党风廉政建设的任务完成及责任落实情况；
2、工会及社区教育办公室：由少年宫工会、社区主任承担该部门工作，主要负责工会和社区教育学校工作
3、教务处：由少年宫教务主任承担该部门工作，主要负责青少年校外教育工作
4、综合办公室：由少年宫综合办公室主任承担该部门工作，全面负责少年宫总务、保卫、人事及财务等工作；
5、财务室：由少年宫报账会计和出纳承担该部门工作。</t>
    <phoneticPr fontId="4" type="noConversion"/>
  </si>
  <si>
    <t>主要原因是财政拨款减少。</t>
    <phoneticPr fontId="4" type="noConversion"/>
  </si>
  <si>
    <t>主要原因是疫情原因减少培训支出</t>
    <phoneticPr fontId="4" type="noConversion"/>
  </si>
  <si>
    <t>主要原因是年初出租房装修改造预算收回</t>
    <phoneticPr fontId="4" type="noConversion"/>
  </si>
  <si>
    <t>主要原因是退休一名人员，新增人员两名。</t>
    <phoneticPr fontId="4" type="noConversion"/>
  </si>
  <si>
    <t>主要原因社保基数的调整</t>
    <phoneticPr fontId="4" type="noConversion"/>
  </si>
  <si>
    <t>主要原因是在职人员退休，支出比例减少。</t>
    <phoneticPr fontId="4" type="noConversion"/>
  </si>
  <si>
    <t>主要原因是在职人员退休，支出比例减少。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</si>
</sst>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5" t="s">
        <v>0</v>
      </c>
      <c r="B1" s="26">
        <v>255092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北京市西城区新街口少年宫</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440</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topLeftCell="A52" zoomScaleNormal="100" workbookViewId="0">
      <selection activeCell="A69" sqref="A69:M6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280.14999999999998" customHeight="1">
      <c r="A4" s="81" t="s">
        <v>443</v>
      </c>
      <c r="B4" s="81"/>
      <c r="C4" s="81"/>
      <c r="D4" s="81"/>
      <c r="E4" s="81"/>
      <c r="F4" s="81"/>
      <c r="G4" s="81"/>
      <c r="H4" s="81"/>
      <c r="I4" s="81"/>
      <c r="J4" s="81"/>
      <c r="K4" s="81"/>
      <c r="L4" s="81"/>
      <c r="M4" s="81"/>
      <c r="N4" s="17"/>
    </row>
    <row r="5" spans="1:14" ht="18" customHeight="1">
      <c r="A5" s="7" t="s">
        <v>176</v>
      </c>
    </row>
    <row r="6" spans="1:14" ht="18" customHeight="1">
      <c r="A6" s="78" t="s">
        <v>231</v>
      </c>
      <c r="B6" s="78"/>
      <c r="C6" s="10">
        <v>22</v>
      </c>
      <c r="D6" s="10" t="s">
        <v>233</v>
      </c>
      <c r="E6" s="8">
        <f>_xlfn.IFNA(VLOOKUP(封面!B1,'2021决算导出'!A:C,3,FALSE),"")</f>
        <v>19</v>
      </c>
      <c r="F6" s="10" t="s">
        <v>234</v>
      </c>
      <c r="G6" s="10"/>
      <c r="H6" s="10"/>
      <c r="I6" s="10"/>
      <c r="J6" s="10"/>
      <c r="K6" s="10"/>
      <c r="L6" s="10"/>
      <c r="M6" s="10"/>
      <c r="N6" s="10"/>
    </row>
    <row r="7" spans="1:14" ht="18" customHeight="1">
      <c r="A7" s="6" t="s">
        <v>177</v>
      </c>
    </row>
    <row r="8" spans="1:14" ht="18" customHeight="1">
      <c r="A8" s="78" t="s">
        <v>401</v>
      </c>
      <c r="B8" s="78"/>
      <c r="C8" s="78"/>
      <c r="D8" s="13">
        <f>_xlfn.IFNA(VLOOKUP(封面!B1,'2021决算导出'!A:D,4,FALSE),"")</f>
        <v>7913002.6399999997</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168975.87000000011</v>
      </c>
      <c r="I8" s="15" t="s">
        <v>179</v>
      </c>
      <c r="J8" s="28" t="str">
        <f>IF(ISNA(VLOOKUP(封面!B1,'2020决算导出'!A:D,4,FALSE)),"",IF(D8-VLOOKUP(封面!B1,'2020决算导出'!A:D,4,FALSE)&gt;0,"增长","下降"))</f>
        <v>下降</v>
      </c>
      <c r="K8" s="29">
        <f>IF(ISNA(VLOOKUP(封面!B1,'2020决算导出'!A:D,4,FALSE)),"",H8/VLOOKUP(封面!B1,'2020决算导出'!A:D,4,FALSE))</f>
        <v>2.0907735623266352E-2</v>
      </c>
      <c r="L8" s="7" t="s">
        <v>299</v>
      </c>
    </row>
    <row r="9" spans="1:14" ht="18" customHeight="1">
      <c r="A9" s="7" t="s">
        <v>180</v>
      </c>
      <c r="G9" s="30"/>
      <c r="H9" s="30"/>
      <c r="I9" s="30"/>
      <c r="J9" s="30"/>
      <c r="K9" s="30"/>
    </row>
    <row r="10" spans="1:14" ht="18" customHeight="1">
      <c r="A10" s="78" t="s">
        <v>402</v>
      </c>
      <c r="B10" s="78"/>
      <c r="C10" s="78"/>
      <c r="D10" s="13">
        <f>_xlfn.IFNA(VLOOKUP(封面!B1,'2021决算导出'!A:E,5,FALSE),"")</f>
        <v>7907435.6399999997</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174542.87000000011</v>
      </c>
      <c r="I10" s="15" t="s">
        <v>179</v>
      </c>
      <c r="J10" s="28" t="str">
        <f>IF(ISNA(VLOOKUP(封面!B1,'2020决算导出'!A:E,5,FALSE)),"",IF(D10-VLOOKUP(封面!B1,'2020决算导出'!A:E,5,FALSE)&gt;0,"增长","下降"))</f>
        <v>下降</v>
      </c>
      <c r="K10" s="29">
        <f>IF(ISNA(VLOOKUP(封面!B1,'2020决算导出'!A:E,5,FALSE)),"",H10/VLOOKUP(封面!B1,'2020决算导出'!A:E,5,FALSE))</f>
        <v>2.1596552104665285E-2</v>
      </c>
      <c r="L10" s="7" t="s">
        <v>300</v>
      </c>
    </row>
    <row r="11" spans="1:14" ht="18" customHeight="1">
      <c r="A11" s="78" t="s">
        <v>181</v>
      </c>
      <c r="B11" s="78"/>
      <c r="C11" s="78"/>
      <c r="D11" s="13">
        <f>_xlfn.IFNA(VLOOKUP(封面!B1,'2021决算导出'!A:F,6,FALSE),"")</f>
        <v>7353785.6399999997</v>
      </c>
      <c r="E11" s="7" t="s">
        <v>179</v>
      </c>
      <c r="F11" s="78" t="s">
        <v>182</v>
      </c>
      <c r="G11" s="78"/>
      <c r="H11" s="27">
        <f>D11/$D$10</f>
        <v>0.92998362235168319</v>
      </c>
      <c r="I11" s="7" t="s">
        <v>301</v>
      </c>
    </row>
    <row r="12" spans="1:14" ht="18" customHeight="1">
      <c r="A12" s="78" t="s">
        <v>183</v>
      </c>
      <c r="B12" s="78"/>
      <c r="C12" s="78"/>
      <c r="D12" s="13">
        <f>_xlfn.IFNA(VLOOKUP(封面!B1,'2021决算导出'!A:G,7,FALSE),"")</f>
        <v>0</v>
      </c>
      <c r="E12" s="7" t="s">
        <v>179</v>
      </c>
      <c r="F12" s="78" t="s">
        <v>182</v>
      </c>
      <c r="G12" s="78"/>
      <c r="H12" s="27">
        <f t="shared" ref="H12:H15" si="0">D12/$D$10</f>
        <v>0</v>
      </c>
      <c r="I12" s="7" t="s">
        <v>301</v>
      </c>
    </row>
    <row r="13" spans="1:14" ht="18" customHeight="1">
      <c r="A13" s="78" t="s">
        <v>184</v>
      </c>
      <c r="B13" s="78"/>
      <c r="C13" s="78"/>
      <c r="D13" s="13">
        <f>_xlfn.IFNA(VLOOKUP(封面!B1,'2021决算导出'!A:H,8,FALSE),"")</f>
        <v>553650</v>
      </c>
      <c r="E13" s="7" t="s">
        <v>179</v>
      </c>
      <c r="F13" s="78" t="s">
        <v>182</v>
      </c>
      <c r="G13" s="78"/>
      <c r="H13" s="27">
        <f t="shared" si="0"/>
        <v>7.0016377648316849E-2</v>
      </c>
      <c r="I13" s="7" t="s">
        <v>301</v>
      </c>
    </row>
    <row r="14" spans="1:14" ht="18" customHeight="1">
      <c r="A14" s="78" t="s">
        <v>185</v>
      </c>
      <c r="B14" s="78"/>
      <c r="C14" s="78"/>
      <c r="D14" s="13">
        <f>_xlfn.IFNA(VLOOKUP(封面!B1,'2021决算导出'!A:I,9,FALSE),"")</f>
        <v>0</v>
      </c>
      <c r="E14" s="7" t="s">
        <v>179</v>
      </c>
      <c r="F14" s="78" t="s">
        <v>182</v>
      </c>
      <c r="G14" s="78"/>
      <c r="H14" s="27">
        <f t="shared" si="0"/>
        <v>0</v>
      </c>
      <c r="I14" s="7" t="s">
        <v>301</v>
      </c>
    </row>
    <row r="15" spans="1:14" ht="18" customHeight="1">
      <c r="A15" s="78" t="s">
        <v>186</v>
      </c>
      <c r="B15" s="78"/>
      <c r="C15" s="78"/>
      <c r="D15" s="13">
        <f>_xlfn.IFNA(VLOOKUP(封面!B1,'2021决算导出'!A:J,10,FALSE),"")</f>
        <v>0</v>
      </c>
      <c r="E15" s="7" t="s">
        <v>179</v>
      </c>
      <c r="F15" s="78" t="s">
        <v>182</v>
      </c>
      <c r="G15" s="78"/>
      <c r="H15" s="27">
        <f t="shared" si="0"/>
        <v>0</v>
      </c>
      <c r="I15" s="7" t="s">
        <v>302</v>
      </c>
    </row>
    <row r="16" spans="1:14" ht="18" customHeight="1">
      <c r="A16" s="7" t="s">
        <v>187</v>
      </c>
    </row>
    <row r="17" spans="1:13" ht="18" customHeight="1">
      <c r="A17" s="78" t="s">
        <v>403</v>
      </c>
      <c r="B17" s="78"/>
      <c r="C17" s="78"/>
      <c r="D17" s="13">
        <f>_xlfn.IFNA(VLOOKUP(封面!B1,'2021决算导出'!A:K,11,FALSE),"")</f>
        <v>7420686.6399999997</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661291.87000000011</v>
      </c>
      <c r="I17" s="7" t="s">
        <v>179</v>
      </c>
      <c r="J17" s="28" t="str">
        <f>IF(ISNA(VLOOKUP(封面!B1,'2020决算导出'!A:K,11,FALSE)),"",IF(D17-VLOOKUP(封面!B1,'2020决算导出'!A:K,11,FALSE)&gt;0,"增长","下降"))</f>
        <v>下降</v>
      </c>
      <c r="K17" s="29">
        <f>IF(ISNA(VLOOKUP(封面!B1,'2020决算导出'!A:K,11,FALSE)),"",H17/VLOOKUP(封面!B1,'2020决算导出'!A:K,11,FALSE))</f>
        <v>8.1823017616511839E-2</v>
      </c>
      <c r="L17" s="7" t="s">
        <v>303</v>
      </c>
    </row>
    <row r="18" spans="1:13" ht="18" customHeight="1">
      <c r="A18" s="78" t="s">
        <v>188</v>
      </c>
      <c r="B18" s="78"/>
      <c r="C18" s="78"/>
      <c r="D18" s="13">
        <f>_xlfn.IFNA(VLOOKUP(封面!B1,'2021决算导出'!A:L,12,FALSE),"")</f>
        <v>6578752.6399999997</v>
      </c>
      <c r="E18" s="7" t="s">
        <v>179</v>
      </c>
      <c r="F18" s="78" t="s">
        <v>189</v>
      </c>
      <c r="G18" s="78"/>
      <c r="H18" s="27">
        <f>D18/$D$17</f>
        <v>0.8865423052010184</v>
      </c>
      <c r="I18" s="7" t="s">
        <v>301</v>
      </c>
    </row>
    <row r="19" spans="1:13" ht="18" customHeight="1">
      <c r="A19" s="78" t="s">
        <v>190</v>
      </c>
      <c r="B19" s="78"/>
      <c r="C19" s="78"/>
      <c r="D19" s="13">
        <f>_xlfn.IFNA(VLOOKUP(封面!B1,'2021决算导出'!A:M,13,FALSE),"")</f>
        <v>780600</v>
      </c>
      <c r="E19" s="7" t="s">
        <v>179</v>
      </c>
      <c r="F19" s="78" t="s">
        <v>189</v>
      </c>
      <c r="G19" s="78"/>
      <c r="H19" s="27">
        <f t="shared" ref="H19:H20" si="1">D19/$D$17</f>
        <v>0.10519242192390973</v>
      </c>
      <c r="I19" s="7" t="s">
        <v>301</v>
      </c>
    </row>
    <row r="20" spans="1:13" ht="18" customHeight="1">
      <c r="A20" s="78" t="s">
        <v>191</v>
      </c>
      <c r="B20" s="78"/>
      <c r="C20" s="78"/>
      <c r="D20" s="13">
        <f>_xlfn.IFNA(VLOOKUP(封面!B1,'2021决算导出'!A:N,14,FALSE),"")</f>
        <v>61334</v>
      </c>
      <c r="E20" s="7" t="s">
        <v>179</v>
      </c>
      <c r="F20" s="78" t="s">
        <v>189</v>
      </c>
      <c r="G20" s="78"/>
      <c r="H20" s="27">
        <f t="shared" si="1"/>
        <v>8.265272875071842E-3</v>
      </c>
      <c r="I20" s="7" t="s">
        <v>302</v>
      </c>
    </row>
    <row r="21" spans="1:13" ht="18" customHeight="1">
      <c r="A21" s="6" t="s">
        <v>192</v>
      </c>
    </row>
    <row r="22" spans="1:13" ht="18" customHeight="1">
      <c r="A22" s="78" t="s">
        <v>404</v>
      </c>
      <c r="B22" s="78"/>
      <c r="C22" s="78"/>
      <c r="D22" s="78"/>
      <c r="E22" s="75">
        <f>_xlfn.IFNA(VLOOKUP(封面!B1,'2021决算导出'!A:O,15,FALSE),"")</f>
        <v>7353785.6399999997</v>
      </c>
      <c r="F22" s="75"/>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728192.87000000011</v>
      </c>
      <c r="J22" s="7" t="s">
        <v>179</v>
      </c>
      <c r="K22" s="28" t="str">
        <f>IF(ISNA(VLOOKUP(封面!B1,'2020决算导出'!A:O,15,FALSE)),"",IF(E22-VLOOKUP(封面!B1,'2020决算导出'!A:O,15,FALSE)&gt;0,"增长","下降"))</f>
        <v>下降</v>
      </c>
      <c r="L22" s="29">
        <f>IF(ISNA(VLOOKUP(封面!B1,'2020决算导出'!A:O,15,FALSE)),"",I22/VLOOKUP(封面!B1,'2020决算导出'!A:O,15,FALSE))</f>
        <v>9.0100817404920333E-2</v>
      </c>
      <c r="M22" s="7" t="s">
        <v>299</v>
      </c>
    </row>
    <row r="23" spans="1:13" ht="63.6" customHeight="1">
      <c r="B23" s="79" t="s">
        <v>444</v>
      </c>
      <c r="C23" s="79"/>
      <c r="D23" s="79"/>
      <c r="E23" s="79"/>
      <c r="F23" s="79"/>
      <c r="G23" s="79"/>
      <c r="H23" s="79"/>
      <c r="I23" s="79"/>
      <c r="J23" s="79"/>
      <c r="K23" s="79"/>
      <c r="L23" s="79"/>
      <c r="M23" s="79"/>
    </row>
    <row r="24" spans="1:13" ht="18" customHeight="1">
      <c r="A24" s="6" t="s">
        <v>193</v>
      </c>
    </row>
    <row r="25" spans="1:13" ht="18" customHeight="1">
      <c r="A25" s="7" t="s">
        <v>194</v>
      </c>
    </row>
    <row r="26" spans="1:13" ht="18" customHeight="1">
      <c r="A26" s="78" t="s">
        <v>405</v>
      </c>
      <c r="B26" s="78"/>
      <c r="C26" s="78"/>
      <c r="D26" s="78"/>
      <c r="E26" s="78"/>
      <c r="F26" s="75">
        <f>_xlfn.IFNA(VLOOKUP(封面!B1,'2021决算导出'!A:P,16,FALSE),"")</f>
        <v>7353785.6399999997</v>
      </c>
      <c r="G26" s="75"/>
      <c r="H26" s="7" t="s">
        <v>179</v>
      </c>
      <c r="I26" s="10" t="s">
        <v>195</v>
      </c>
      <c r="J26" s="10"/>
      <c r="K26" s="10"/>
      <c r="L26" s="10"/>
      <c r="M26" s="10"/>
    </row>
    <row r="27" spans="1:13" ht="18" customHeight="1">
      <c r="A27" s="78" t="s">
        <v>198</v>
      </c>
      <c r="B27" s="78"/>
      <c r="C27" s="78"/>
      <c r="D27" s="75">
        <f>_xlfn.IFNA(VLOOKUP(封面!B1,'2021决算导出'!A:Q,17,FALSE),"")</f>
        <v>5109251.41</v>
      </c>
      <c r="E27" s="75"/>
      <c r="F27" s="7" t="s">
        <v>179</v>
      </c>
      <c r="G27" s="76" t="s">
        <v>197</v>
      </c>
      <c r="H27" s="76"/>
      <c r="I27" s="27">
        <f>D27/$F$26</f>
        <v>0.69477839851747436</v>
      </c>
      <c r="J27" s="7" t="s">
        <v>301</v>
      </c>
      <c r="K27" s="9"/>
      <c r="L27" s="9"/>
      <c r="M27" s="9"/>
    </row>
    <row r="28" spans="1:13" ht="18" customHeight="1">
      <c r="A28" s="78" t="s">
        <v>199</v>
      </c>
      <c r="B28" s="78"/>
      <c r="C28" s="78"/>
      <c r="D28" s="75">
        <f>_xlfn.IFNA(VLOOKUP(封面!B1,'2021决算导出'!A:R,18,FALSE),"")</f>
        <v>0</v>
      </c>
      <c r="E28" s="75"/>
      <c r="F28" s="7" t="s">
        <v>179</v>
      </c>
      <c r="G28" s="76" t="s">
        <v>197</v>
      </c>
      <c r="H28" s="76"/>
      <c r="I28" s="27">
        <f t="shared" ref="I28:I32" si="2">D28/$F$26</f>
        <v>0</v>
      </c>
      <c r="J28" s="7" t="s">
        <v>301</v>
      </c>
      <c r="K28" s="9"/>
      <c r="L28" s="9"/>
      <c r="M28" s="9"/>
    </row>
    <row r="29" spans="1:13" ht="18" customHeight="1">
      <c r="A29" s="78" t="s">
        <v>196</v>
      </c>
      <c r="B29" s="78"/>
      <c r="C29" s="78"/>
      <c r="D29" s="75">
        <f>_xlfn.IFNA(VLOOKUP(封面!B1,'2021决算导出'!A:S,19,FALSE),"")</f>
        <v>889943.38</v>
      </c>
      <c r="E29" s="75"/>
      <c r="F29" s="7" t="s">
        <v>179</v>
      </c>
      <c r="G29" s="76" t="s">
        <v>197</v>
      </c>
      <c r="H29" s="76"/>
      <c r="I29" s="27">
        <f t="shared" si="2"/>
        <v>0.12101840107485103</v>
      </c>
      <c r="J29" s="7" t="s">
        <v>301</v>
      </c>
    </row>
    <row r="30" spans="1:13" ht="18" customHeight="1">
      <c r="A30" s="78" t="s">
        <v>200</v>
      </c>
      <c r="B30" s="78"/>
      <c r="C30" s="78"/>
      <c r="D30" s="75">
        <f>_xlfn.IFNA(VLOOKUP(封面!B1,'2021决算导出'!A:T,20,FALSE),"")</f>
        <v>494492.85</v>
      </c>
      <c r="E30" s="75"/>
      <c r="F30" s="7" t="s">
        <v>179</v>
      </c>
      <c r="G30" s="76" t="s">
        <v>197</v>
      </c>
      <c r="H30" s="76"/>
      <c r="I30" s="27">
        <f t="shared" si="2"/>
        <v>6.7243304905471785E-2</v>
      </c>
      <c r="J30" s="7" t="s">
        <v>301</v>
      </c>
    </row>
    <row r="31" spans="1:13" ht="18" customHeight="1">
      <c r="A31" s="78" t="s">
        <v>201</v>
      </c>
      <c r="B31" s="78"/>
      <c r="C31" s="78"/>
      <c r="D31" s="75">
        <f>_xlfn.IFNA(VLOOKUP(封面!B1,'2021决算导出'!A:U,21,FALSE),"")</f>
        <v>0</v>
      </c>
      <c r="E31" s="75"/>
      <c r="F31" s="7" t="s">
        <v>179</v>
      </c>
      <c r="G31" s="76" t="s">
        <v>197</v>
      </c>
      <c r="H31" s="76"/>
      <c r="I31" s="27">
        <f t="shared" si="2"/>
        <v>0</v>
      </c>
      <c r="J31" s="7" t="s">
        <v>301</v>
      </c>
    </row>
    <row r="32" spans="1:13" ht="18" customHeight="1">
      <c r="A32" s="78" t="s">
        <v>202</v>
      </c>
      <c r="B32" s="78"/>
      <c r="C32" s="78"/>
      <c r="D32" s="75">
        <f>_xlfn.IFNA(VLOOKUP(封面!B1,'2021决算导出'!A:V,22,FALSE),"")</f>
        <v>860098</v>
      </c>
      <c r="E32" s="75"/>
      <c r="F32" s="7" t="s">
        <v>179</v>
      </c>
      <c r="G32" s="76" t="s">
        <v>197</v>
      </c>
      <c r="H32" s="76"/>
      <c r="I32" s="27">
        <f t="shared" si="2"/>
        <v>0.11695989550220287</v>
      </c>
      <c r="J32" s="7" t="s">
        <v>301</v>
      </c>
    </row>
    <row r="33" spans="1:12" ht="18" customHeight="1">
      <c r="A33" s="7" t="s">
        <v>203</v>
      </c>
    </row>
    <row r="34" spans="1:12" ht="18" customHeight="1">
      <c r="A34" s="80" t="s">
        <v>406</v>
      </c>
      <c r="B34" s="80"/>
      <c r="C34" s="80"/>
      <c r="D34" s="80"/>
      <c r="E34" s="75">
        <f>_xlfn.IFNA(VLOOKUP(封面!B1,一般公共预算财政拨款支出决算具体情况!A:C,3,FALSE),"")</f>
        <v>5109251.41</v>
      </c>
      <c r="F34" s="75"/>
      <c r="G34" s="7" t="s">
        <v>179</v>
      </c>
      <c r="H34" s="76" t="s">
        <v>407</v>
      </c>
      <c r="I34" s="76"/>
      <c r="J34" s="75">
        <f>_xlfn.IFNA(VLOOKUP(封面!B1,一般公共预算财政拨款支出决算具体情况!A:D,4,FALSE),"")</f>
        <v>7129107.5599999996</v>
      </c>
      <c r="K34" s="75"/>
      <c r="L34" s="11" t="s">
        <v>178</v>
      </c>
    </row>
    <row r="35" spans="1:12" ht="18" customHeight="1">
      <c r="B35" s="14" t="str">
        <f>IF(E34&gt;J34,"增加","减少")</f>
        <v>减少</v>
      </c>
      <c r="C35" s="75">
        <f>ABS(E34-J34)</f>
        <v>2019856.1499999994</v>
      </c>
      <c r="D35" s="75"/>
      <c r="E35" s="7" t="s">
        <v>179</v>
      </c>
      <c r="F35" s="14" t="str">
        <f>IF(E34&gt;J34,"增长","下降")</f>
        <v>下降</v>
      </c>
      <c r="G35" s="32">
        <f>IF(J34=0,IF(E34&gt;0,1,""),C35/J34)</f>
        <v>0.28332524555149224</v>
      </c>
      <c r="H35" s="7" t="s">
        <v>302</v>
      </c>
      <c r="I35" s="11" t="s">
        <v>204</v>
      </c>
    </row>
    <row r="36" spans="1:12" ht="18" customHeight="1">
      <c r="A36" s="78" t="s">
        <v>408</v>
      </c>
      <c r="B36" s="78"/>
      <c r="C36" s="78"/>
      <c r="D36" s="78"/>
      <c r="E36" s="75">
        <f>_xlfn.IFNA(VLOOKUP(封面!B1,一般公共预算财政拨款支出决算具体情况!A:E,5,FALSE),"")</f>
        <v>5109251.41</v>
      </c>
      <c r="F36" s="75"/>
      <c r="G36" s="7" t="s">
        <v>179</v>
      </c>
      <c r="H36" s="76" t="s">
        <v>407</v>
      </c>
      <c r="I36" s="76"/>
      <c r="J36" s="75">
        <f>_xlfn.IFNA(VLOOKUP(封面!B1,一般公共预算财政拨款支出决算具体情况!A:F,6,FALSE),"")</f>
        <v>4916867.5599999996</v>
      </c>
      <c r="K36" s="75"/>
      <c r="L36" s="11" t="s">
        <v>178</v>
      </c>
    </row>
    <row r="37" spans="1:12" ht="18" customHeight="1">
      <c r="A37" s="14"/>
      <c r="B37" s="14" t="str">
        <f>IF(E36&gt;J36,"增加","减少")</f>
        <v>增加</v>
      </c>
      <c r="C37" s="75">
        <f>ABS(E36-J36)</f>
        <v>192383.85000000056</v>
      </c>
      <c r="D37" s="75"/>
      <c r="E37" s="7" t="s">
        <v>179</v>
      </c>
      <c r="F37" s="14" t="str">
        <f>IF(E36&gt;J36,"增长","下降")</f>
        <v>增长</v>
      </c>
      <c r="G37" s="32">
        <f>IF(J36=0,IF(E36&gt;0,1,""),C37/J36)</f>
        <v>3.9127319915039684E-2</v>
      </c>
      <c r="H37" s="7" t="s">
        <v>302</v>
      </c>
    </row>
    <row r="38" spans="1:12" ht="36" customHeight="1">
      <c r="B38" s="81" t="s">
        <v>447</v>
      </c>
      <c r="C38" s="81"/>
      <c r="D38" s="81"/>
      <c r="E38" s="81"/>
      <c r="F38" s="81"/>
      <c r="G38" s="81"/>
      <c r="H38" s="81"/>
      <c r="I38" s="81"/>
      <c r="J38" s="81"/>
      <c r="K38" s="81"/>
      <c r="L38" s="81"/>
    </row>
    <row r="39" spans="1:12" ht="18" customHeight="1">
      <c r="A39" s="78" t="s">
        <v>409</v>
      </c>
      <c r="B39" s="78"/>
      <c r="C39" s="78"/>
      <c r="D39" s="78"/>
      <c r="E39" s="75">
        <f>_xlfn.IFNA(VLOOKUP(封面!B1,一般公共预算财政拨款支出决算具体情况!A:M,13,FALSE),"")</f>
        <v>0</v>
      </c>
      <c r="F39" s="75"/>
      <c r="G39" s="7" t="s">
        <v>179</v>
      </c>
      <c r="H39" s="76" t="s">
        <v>407</v>
      </c>
      <c r="I39" s="76"/>
      <c r="J39" s="75">
        <f>_xlfn.IFNA(VLOOKUP(封面!B1,一般公共预算财政拨款支出决算具体情况!A:N,14,FALSE),"")</f>
        <v>12240</v>
      </c>
      <c r="K39" s="75"/>
      <c r="L39" s="11" t="s">
        <v>178</v>
      </c>
    </row>
    <row r="40" spans="1:12" ht="18" customHeight="1">
      <c r="A40" s="14"/>
      <c r="B40" s="14" t="str">
        <f>IF(E39&gt;J39,"增加","减少")</f>
        <v>减少</v>
      </c>
      <c r="C40" s="75">
        <f>ABS(E39-J39)</f>
        <v>12240</v>
      </c>
      <c r="D40" s="75"/>
      <c r="E40" s="7" t="s">
        <v>179</v>
      </c>
      <c r="F40" s="14" t="str">
        <f>IF(E39&gt;J39,"增长","下降")</f>
        <v>下降</v>
      </c>
      <c r="G40" s="32">
        <f>IF(J39=0,IF(E39&gt;0,1,""),C40/J39)</f>
        <v>1</v>
      </c>
      <c r="H40" s="7" t="s">
        <v>302</v>
      </c>
    </row>
    <row r="41" spans="1:12" ht="36" customHeight="1">
      <c r="B41" s="81" t="s">
        <v>445</v>
      </c>
      <c r="C41" s="81"/>
      <c r="D41" s="81"/>
      <c r="E41" s="81"/>
      <c r="F41" s="81"/>
      <c r="G41" s="81"/>
      <c r="H41" s="81"/>
      <c r="I41" s="81"/>
      <c r="J41" s="81"/>
      <c r="K41" s="81"/>
      <c r="L41" s="81"/>
    </row>
    <row r="42" spans="1:12" ht="18" customHeight="1">
      <c r="A42" s="77" t="s">
        <v>410</v>
      </c>
      <c r="B42" s="77"/>
      <c r="C42" s="77"/>
      <c r="D42" s="77"/>
      <c r="E42" s="75">
        <f>_xlfn.IFNA(VLOOKUP(封面!B1,一般公共预算财政拨款支出决算具体情况!A:O,15,FALSE),"")</f>
        <v>0</v>
      </c>
      <c r="F42" s="75"/>
      <c r="G42" s="7" t="s">
        <v>179</v>
      </c>
      <c r="H42" s="76" t="s">
        <v>407</v>
      </c>
      <c r="I42" s="76"/>
      <c r="J42" s="75">
        <f>_xlfn.IFNA(VLOOKUP(封面!B1,一般公共预算财政拨款支出决算具体情况!A:P,16,FALSE),"")</f>
        <v>2200000</v>
      </c>
      <c r="K42" s="75"/>
      <c r="L42" s="11" t="s">
        <v>178</v>
      </c>
    </row>
    <row r="43" spans="1:12" ht="18" customHeight="1">
      <c r="A43" s="14"/>
      <c r="B43" s="14" t="str">
        <f>IF(E42&gt;J42,"增加","减少")</f>
        <v>减少</v>
      </c>
      <c r="C43" s="75">
        <f>ABS(E42-J42)</f>
        <v>2200000</v>
      </c>
      <c r="D43" s="75"/>
      <c r="E43" s="7" t="s">
        <v>179</v>
      </c>
      <c r="F43" s="14" t="str">
        <f>IF(E42&gt;J42,"增长","下降")</f>
        <v>下降</v>
      </c>
      <c r="G43" s="32">
        <f>IF(J42=0,IF(E42&gt;0,1,""),C43/J42)</f>
        <v>1</v>
      </c>
      <c r="H43" s="7" t="s">
        <v>302</v>
      </c>
    </row>
    <row r="44" spans="1:12" ht="36" customHeight="1">
      <c r="B44" s="81" t="s">
        <v>446</v>
      </c>
      <c r="C44" s="81"/>
      <c r="D44" s="81"/>
      <c r="E44" s="81"/>
      <c r="F44" s="81"/>
      <c r="G44" s="81"/>
      <c r="H44" s="81"/>
      <c r="I44" s="81"/>
      <c r="J44" s="81"/>
      <c r="K44" s="81"/>
      <c r="L44" s="81"/>
    </row>
    <row r="45" spans="1:12" ht="18" customHeight="1">
      <c r="A45" s="82" t="s">
        <v>411</v>
      </c>
      <c r="B45" s="82"/>
      <c r="C45" s="82"/>
      <c r="D45" s="82"/>
      <c r="E45" s="75">
        <f>_xlfn.IFNA(VLOOKUP(封面!B1,一般公共预算财政拨款支出决算具体情况!A:Q,17,FALSE),"")</f>
        <v>0</v>
      </c>
      <c r="F45" s="75"/>
      <c r="G45" s="7" t="s">
        <v>179</v>
      </c>
      <c r="H45" s="80" t="s">
        <v>412</v>
      </c>
      <c r="I45" s="80"/>
      <c r="J45" s="80"/>
      <c r="K45" s="80"/>
      <c r="L45" s="11"/>
    </row>
    <row r="46" spans="1:12" ht="18" customHeight="1">
      <c r="A46" s="77" t="s">
        <v>437</v>
      </c>
      <c r="B46" s="77"/>
      <c r="C46" s="77"/>
      <c r="D46" s="77"/>
      <c r="E46" s="75">
        <f>_xlfn.IFNA(VLOOKUP(封面!B1,一般公共预算财政拨款支出决算具体情况!A:S,19,FALSE),"")</f>
        <v>0</v>
      </c>
      <c r="F46" s="75"/>
      <c r="G46" s="7" t="s">
        <v>179</v>
      </c>
      <c r="H46" s="80" t="s">
        <v>413</v>
      </c>
      <c r="I46" s="80"/>
      <c r="J46" s="80"/>
      <c r="K46" s="80"/>
      <c r="L46" s="11"/>
    </row>
    <row r="47" spans="1:12" ht="18" customHeight="1">
      <c r="A47" s="82" t="s">
        <v>414</v>
      </c>
      <c r="B47" s="82"/>
      <c r="C47" s="82"/>
      <c r="D47" s="82"/>
      <c r="E47" s="75">
        <f>_xlfn.IFNA(VLOOKUP(封面!B1,一般公共预算财政拨款支出决算具体情况!A:W,23,FALSE),"")</f>
        <v>889943.38</v>
      </c>
      <c r="F47" s="75"/>
      <c r="G47" s="7" t="s">
        <v>179</v>
      </c>
      <c r="H47" s="76" t="s">
        <v>407</v>
      </c>
      <c r="I47" s="76"/>
      <c r="J47" s="75">
        <f>_xlfn.IFNA(VLOOKUP(封面!B1,一般公共预算财政拨款支出决算具体情况!A:X,24,FALSE),"")</f>
        <v>953153.04999999993</v>
      </c>
      <c r="K47" s="75"/>
      <c r="L47" s="11" t="s">
        <v>178</v>
      </c>
    </row>
    <row r="48" spans="1:12" ht="18" customHeight="1">
      <c r="B48" s="14" t="str">
        <f>IF(E47&gt;J47,"增加","减少")</f>
        <v>减少</v>
      </c>
      <c r="C48" s="75">
        <f>ABS(E47-J47)</f>
        <v>63209.669999999925</v>
      </c>
      <c r="D48" s="75"/>
      <c r="E48" s="7" t="s">
        <v>179</v>
      </c>
      <c r="F48" s="14" t="str">
        <f>IF(E47&gt;J47,"增长","下降")</f>
        <v>下降</v>
      </c>
      <c r="G48" s="32">
        <f>IF(J47=0,IF(E47&gt;0,1,""),C48/J47)</f>
        <v>6.6316390636320083E-2</v>
      </c>
      <c r="H48" s="7" t="s">
        <v>302</v>
      </c>
      <c r="I48" s="11" t="s">
        <v>204</v>
      </c>
    </row>
    <row r="49" spans="1:12" ht="18" customHeight="1">
      <c r="A49" s="77" t="s">
        <v>415</v>
      </c>
      <c r="B49" s="77"/>
      <c r="C49" s="77"/>
      <c r="D49" s="77"/>
      <c r="E49" s="75">
        <f>_xlfn.IFNA(VLOOKUP(封面!B1,一般公共预算财政拨款支出决算具体情况!A:Y,25,FALSE),"")</f>
        <v>889943.38</v>
      </c>
      <c r="F49" s="75"/>
      <c r="G49" s="7" t="s">
        <v>179</v>
      </c>
      <c r="H49" s="76" t="s">
        <v>407</v>
      </c>
      <c r="I49" s="76"/>
      <c r="J49" s="75">
        <f>_xlfn.IFNA(VLOOKUP(封面!B1,一般公共预算财政拨款支出决算具体情况!A:Z,26,FALSE),"")</f>
        <v>953153.04999999993</v>
      </c>
      <c r="K49" s="75"/>
      <c r="L49" s="11" t="s">
        <v>178</v>
      </c>
    </row>
    <row r="50" spans="1:12" ht="18" customHeight="1">
      <c r="A50" s="14"/>
      <c r="B50" s="14" t="str">
        <f>IF(E49&gt;J49,"增加","减少")</f>
        <v>减少</v>
      </c>
      <c r="C50" s="75">
        <f>ABS(E49-J49)</f>
        <v>63209.669999999925</v>
      </c>
      <c r="D50" s="75"/>
      <c r="E50" s="7" t="s">
        <v>179</v>
      </c>
      <c r="F50" s="14" t="str">
        <f>IF(E49&gt;J49,"增长","下降")</f>
        <v>下降</v>
      </c>
      <c r="G50" s="32">
        <f>IF(J49=0,IF(E49&gt;0,1,""),C50/J49)</f>
        <v>6.6316390636320083E-2</v>
      </c>
      <c r="H50" s="7" t="s">
        <v>302</v>
      </c>
    </row>
    <row r="51" spans="1:12" ht="34.5" customHeight="1">
      <c r="B51" s="81" t="s">
        <v>450</v>
      </c>
      <c r="C51" s="81"/>
      <c r="D51" s="81"/>
      <c r="E51" s="81"/>
      <c r="F51" s="81"/>
      <c r="G51" s="81"/>
      <c r="H51" s="81"/>
      <c r="I51" s="81"/>
      <c r="J51" s="81"/>
      <c r="K51" s="81"/>
      <c r="L51" s="81"/>
    </row>
    <row r="52" spans="1:12" ht="18" customHeight="1">
      <c r="A52" s="82" t="s">
        <v>416</v>
      </c>
      <c r="B52" s="82"/>
      <c r="C52" s="82"/>
      <c r="D52" s="82"/>
      <c r="E52" s="75">
        <f>_xlfn.IFNA(VLOOKUP(封面!B1,一般公共预算财政拨款支出决算具体情况!A:AC,29,FALSE),"")</f>
        <v>494492.85</v>
      </c>
      <c r="F52" s="75"/>
      <c r="G52" s="7" t="s">
        <v>179</v>
      </c>
      <c r="H52" s="76" t="s">
        <v>407</v>
      </c>
      <c r="I52" s="76"/>
      <c r="J52" s="75">
        <f>_xlfn.IFNA(VLOOKUP(封面!B1,一般公共预算财政拨款支出决算具体情况!A:AD,30,FALSE),"")</f>
        <v>420375.07</v>
      </c>
      <c r="K52" s="75"/>
      <c r="L52" s="11" t="s">
        <v>178</v>
      </c>
    </row>
    <row r="53" spans="1:12" ht="18" customHeight="1">
      <c r="B53" s="14" t="str">
        <f>IF(E52&gt;J52,"增加","减少")</f>
        <v>增加</v>
      </c>
      <c r="C53" s="75">
        <f>ABS(E52-J52)</f>
        <v>74117.77999999997</v>
      </c>
      <c r="D53" s="75"/>
      <c r="E53" s="7" t="s">
        <v>179</v>
      </c>
      <c r="F53" s="14" t="str">
        <f>IF(E52&gt;J52,"增长","下降")</f>
        <v>增长</v>
      </c>
      <c r="G53" s="32">
        <f>IF(J52=0,IF(E52&gt;0,1,""),C53/J52)</f>
        <v>0.17631345265074821</v>
      </c>
      <c r="H53" s="7" t="s">
        <v>302</v>
      </c>
      <c r="I53" s="11" t="s">
        <v>204</v>
      </c>
    </row>
    <row r="54" spans="1:12" ht="18" customHeight="1">
      <c r="A54" s="77" t="s">
        <v>417</v>
      </c>
      <c r="B54" s="77"/>
      <c r="C54" s="77"/>
      <c r="D54" s="77"/>
      <c r="E54" s="75">
        <f>_xlfn.IFNA(VLOOKUP(封面!B1,一般公共预算财政拨款支出决算具体情况!A:AE,31,FALSE),"")</f>
        <v>494492.85</v>
      </c>
      <c r="F54" s="75"/>
      <c r="G54" s="7" t="s">
        <v>179</v>
      </c>
      <c r="H54" s="76" t="s">
        <v>407</v>
      </c>
      <c r="I54" s="76"/>
      <c r="J54" s="75">
        <f>_xlfn.IFNA(VLOOKUP(封面!B1,一般公共预算财政拨款支出决算具体情况!A:AF,32,FALSE),"")</f>
        <v>420375.07</v>
      </c>
      <c r="K54" s="75"/>
      <c r="L54" s="11" t="s">
        <v>178</v>
      </c>
    </row>
    <row r="55" spans="1:12" ht="18" customHeight="1">
      <c r="A55" s="14"/>
      <c r="B55" s="14" t="str">
        <f>IF(E54&gt;J54,"增加","减少")</f>
        <v>增加</v>
      </c>
      <c r="C55" s="75">
        <f>ABS(E54-J54)</f>
        <v>74117.77999999997</v>
      </c>
      <c r="D55" s="75"/>
      <c r="E55" s="7" t="s">
        <v>179</v>
      </c>
      <c r="F55" s="14" t="str">
        <f>IF(E54&gt;J54,"增长","下降")</f>
        <v>增长</v>
      </c>
      <c r="G55" s="32">
        <f>IF(J54=0,IF(E54&gt;0,1,""),C55/J54)</f>
        <v>0.17631345265074821</v>
      </c>
      <c r="H55" s="7" t="s">
        <v>302</v>
      </c>
    </row>
    <row r="56" spans="1:12" ht="36" customHeight="1">
      <c r="B56" s="81" t="s">
        <v>448</v>
      </c>
      <c r="C56" s="81"/>
      <c r="D56" s="81"/>
      <c r="E56" s="81"/>
      <c r="F56" s="81"/>
      <c r="G56" s="81"/>
      <c r="H56" s="81"/>
      <c r="I56" s="81"/>
      <c r="J56" s="81"/>
      <c r="K56" s="81"/>
      <c r="L56" s="81"/>
    </row>
    <row r="57" spans="1:12" ht="18" customHeight="1">
      <c r="A57" s="82" t="s">
        <v>418</v>
      </c>
      <c r="B57" s="82"/>
      <c r="C57" s="82"/>
      <c r="D57" s="82"/>
      <c r="E57" s="75">
        <f>_xlfn.IFNA(VLOOKUP(封面!B1,一般公共预算财政拨款支出决算具体情况!A:AG,33,FALSE),"")</f>
        <v>0</v>
      </c>
      <c r="F57" s="75"/>
      <c r="G57" s="7" t="s">
        <v>179</v>
      </c>
      <c r="H57" s="76" t="s">
        <v>407</v>
      </c>
      <c r="I57" s="76"/>
      <c r="J57" s="75">
        <f>_xlfn.IFNA(VLOOKUP(封面!B1,一般公共预算财政拨款支出决算具体情况!A:AH,34,FALSE),"")</f>
        <v>0</v>
      </c>
      <c r="K57" s="75"/>
      <c r="L57" s="11" t="s">
        <v>178</v>
      </c>
    </row>
    <row r="58" spans="1:12" ht="18" customHeight="1">
      <c r="A58" s="82" t="s">
        <v>438</v>
      </c>
      <c r="B58" s="82"/>
      <c r="C58" s="82"/>
      <c r="D58" s="82"/>
      <c r="E58" s="75">
        <f>_xlfn.IFNA(VLOOKUP(封面!B1,一般公共预算财政拨款支出决算具体情况!A:AK,37,FALSE),"")</f>
        <v>860098</v>
      </c>
      <c r="F58" s="75"/>
      <c r="G58" s="7" t="s">
        <v>179</v>
      </c>
      <c r="H58" s="76" t="s">
        <v>407</v>
      </c>
      <c r="I58" s="76"/>
      <c r="J58" s="75">
        <f>_xlfn.IFNA(VLOOKUP(封面!B1,一般公共预算财政拨款支出决算具体情况!A:AL,38,FALSE),"")</f>
        <v>903066.53</v>
      </c>
      <c r="K58" s="75"/>
      <c r="L58" s="11" t="s">
        <v>178</v>
      </c>
    </row>
    <row r="59" spans="1:12" ht="18" customHeight="1">
      <c r="B59" s="14" t="str">
        <f>IF(E58&gt;J58,"增加","减少")</f>
        <v>减少</v>
      </c>
      <c r="C59" s="75">
        <f>ABS(E58-J58)</f>
        <v>42968.530000000028</v>
      </c>
      <c r="D59" s="75"/>
      <c r="E59" s="7" t="s">
        <v>179</v>
      </c>
      <c r="F59" s="14" t="str">
        <f>IF(E58&gt;J58,"增长","下降")</f>
        <v>下降</v>
      </c>
      <c r="G59" s="32">
        <f>IF(J58=0,IF(E58&gt;0,1,""),C59/J58)</f>
        <v>4.7580691535539496E-2</v>
      </c>
      <c r="H59" s="7" t="s">
        <v>302</v>
      </c>
      <c r="I59" s="11" t="s">
        <v>204</v>
      </c>
    </row>
    <row r="60" spans="1:12" ht="18" customHeight="1">
      <c r="A60" s="77" t="s">
        <v>419</v>
      </c>
      <c r="B60" s="77"/>
      <c r="C60" s="77"/>
      <c r="D60" s="77"/>
      <c r="E60" s="75">
        <f>_xlfn.IFNA(VLOOKUP(封面!B1,一般公共预算财政拨款支出决算具体情况!A:AM,39,FALSE),"")</f>
        <v>860098</v>
      </c>
      <c r="F60" s="75"/>
      <c r="G60" s="7" t="s">
        <v>179</v>
      </c>
      <c r="H60" s="76" t="s">
        <v>407</v>
      </c>
      <c r="I60" s="76"/>
      <c r="J60" s="75">
        <f>_xlfn.IFNA(VLOOKUP(封面!B1,一般公共预算财政拨款支出决算具体情况!A:AN,40,FALSE),"")</f>
        <v>903066.53</v>
      </c>
      <c r="K60" s="75"/>
      <c r="L60" s="11" t="s">
        <v>178</v>
      </c>
    </row>
    <row r="61" spans="1:12" ht="18" customHeight="1">
      <c r="A61" s="14"/>
      <c r="B61" s="14" t="str">
        <f>IF(E60&gt;J60,"增加","减少")</f>
        <v>减少</v>
      </c>
      <c r="C61" s="75">
        <f>ABS(E60-J60)</f>
        <v>42968.530000000028</v>
      </c>
      <c r="D61" s="75"/>
      <c r="E61" s="7" t="s">
        <v>179</v>
      </c>
      <c r="F61" s="14" t="str">
        <f>IF(E60&gt;J60,"增长","下降")</f>
        <v>下降</v>
      </c>
      <c r="G61" s="32">
        <f>IF(J60=0,IF(E60&gt;0,1,""),C61/J60)</f>
        <v>4.7580691535539496E-2</v>
      </c>
      <c r="H61" s="7" t="s">
        <v>302</v>
      </c>
    </row>
    <row r="62" spans="1:12" ht="36" customHeight="1">
      <c r="B62" s="81" t="s">
        <v>449</v>
      </c>
      <c r="C62" s="81"/>
      <c r="D62" s="81"/>
      <c r="E62" s="81"/>
      <c r="F62" s="81"/>
      <c r="G62" s="81"/>
      <c r="H62" s="81"/>
      <c r="I62" s="81"/>
      <c r="J62" s="81"/>
      <c r="K62" s="81"/>
      <c r="L62" s="81"/>
    </row>
    <row r="63" spans="1:12" ht="18" customHeight="1">
      <c r="A63" s="6" t="s">
        <v>205</v>
      </c>
    </row>
    <row r="64" spans="1:12" ht="18" customHeight="1">
      <c r="A64" s="7" t="str">
        <f>IF(_xlfn.IFNA(VLOOKUP(封面!B1,'2021决算导出'!A:W,23,FALSE),"")=0,"本年度无此项支出。","")</f>
        <v>本年度无此项支出。</v>
      </c>
    </row>
    <row r="65" spans="1:13" ht="18" customHeight="1">
      <c r="A65" s="6" t="s">
        <v>206</v>
      </c>
    </row>
    <row r="66" spans="1:13" ht="18" customHeight="1">
      <c r="A66" s="7" t="s">
        <v>207</v>
      </c>
    </row>
    <row r="67" spans="1:13" ht="18" customHeight="1">
      <c r="A67" s="6" t="s">
        <v>208</v>
      </c>
    </row>
    <row r="68" spans="1:13" ht="18" customHeight="1">
      <c r="A68" s="7" t="s">
        <v>420</v>
      </c>
      <c r="G68" s="75">
        <f>_xlfn.IFNA(VLOOKUP(封面!B1,'2021决算导出'!A:AA,27,FALSE),"")</f>
        <v>6573185.6399999997</v>
      </c>
      <c r="H68" s="75"/>
      <c r="I68" s="11" t="s">
        <v>179</v>
      </c>
    </row>
    <row r="69" spans="1:13" ht="130.15" customHeight="1">
      <c r="A69" s="81" t="s">
        <v>209</v>
      </c>
      <c r="B69" s="81"/>
      <c r="C69" s="81"/>
      <c r="D69" s="81"/>
      <c r="E69" s="81"/>
      <c r="F69" s="81"/>
      <c r="G69" s="81"/>
      <c r="H69" s="81"/>
      <c r="I69" s="81"/>
      <c r="J69" s="81"/>
      <c r="K69" s="81"/>
      <c r="L69" s="81"/>
      <c r="M69" s="81"/>
    </row>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sheetData>
  <mergeCells count="113">
    <mergeCell ref="G68:H68"/>
    <mergeCell ref="A69:M69"/>
    <mergeCell ref="A4:M4"/>
    <mergeCell ref="B62:L62"/>
    <mergeCell ref="C59:D59"/>
    <mergeCell ref="A60:D60"/>
    <mergeCell ref="E60:F60"/>
    <mergeCell ref="H60:I60"/>
    <mergeCell ref="J60:K60"/>
    <mergeCell ref="C61:D61"/>
    <mergeCell ref="A58:D58"/>
    <mergeCell ref="E58:F58"/>
    <mergeCell ref="H58:I58"/>
    <mergeCell ref="J58:K58"/>
    <mergeCell ref="E49:F49"/>
    <mergeCell ref="H49:I49"/>
    <mergeCell ref="J49:K49"/>
    <mergeCell ref="C50:D50"/>
    <mergeCell ref="A52:D52"/>
    <mergeCell ref="E52:F52"/>
    <mergeCell ref="H52:I52"/>
    <mergeCell ref="J52:K52"/>
    <mergeCell ref="C53:D53"/>
    <mergeCell ref="B51:L51"/>
    <mergeCell ref="A46:D46"/>
    <mergeCell ref="E46:F46"/>
    <mergeCell ref="H46:K46"/>
    <mergeCell ref="A57:D57"/>
    <mergeCell ref="E57:F57"/>
    <mergeCell ref="A54:D54"/>
    <mergeCell ref="E54:F54"/>
    <mergeCell ref="H54:I54"/>
    <mergeCell ref="J54:K54"/>
    <mergeCell ref="C55:D55"/>
    <mergeCell ref="B56:L56"/>
    <mergeCell ref="H57:I57"/>
    <mergeCell ref="J57:K57"/>
    <mergeCell ref="A47:D47"/>
    <mergeCell ref="E47:F47"/>
    <mergeCell ref="H47:I47"/>
    <mergeCell ref="J47:K47"/>
    <mergeCell ref="C43:D43"/>
    <mergeCell ref="B44:L44"/>
    <mergeCell ref="A45:D45"/>
    <mergeCell ref="E45:F45"/>
    <mergeCell ref="C40:D40"/>
    <mergeCell ref="B41:L41"/>
    <mergeCell ref="A42:D42"/>
    <mergeCell ref="E42:F42"/>
    <mergeCell ref="H42:I42"/>
    <mergeCell ref="J42:K42"/>
    <mergeCell ref="H45:K45"/>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C48:D48"/>
    <mergeCell ref="A49:D49"/>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6"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78" t="s">
        <v>421</v>
      </c>
      <c r="B7" s="78"/>
      <c r="C7" s="78"/>
      <c r="D7" s="78"/>
      <c r="E7" s="75">
        <f>_xlfn.IFNA(VLOOKUP(封面!B1,'2021决算导出'!A:AW,49,FALSE),"")</f>
        <v>4275</v>
      </c>
      <c r="F7" s="75"/>
      <c r="G7" s="7" t="s">
        <v>179</v>
      </c>
      <c r="H7" s="78" t="s">
        <v>215</v>
      </c>
      <c r="I7" s="78"/>
      <c r="J7" s="78"/>
      <c r="K7" s="78"/>
      <c r="L7" s="75">
        <f>_xlfn.IFNA(VLOOKUP(封面!B1,'2021决算导出'!A:AX,50,FALSE),"")</f>
        <v>4275</v>
      </c>
      <c r="M7" s="75" t="s">
        <v>179</v>
      </c>
      <c r="N7" s="7" t="s">
        <v>179</v>
      </c>
    </row>
    <row r="8" spans="1:14" ht="18" customHeight="1">
      <c r="A8" s="78" t="s">
        <v>216</v>
      </c>
      <c r="B8" s="78"/>
      <c r="C8" s="78"/>
      <c r="D8" s="75">
        <f>_xlfn.IFNA(VLOOKUP(封面!B1,'2021决算导出'!A:AY,51,FALSE),"")</f>
        <v>0</v>
      </c>
      <c r="E8" s="75" t="s">
        <v>179</v>
      </c>
      <c r="F8" s="7" t="s">
        <v>179</v>
      </c>
      <c r="G8" s="78" t="s">
        <v>217</v>
      </c>
      <c r="H8" s="78"/>
      <c r="I8" s="78"/>
      <c r="J8" s="75">
        <f>_xlfn.IFNA(VLOOKUP(封面!B1,'2021决算导出'!A:AZ,52,FALSE),"")</f>
        <v>0</v>
      </c>
      <c r="K8" s="75" t="s">
        <v>179</v>
      </c>
      <c r="L8" s="7" t="s">
        <v>211</v>
      </c>
    </row>
    <row r="9" spans="1:14" ht="18" customHeight="1">
      <c r="A9" s="78" t="s">
        <v>218</v>
      </c>
      <c r="B9" s="78"/>
      <c r="C9" s="78"/>
      <c r="D9" s="78"/>
      <c r="E9" s="75">
        <f>_xlfn.IFNA(VLOOKUP(封面!B1,'2021决算导出'!A:BA,53,FALSE),"")</f>
        <v>0</v>
      </c>
      <c r="F9" s="75" t="s">
        <v>179</v>
      </c>
      <c r="G9" s="7" t="s">
        <v>179</v>
      </c>
      <c r="H9" s="76" t="s">
        <v>219</v>
      </c>
      <c r="I9" s="76"/>
      <c r="J9" s="76"/>
      <c r="K9" s="27">
        <f>E9/$E$7</f>
        <v>0</v>
      </c>
      <c r="L9" s="16" t="s">
        <v>300</v>
      </c>
      <c r="M9" s="7" t="s">
        <v>393</v>
      </c>
    </row>
    <row r="10" spans="1:14" ht="18" customHeight="1">
      <c r="A10" s="78" t="s">
        <v>220</v>
      </c>
      <c r="B10" s="78"/>
      <c r="C10" s="78"/>
      <c r="D10" s="78"/>
      <c r="E10" s="75">
        <f>_xlfn.IFNA(VLOOKUP(封面!B1,'2021决算导出'!A:BB,54,FALSE),"")</f>
        <v>0</v>
      </c>
      <c r="F10" s="75" t="s">
        <v>179</v>
      </c>
      <c r="G10" s="7" t="s">
        <v>179</v>
      </c>
      <c r="H10" s="76" t="s">
        <v>219</v>
      </c>
      <c r="I10" s="76"/>
      <c r="J10" s="76"/>
      <c r="K10" s="27">
        <f>E10/$E$7</f>
        <v>0</v>
      </c>
      <c r="L10" s="16" t="s">
        <v>302</v>
      </c>
    </row>
    <row r="11" spans="1:14" ht="18" customHeight="1">
      <c r="A11" s="6" t="s">
        <v>221</v>
      </c>
    </row>
    <row r="12" spans="1:14" ht="18" customHeight="1">
      <c r="A12" s="78" t="s">
        <v>422</v>
      </c>
      <c r="B12" s="78"/>
      <c r="C12" s="8">
        <f>_xlfn.IFNA(VLOOKUP(封面!B1,'2021决算导出'!A:BC,55,FALSE),"")</f>
        <v>0</v>
      </c>
      <c r="D12" s="7" t="s">
        <v>222</v>
      </c>
      <c r="M12" s="83">
        <f>_xlfn.IFNA(VLOOKUP(封面!B1,'2021决算导出'!A:BD,56,FALSE),"")</f>
        <v>0</v>
      </c>
      <c r="N12" s="83" t="s">
        <v>179</v>
      </c>
    </row>
    <row r="13" spans="1:14" ht="18" customHeight="1">
      <c r="A13" s="12" t="s">
        <v>223</v>
      </c>
      <c r="B13" s="78" t="s">
        <v>224</v>
      </c>
      <c r="C13" s="78"/>
      <c r="D13" s="78"/>
      <c r="E13" s="78"/>
      <c r="F13" s="78"/>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81" t="s">
        <v>439</v>
      </c>
      <c r="B18" s="81"/>
      <c r="C18" s="81"/>
      <c r="D18" s="81"/>
      <c r="E18" s="81"/>
      <c r="F18" s="81"/>
      <c r="G18" s="81"/>
      <c r="H18" s="81"/>
      <c r="I18" s="81"/>
      <c r="J18" s="81"/>
      <c r="K18" s="81"/>
      <c r="L18" s="81"/>
      <c r="M18" s="81"/>
      <c r="N18" s="81"/>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1" sqref="A11:N11"/>
    </sheetView>
  </sheetViews>
  <sheetFormatPr defaultRowHeight="14.25"/>
  <sheetData>
    <row r="10" spans="1:14" ht="54.6" customHeight="1">
      <c r="A10" s="73" t="s">
        <v>441</v>
      </c>
      <c r="B10" s="73"/>
      <c r="C10" s="73"/>
      <c r="D10" s="73"/>
      <c r="E10" s="73"/>
      <c r="F10" s="73"/>
      <c r="G10" s="73"/>
      <c r="H10" s="73"/>
      <c r="I10" s="73"/>
      <c r="J10" s="73"/>
      <c r="K10" s="73"/>
      <c r="L10" s="73"/>
      <c r="M10" s="73"/>
      <c r="N10" s="73"/>
    </row>
    <row r="11" spans="1:14" ht="78" customHeight="1">
      <c r="A11" s="74" t="s">
        <v>442</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423</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428</v>
      </c>
      <c r="X1" s="52" t="s">
        <v>429</v>
      </c>
      <c r="Y1" s="20" t="s">
        <v>430</v>
      </c>
      <c r="Z1" s="20" t="s">
        <v>424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425</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426</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427</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435</v>
      </c>
      <c r="T1" s="68" t="s">
        <v>436</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426</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427</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pageSetup paperSize="12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431</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431</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425</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425</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425</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425</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425</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425</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425</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425</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425</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425</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425</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431</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431</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426</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426</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426</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426</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426</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426</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427</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427</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427</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427</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427</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427</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431</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431</v>
      </c>
      <c r="B23" s="66">
        <v>2060499</v>
      </c>
      <c r="C23" s="66" t="s">
        <v>432</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433</v>
      </c>
      <c r="B34" s="66">
        <v>2120801</v>
      </c>
      <c r="C34" s="66" t="s">
        <v>432</v>
      </c>
      <c r="D34" s="66" t="s">
        <v>434</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2022-08-28T07:45:54Z</dcterms:modified>
</cp:coreProperties>
</file>