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23256" windowHeight="14016"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58" i="5"/>
  <c r="J54" i="5"/>
  <c r="E54" i="5"/>
  <c r="J52" i="5"/>
  <c r="E52" i="5"/>
  <c r="J47" i="5"/>
  <c r="J49" i="5"/>
  <c r="E49" i="5"/>
  <c r="E47" i="5"/>
  <c r="J44" i="5"/>
  <c r="E44" i="5"/>
  <c r="J42" i="5"/>
  <c r="E4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2"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9" i="5" l="1"/>
  <c r="E39" i="5"/>
  <c r="J36" i="5"/>
  <c r="E36" i="5"/>
  <c r="J34" i="5"/>
  <c r="E34" i="5"/>
  <c r="B55" i="5" l="1"/>
  <c r="F45" i="5"/>
  <c r="C48" i="5"/>
  <c r="G48" i="5" s="1"/>
  <c r="C53" i="5"/>
  <c r="G53" i="5" s="1"/>
  <c r="F35" i="5"/>
  <c r="F50" i="5"/>
  <c r="C55" i="5"/>
  <c r="G55" i="5" s="1"/>
  <c r="F55" i="5"/>
  <c r="F53" i="5"/>
  <c r="B53" i="5"/>
  <c r="B50" i="5"/>
  <c r="C50" i="5"/>
  <c r="G50" i="5" s="1"/>
  <c r="F48" i="5"/>
  <c r="B48" i="5"/>
  <c r="C45" i="5"/>
  <c r="G45" i="5" s="1"/>
  <c r="F37" i="5"/>
  <c r="F40" i="5"/>
  <c r="F43" i="5"/>
  <c r="B45" i="5"/>
  <c r="B43" i="5"/>
  <c r="C43" i="5"/>
  <c r="G43" i="5" s="1"/>
  <c r="C35" i="5"/>
  <c r="G35" i="5" s="1"/>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<sst xmlns="http://schemas.openxmlformats.org/spreadsheetml/2006/main" count="4733" uniqueCount="444">
  <si>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</si>
  <si>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</si>
  <si>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</si>
  <si>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</si>
  <si>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</si>
  <si>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</si>
  <si>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</si>
  <si>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</si>
  <si>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</si>
  <si>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</si>
  <si>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</si>
  <si>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</si>
  <si>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</si>
  <si>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</si>
  <si>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</si>
  <si>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</si>
  <si>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</si>
  <si>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</si>
  <si>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</si>
  <si>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</si>
  <si>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</si>
  <si>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</si>
  <si>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</si>
  <si>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</si>
  <si>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</si>
  <si>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</si>
  <si>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</si>
  <si>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</si>
  <si>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</si>
  <si>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</si>
  <si>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</si>
  <si>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</si>
  <si>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</si>
  <si>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</si>
  <si>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</si>
  <si>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</si>
  <si>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</si>
  <si>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</si>
  <si>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</si>
  <si>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</si>
  <si>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</si>
  <si>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</si>
  <si>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</si>
  <si>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</si>
  <si>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</si>
  <si>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</si>
  <si>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</si>
  <si>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</si>
  <si>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</si>
  <si>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</si>
  <si>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</si>
  <si>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</si>
  <si>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</si>
  <si>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</si>
  <si>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</si>
  <si>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</si>
  <si>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</si>
  <si>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</si>
  <si>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</si>
  <si>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</si>
  <si>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</si>
  <si>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</si>
  <si>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</si>
  <si>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</si>
  <si>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</si>
  <si>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</si>
  <si>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</si>
  <si>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</si>
  <si>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</si>
  <si>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</si>
  <si>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</si>
  <si>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</si>
  <si>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</si>
  <si>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</si>
  <si>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</si>
  <si>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</si>
  <si>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</si>
  <si>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</si>
  <si>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</si>
  <si>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</si>
  <si>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</si>
  <si>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</si>
  <si>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</si>
  <si>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</si>
  <si>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</si>
  <si>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</si>
  <si>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</si>
  <si>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</si>
  <si>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</si>
  <si>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</si>
  <si>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</si>
  <si>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</si>
  <si>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</si>
  <si>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</si>
  <si>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</si>
  <si>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</si>
  <si>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</si>
  <si>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</si>
  <si>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</si>
  <si>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</si>
  <si>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</si>
  <si>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</si>
  <si>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</si>
  <si>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</si>
  <si>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</si>
  <si>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</si>
  <si>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</si>
  <si>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</si>
  <si>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</si>
  <si>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</si>
  <si>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</si>
  <si>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</si>
  <si>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</si>
  <si>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</si>
  <si>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</si>
  <si>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</si>
  <si>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</si>
  <si>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</si>
  <si>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</si>
  <si>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</si>
  <si>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</si>
  <si>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</si>
  <si>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</si>
  <si>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</si>
  <si>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</si>
  <si>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</si>
  <si>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</si>
  <si>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</si>
  <si>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</si>
  <si>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</si>
  <si>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</si>
  <si>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</si>
  <si>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</si>
  <si>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</si>
  <si>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</si>
  <si>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</si>
  <si>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</si>
  <si>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</si>
  <si>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</si>
  <si>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</si>
  <si>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</si>
  <si>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</si>
  <si>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</si>
  <si>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</si>
  <si>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</si>
  <si>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</si>
  <si>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</si>
  <si>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</si>
  <si>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</si>
  <si>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</si>
  <si>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</si>
  <si>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</si>
  <si>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</si>
  <si>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</si>
  <si>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</si>
  <si>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</si>
  <si>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</si>
  <si>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</si>
  <si>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</si>
  <si>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</si>
  <si>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</si>
  <si>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</si>
  <si>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</si>
  <si>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</si>
  <si>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</si>
  <si>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</si>
  <si>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</si>
  <si>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</si>
  <si>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</si>
  <si>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</si>
  <si>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</si>
  <si>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</si>
  <si>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</si>
  <si>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</si>
  <si>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</si>
  <si>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</si>
  <si>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</si>
  <si>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</si>
  <si>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</si>
  <si>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</si>
  <si>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</si>
  <si>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</si>
  <si>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</si>
  <si>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</si>
  <si>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</si>
  <si>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</si>
  <si>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</si>
  <si>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</si>
  <si>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</si>
  <si>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</si>
  <si>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</si>
  <si>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</si>
  <si>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</si>
  <si>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</si>
  <si>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</si>
  <si>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</si>
  <si>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</si>
  <si>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</si>
  <si>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</si>
  <si>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</si>
  <si>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</si>
  <si>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</si>
  <si>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</si>
  <si>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</si>
  <si>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</si>
  <si>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</si>
  <si>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</si>
  <si>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</si>
  <si>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</si>
  <si>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</si>
  <si>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</si>
  <si>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</si>
  <si>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</si>
  <si>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</si>
  <si>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</si>
  <si>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</si>
  <si>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</si>
  <si>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</si>
  <si>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</si>
  <si>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</si>
  <si>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</si>
  <si>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</si>
  <si>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</si>
  <si>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</si>
  <si>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</si>
  <si>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</si>
  <si>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</si>
  <si>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</si>
  <si>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</si>
  <si>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</si>
  <si>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</si>
  <si>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</si>
  <si>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</si>
  <si>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</si>
  <si>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</si>
  <si>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</si>
  <si>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</si>
  <si>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</si>
  <si>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</si>
  <si>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</si>
  <si>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</si>
  <si>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</si>
  <si>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</si>
  <si>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</si>
  <si>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</si>
  <si>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</si>
  <si>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</si>
  <si>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</si>
  <si>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</si>
  <si>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</si>
  <si>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</si>
  <si>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</si>
  <si>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</si>
  <si>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</si>
  <si>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</si>
  <si>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</si>
  <si>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</si>
  <si>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</si>
  <si>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</si>
  <si>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</si>
  <si>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</si>
  <si>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</si>
  <si>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</si>
  <si>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</si>
  <si>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</si>
  <si>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</si>
  <si>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</si>
  <si>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</si>
  <si>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</si>
  <si>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</si>
  <si>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</si>
  <si>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</si>
  <si>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</si>
  <si>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</si>
  <si>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</si>
  <si>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</si>
  <si>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</si>
  <si>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</si>
  <si>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</si>
  <si>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</si>
  <si>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</si>
  <si>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</si>
  <si>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</si>
  <si>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</si>
  <si>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</si>
  <si>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</si>
  <si>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</si>
  <si>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</si>
  <si>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</si>
  <si>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</si>
  <si>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</si>
  <si>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</si>
  <si>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</si>
  <si>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</si>
  <si>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</si>
  <si>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</si>
  <si>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</si>
  <si>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</si>
  <si>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</si>
  <si>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</si>
  <si>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</si>
  <si>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</si>
  <si>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</si>
  <si>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</si>
  <si>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</si>
  <si>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</si>
  <si>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</si>
  <si>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</si>
  <si>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</si>
  <si>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</si>
  <si>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</si>
  <si>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</si>
  <si>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</si>
  <si>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</si>
  <si>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</si>
  <si>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</si>
  <si>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</si>
  <si>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</si>
  <si>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</si>
  <si>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</si>
  <si>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</si>
  <si>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</si>
  <si>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</si>
  <si>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</si>
  <si>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</si>
  <si>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</si>
  <si>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</si>
  <si>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</si>
  <si>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</si>
  <si>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</si>
  <si>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</si>
  <si>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</si>
  <si>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</si>
  <si>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</si>
  <si>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</si>
  <si>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</si>
  <si>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</si>
  <si>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</si>
  <si>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</si>
  <si>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</si>
  <si>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</si>
  <si>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</si>
  <si>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</si>
  <si>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</si>
  <si>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</si>
  <si>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</si>
  <si>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</si>
  <si>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</si>
  <si>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</si>
  <si>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</si>
  <si>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</si>
  <si>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</si>
  <si>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</si>
  <si>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</si>
  <si>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</si>
  <si>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</si>
  <si>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</si>
  <si>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</si>
  <si>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</si>
  <si>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</si>
  <si>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</si>
  <si>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</si>
  <si>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</si>
  <si>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</si>
  <si>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</si>
  <si>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</si>
  <si>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</si>
  <si>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</si>
  <si>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</si>
  <si>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</si>
  <si>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</si>
  <si>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</si>
  <si>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</si>
  <si>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</si>
  <si>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</si>
  <si>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</si>
  <si>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</si>
  <si>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</si>
  <si>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</si>
  <si>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</si>
  <si>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</si>
  <si>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</si>
  <si>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</si>
  <si>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</si>
  <si>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</si>
  <si>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</si>
  <si>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</si>
  <si>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</si>
  <si>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</si>
  <si>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</si>
  <si>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</si>
  <si>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</si>
  <si>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</si>
  <si>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</si>
  <si>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</si>
  <si>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</si>
  <si>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</si>
  <si>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</si>
  <si>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</si>
  <si>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</si>
  <si>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</si>
  <si>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</si>
  <si>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</si>
  <si>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</si>
  <si>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</si>
  <si>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</si>
  <si>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</si>
  <si>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</si>
  <si>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</si>
  <si>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</si>
  <si>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</si>
  <si>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</si>
  <si>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</si>
  <si>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</si>
  <si>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</si>
  <si>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</si>
  <si>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</si>
  <si>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</si>
  <si>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</si>
  <si>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</si>
  <si>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</si>
  <si>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</si>
  <si>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</si>
  <si>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</si>
  <si>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</si>
  <si>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</si>
  <si>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</si>
  <si>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</si>
  <si>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</si>
  <si>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</si>
  <si>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</si>
  <si>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</si>
  <si>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</si>
  <si>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</si>
  <si>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北京市西城区丰盛少年宫（什刹海社区教育学校）位于阜内大街315号，宗旨和业务范围：少年儿童的校外教育、社区教育。
    丰盛少年宫内设：党支部、主任室、办公室、德育处、教学处、总务处、财务室7个职能科室。
    少年宫始终以“让学生艺术素养、创新意识、人生积淀、综合素质更丰盛”为愿景，通过多彩的活动全面育人。孩子们在丰盛少年宫开设的舞蹈、美术、书法、钢琴、朗诵、阮、声乐等活动课程中不断超越自我。舞蹈团作为第一批北京阳光少年艺术团始终发挥引领作用，品牌项目“我的家在什刹海”深受辖区居民欢迎和喜爱。</t>
    <phoneticPr fontId="4" type="noConversion"/>
  </si>
  <si>
    <t>主要原因是校外教育机构本年度九月份开始恢复了收费，部分收支由单位自行负担，故全年财政总体收支有所减少。</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</si>
  <si>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</si>
  <si>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</si>
  <si>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</si>
  <si>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主要原因是主要原因是由于疫情的特殊原因导致部分培训项目改在线上进行，故部分经费相应减少。</t>
    <phoneticPr fontId="4" type="noConversion"/>
  </si>
  <si>
    <t>主要原因是个别市区级预算项目下达时间晚于预算提交时间，故导致决算数据较预算数据有所增长。</t>
    <phoneticPr fontId="4" type="noConversion"/>
  </si>
  <si>
    <t>主要原因是本年5月份有一名高级职称的教师办理了退休，故导致社保经费的减少。</t>
    <phoneticPr fontId="4" type="noConversion"/>
  </si>
  <si>
    <t>主要原因是本年度我单位先后调入三名教师，虽有一名教师退休，但还是导致了医保经费的增加。</t>
    <phoneticPr fontId="4" type="noConversion"/>
  </si>
  <si>
    <t>主要原因是本单位本年度先后调入了三位教师，且三人均有住房补贴，退休的一人无住房补贴，故导致决算住房保障支出的相应增加。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</si>
</sst>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25" zoomScale="80" zoomScaleNormal="80" workbookViewId="0">
      <selection activeCell="A12" sqref="A12:M12"/>
    </sheetView>
  </sheetViews>
  <sheetFormatPr defaultRowHeight="13.8"/>
  <cols>
    <col min="1" max="1" width="16.5546875" customWidth="1"/>
    <col min="2" max="2" width="12.77734375" bestFit="1" customWidth="1"/>
  </cols>
  <sheetData>
    <row r="1" spans="1:14" ht="37.799999999999997" customHeight="1">
      <c r="A1" s="25" t="s">
        <v>0</v>
      </c>
      <c r="B1" s="26">
        <v>255095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北京市西城区丰盛少年宫</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5546875" style="44" customWidth="1"/>
    <col min="8" max="10" width="8.6640625" style="44"/>
    <col min="11" max="11" width="7.77734375" style="44" customWidth="1"/>
    <col min="12" max="12" width="8.109375" style="44" customWidth="1"/>
    <col min="13" max="18" width="8.6640625" style="44"/>
    <col min="19" max="19" width="10.77734375" style="44" customWidth="1"/>
    <col min="20" max="20" width="10.6640625" style="44" customWidth="1"/>
    <col min="21" max="21" width="8.6640625" style="44"/>
    <col min="22" max="24" width="8.77734375" style="44" customWidth="1"/>
    <col min="25" max="16384" width="8.6640625" style="44"/>
  </cols>
  <sheetData>
    <row r="1" spans="1:40" s="39" customFormat="1" ht="61.8"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428</v>
      </c>
      <c r="T1" s="68" t="s">
        <v>429</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419</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420</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3"/>
    <col min="2" max="2" width="23.6640625" style="33" customWidth="1"/>
    <col min="3" max="4" width="7.21875" style="37" customWidth="1"/>
    <col min="5" max="5" width="8.5546875" style="38" customWidth="1"/>
    <col min="6" max="6" width="19.6640625" style="33" customWidth="1"/>
    <col min="7" max="8" width="13.6640625" style="33" customWidth="1"/>
    <col min="9" max="16384" width="8.88671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424</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424</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418</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418</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418</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418</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418</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418</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418</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418</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418</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418</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418</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424</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424</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419</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419</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419</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419</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419</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419</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420</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420</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420</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420</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420</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420</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424</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0" bestFit="1" customWidth="1"/>
    <col min="2" max="16384" width="8.6640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424</v>
      </c>
      <c r="B23" s="66">
        <v>2060499</v>
      </c>
      <c r="C23" s="66" t="s">
        <v>425</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426</v>
      </c>
      <c r="B34" s="66">
        <v>2120801</v>
      </c>
      <c r="C34" s="66" t="s">
        <v>425</v>
      </c>
      <c r="D34" s="66" t="s">
        <v>427</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0" zoomScale="90" zoomScaleNormal="90" workbookViewId="0">
      <selection sqref="A1:N1"/>
    </sheetView>
  </sheetViews>
  <sheetFormatPr defaultRowHeight="17.399999999999999"/>
  <cols>
    <col min="3" max="3" width="8.88671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22" zoomScale="90" zoomScaleNormal="90" workbookViewId="0">
      <selection activeCell="A10" sqref="A10:N10"/>
    </sheetView>
  </sheetViews>
  <sheetFormatPr defaultRowHeight="13.8"/>
  <sheetData>
    <row r="10" spans="1:14" ht="54.6" customHeight="1">
      <c r="A10" s="73" t="s">
        <v>400</v>
      </c>
      <c r="B10" s="73"/>
      <c r="C10" s="73"/>
      <c r="D10" s="73"/>
      <c r="E10" s="73"/>
      <c r="F10" s="73"/>
      <c r="G10" s="73"/>
      <c r="H10" s="73"/>
      <c r="I10" s="73"/>
      <c r="J10" s="73"/>
      <c r="K10" s="73"/>
      <c r="L10" s="73"/>
      <c r="M10" s="73"/>
      <c r="N10" s="73"/>
    </row>
    <row r="11" spans="1:14" ht="78" customHeight="1">
      <c r="A11" s="74" t="s">
        <v>431</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topLeftCell="A58" zoomScaleNormal="100" workbookViewId="0">
      <selection activeCell="A63" sqref="A63:M63"/>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124.2" customHeight="1">
      <c r="A4" s="75" t="s">
        <v>434</v>
      </c>
      <c r="B4" s="75"/>
      <c r="C4" s="75"/>
      <c r="D4" s="75"/>
      <c r="E4" s="75"/>
      <c r="F4" s="75"/>
      <c r="G4" s="75"/>
      <c r="H4" s="75"/>
      <c r="I4" s="75"/>
      <c r="J4" s="75"/>
      <c r="K4" s="75"/>
      <c r="L4" s="75"/>
      <c r="M4" s="75"/>
      <c r="N4" s="17"/>
    </row>
    <row r="5" spans="1:14" ht="18" customHeight="1">
      <c r="A5" s="7" t="s">
        <v>176</v>
      </c>
    </row>
    <row r="6" spans="1:14" ht="18" customHeight="1">
      <c r="A6" s="80" t="s">
        <v>231</v>
      </c>
      <c r="B6" s="80"/>
      <c r="C6" s="10">
        <v>21</v>
      </c>
      <c r="D6" s="10" t="s">
        <v>233</v>
      </c>
      <c r="E6" s="8">
        <f>_xlfn.IFNA(VLOOKUP(封面!B1,'2021决算导出'!A:C,3,FALSE),"")</f>
        <v>20</v>
      </c>
      <c r="F6" s="10" t="s">
        <v>234</v>
      </c>
      <c r="G6" s="10"/>
      <c r="H6" s="10"/>
      <c r="I6" s="10"/>
      <c r="J6" s="10"/>
      <c r="K6" s="10"/>
      <c r="L6" s="10"/>
      <c r="M6" s="10"/>
      <c r="N6" s="10"/>
    </row>
    <row r="7" spans="1:14" ht="18" customHeight="1">
      <c r="A7" s="6" t="s">
        <v>177</v>
      </c>
    </row>
    <row r="8" spans="1:14" ht="18" customHeight="1">
      <c r="A8" s="80" t="s">
        <v>401</v>
      </c>
      <c r="B8" s="80"/>
      <c r="C8" s="80"/>
      <c r="D8" s="13">
        <f>_xlfn.IFNA(VLOOKUP(封面!B1,'2021决算导出'!A:D,4,FALSE),"")</f>
        <v>7962499.9100000001</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921460</v>
      </c>
      <c r="I8" s="15" t="s">
        <v>179</v>
      </c>
      <c r="J8" s="28" t="str">
        <f>IF(ISNA(VLOOKUP(封面!B1,'2020决算导出'!A:D,4,FALSE)),"",IF(D8-VLOOKUP(封面!B1,'2020决算导出'!A:D,4,FALSE)&gt;0,"增长","下降"))</f>
        <v>下降</v>
      </c>
      <c r="K8" s="29">
        <f>IF(ISNA(VLOOKUP(封面!B1,'2020决算导出'!A:D,4,FALSE)),"",H8/VLOOKUP(封面!B1,'2020决算导出'!A:D,4,FALSE))</f>
        <v>0.10372176476874714</v>
      </c>
      <c r="L8" s="7" t="s">
        <v>299</v>
      </c>
    </row>
    <row r="9" spans="1:14" ht="18" customHeight="1">
      <c r="A9" s="7" t="s">
        <v>180</v>
      </c>
      <c r="G9" s="30"/>
      <c r="H9" s="30"/>
      <c r="I9" s="30"/>
      <c r="J9" s="30"/>
      <c r="K9" s="30"/>
    </row>
    <row r="10" spans="1:14" ht="18" customHeight="1">
      <c r="A10" s="80" t="s">
        <v>402</v>
      </c>
      <c r="B10" s="80"/>
      <c r="C10" s="80"/>
      <c r="D10" s="13">
        <f>_xlfn.IFNA(VLOOKUP(封面!B1,'2021决算导出'!A:E,5,FALSE),"")</f>
        <v>7962499.9100000001</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921460</v>
      </c>
      <c r="I10" s="15" t="s">
        <v>179</v>
      </c>
      <c r="J10" s="28" t="str">
        <f>IF(ISNA(VLOOKUP(封面!B1,'2020决算导出'!A:E,5,FALSE)),"",IF(D10-VLOOKUP(封面!B1,'2020决算导出'!A:E,5,FALSE)&gt;0,"增长","下降"))</f>
        <v>下降</v>
      </c>
      <c r="K10" s="29">
        <f>IF(ISNA(VLOOKUP(封面!B1,'2020决算导出'!A:E,5,FALSE)),"",H10/VLOOKUP(封面!B1,'2020决算导出'!A:E,5,FALSE))</f>
        <v>0.10372176476874714</v>
      </c>
      <c r="L10" s="7" t="s">
        <v>300</v>
      </c>
    </row>
    <row r="11" spans="1:14" ht="18" customHeight="1">
      <c r="A11" s="80" t="s">
        <v>181</v>
      </c>
      <c r="B11" s="80"/>
      <c r="C11" s="80"/>
      <c r="D11" s="13">
        <f>_xlfn.IFNA(VLOOKUP(封面!B1,'2021决算导出'!A:F,6,FALSE),"")</f>
        <v>7608239.9100000001</v>
      </c>
      <c r="E11" s="7" t="s">
        <v>179</v>
      </c>
      <c r="F11" s="80" t="s">
        <v>182</v>
      </c>
      <c r="G11" s="80"/>
      <c r="H11" s="27">
        <f>D11/$D$10</f>
        <v>0.95550894769178085</v>
      </c>
      <c r="I11" s="7" t="s">
        <v>301</v>
      </c>
    </row>
    <row r="12" spans="1:14" ht="18" customHeight="1">
      <c r="A12" s="80" t="s">
        <v>183</v>
      </c>
      <c r="B12" s="80"/>
      <c r="C12" s="80"/>
      <c r="D12" s="13">
        <f>_xlfn.IFNA(VLOOKUP(封面!B1,'2021决算导出'!A:G,7,FALSE),"")</f>
        <v>0</v>
      </c>
      <c r="E12" s="7" t="s">
        <v>179</v>
      </c>
      <c r="F12" s="80" t="s">
        <v>182</v>
      </c>
      <c r="G12" s="80"/>
      <c r="H12" s="27">
        <f t="shared" ref="H12:H15" si="0">D12/$D$10</f>
        <v>0</v>
      </c>
      <c r="I12" s="7" t="s">
        <v>301</v>
      </c>
    </row>
    <row r="13" spans="1:14" ht="18" customHeight="1">
      <c r="A13" s="80" t="s">
        <v>184</v>
      </c>
      <c r="B13" s="80"/>
      <c r="C13" s="80"/>
      <c r="D13" s="13">
        <f>_xlfn.IFNA(VLOOKUP(封面!B1,'2021决算导出'!A:H,8,FALSE),"")</f>
        <v>354260</v>
      </c>
      <c r="E13" s="7" t="s">
        <v>179</v>
      </c>
      <c r="F13" s="80" t="s">
        <v>182</v>
      </c>
      <c r="G13" s="80"/>
      <c r="H13" s="27">
        <f t="shared" si="0"/>
        <v>4.4491052308219113E-2</v>
      </c>
      <c r="I13" s="7" t="s">
        <v>301</v>
      </c>
    </row>
    <row r="14" spans="1:14" ht="18" customHeight="1">
      <c r="A14" s="80" t="s">
        <v>185</v>
      </c>
      <c r="B14" s="80"/>
      <c r="C14" s="80"/>
      <c r="D14" s="13">
        <f>_xlfn.IFNA(VLOOKUP(封面!B1,'2021决算导出'!A:I,9,FALSE),"")</f>
        <v>0</v>
      </c>
      <c r="E14" s="7" t="s">
        <v>179</v>
      </c>
      <c r="F14" s="80" t="s">
        <v>182</v>
      </c>
      <c r="G14" s="80"/>
      <c r="H14" s="27">
        <f t="shared" si="0"/>
        <v>0</v>
      </c>
      <c r="I14" s="7" t="s">
        <v>301</v>
      </c>
    </row>
    <row r="15" spans="1:14" ht="18" customHeight="1">
      <c r="A15" s="80" t="s">
        <v>186</v>
      </c>
      <c r="B15" s="80"/>
      <c r="C15" s="80"/>
      <c r="D15" s="13">
        <f>_xlfn.IFNA(VLOOKUP(封面!B1,'2021决算导出'!A:J,10,FALSE),"")</f>
        <v>0</v>
      </c>
      <c r="E15" s="7" t="s">
        <v>179</v>
      </c>
      <c r="F15" s="80" t="s">
        <v>182</v>
      </c>
      <c r="G15" s="80"/>
      <c r="H15" s="27">
        <f t="shared" si="0"/>
        <v>0</v>
      </c>
      <c r="I15" s="7" t="s">
        <v>302</v>
      </c>
    </row>
    <row r="16" spans="1:14" ht="18" customHeight="1">
      <c r="A16" s="7" t="s">
        <v>187</v>
      </c>
    </row>
    <row r="17" spans="1:13" ht="18" customHeight="1">
      <c r="A17" s="80" t="s">
        <v>403</v>
      </c>
      <c r="B17" s="80"/>
      <c r="C17" s="80"/>
      <c r="D17" s="13">
        <f>_xlfn.IFNA(VLOOKUP(封面!B1,'2021决算导出'!A:K,11,FALSE),"")</f>
        <v>7610598.9699999997</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1273360.9400000004</v>
      </c>
      <c r="I17" s="7" t="s">
        <v>179</v>
      </c>
      <c r="J17" s="28" t="str">
        <f>IF(ISNA(VLOOKUP(封面!B1,'2020决算导出'!A:K,11,FALSE)),"",IF(D17-VLOOKUP(封面!B1,'2020决算导出'!A:K,11,FALSE)&gt;0,"增长","下降"))</f>
        <v>下降</v>
      </c>
      <c r="K17" s="29">
        <f>IF(ISNA(VLOOKUP(封面!B1,'2020决算导出'!A:K,11,FALSE)),"",H17/VLOOKUP(封面!B1,'2020决算导出'!A:K,11,FALSE))</f>
        <v>0.14333258511969132</v>
      </c>
      <c r="L17" s="7" t="s">
        <v>303</v>
      </c>
    </row>
    <row r="18" spans="1:13" ht="18" customHeight="1">
      <c r="A18" s="80" t="s">
        <v>188</v>
      </c>
      <c r="B18" s="80"/>
      <c r="C18" s="80"/>
      <c r="D18" s="13">
        <f>_xlfn.IFNA(VLOOKUP(封面!B1,'2021决算导出'!A:L,12,FALSE),"")</f>
        <v>6587639.9100000001</v>
      </c>
      <c r="E18" s="7" t="s">
        <v>179</v>
      </c>
      <c r="F18" s="80" t="s">
        <v>189</v>
      </c>
      <c r="G18" s="80"/>
      <c r="H18" s="27">
        <f>D18/$D$17</f>
        <v>0.86558757542837661</v>
      </c>
      <c r="I18" s="7" t="s">
        <v>301</v>
      </c>
    </row>
    <row r="19" spans="1:13" ht="18" customHeight="1">
      <c r="A19" s="80" t="s">
        <v>190</v>
      </c>
      <c r="B19" s="80"/>
      <c r="C19" s="80"/>
      <c r="D19" s="13">
        <f>_xlfn.IFNA(VLOOKUP(封面!B1,'2021决算导出'!A:M,13,FALSE),"")</f>
        <v>1020600</v>
      </c>
      <c r="E19" s="7" t="s">
        <v>179</v>
      </c>
      <c r="F19" s="80" t="s">
        <v>189</v>
      </c>
      <c r="G19" s="80"/>
      <c r="H19" s="27">
        <f t="shared" ref="H19:H20" si="1">D19/$D$17</f>
        <v>0.13410245422509762</v>
      </c>
      <c r="I19" s="7" t="s">
        <v>301</v>
      </c>
    </row>
    <row r="20" spans="1:13" ht="18" customHeight="1">
      <c r="A20" s="80" t="s">
        <v>191</v>
      </c>
      <c r="B20" s="80"/>
      <c r="C20" s="80"/>
      <c r="D20" s="13">
        <f>_xlfn.IFNA(VLOOKUP(封面!B1,'2021决算导出'!A:N,14,FALSE),"")</f>
        <v>2359.06</v>
      </c>
      <c r="E20" s="7" t="s">
        <v>179</v>
      </c>
      <c r="F20" s="80" t="s">
        <v>189</v>
      </c>
      <c r="G20" s="80"/>
      <c r="H20" s="27">
        <f t="shared" si="1"/>
        <v>3.0997034652582671E-4</v>
      </c>
      <c r="I20" s="7" t="s">
        <v>302</v>
      </c>
    </row>
    <row r="21" spans="1:13" ht="18" customHeight="1">
      <c r="A21" s="6" t="s">
        <v>192</v>
      </c>
    </row>
    <row r="22" spans="1:13" ht="18" customHeight="1">
      <c r="A22" s="80" t="s">
        <v>404</v>
      </c>
      <c r="B22" s="80"/>
      <c r="C22" s="80"/>
      <c r="D22" s="80"/>
      <c r="E22" s="78">
        <f>_xlfn.IFNA(VLOOKUP(封面!B1,'2021决算导出'!A:O,15,FALSE),"")</f>
        <v>7608239.9100000001</v>
      </c>
      <c r="F22" s="78"/>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1275720</v>
      </c>
      <c r="J22" s="7" t="s">
        <v>179</v>
      </c>
      <c r="K22" s="28" t="str">
        <f>IF(ISNA(VLOOKUP(封面!B1,'2020决算导出'!A:O,15,FALSE)),"",IF(E22-VLOOKUP(封面!B1,'2020决算导出'!A:O,15,FALSE)&gt;0,"增长","下降"))</f>
        <v>下降</v>
      </c>
      <c r="L22" s="29">
        <f>IF(ISNA(VLOOKUP(封面!B1,'2020决算导出'!A:O,15,FALSE)),"",I22/VLOOKUP(封面!B1,'2020决算导出'!A:O,15,FALSE))</f>
        <v>0.14359812661513913</v>
      </c>
      <c r="M22" s="7" t="s">
        <v>299</v>
      </c>
    </row>
    <row r="23" spans="1:13" ht="63.6" customHeight="1">
      <c r="B23" s="82" t="s">
        <v>435</v>
      </c>
      <c r="C23" s="82"/>
      <c r="D23" s="82"/>
      <c r="E23" s="82"/>
      <c r="F23" s="82"/>
      <c r="G23" s="82"/>
      <c r="H23" s="82"/>
      <c r="I23" s="82"/>
      <c r="J23" s="82"/>
      <c r="K23" s="82"/>
      <c r="L23" s="82"/>
      <c r="M23" s="82"/>
    </row>
    <row r="24" spans="1:13" ht="18" customHeight="1">
      <c r="A24" s="6" t="s">
        <v>193</v>
      </c>
    </row>
    <row r="25" spans="1:13" ht="18" customHeight="1">
      <c r="A25" s="7" t="s">
        <v>194</v>
      </c>
    </row>
    <row r="26" spans="1:13" ht="18" customHeight="1">
      <c r="A26" s="80" t="s">
        <v>405</v>
      </c>
      <c r="B26" s="80"/>
      <c r="C26" s="80"/>
      <c r="D26" s="80"/>
      <c r="E26" s="80"/>
      <c r="F26" s="78">
        <f>_xlfn.IFNA(VLOOKUP(封面!B1,'2021决算导出'!A:P,16,FALSE),"")</f>
        <v>7608239.9100000001</v>
      </c>
      <c r="G26" s="78"/>
      <c r="H26" s="7" t="s">
        <v>179</v>
      </c>
      <c r="I26" s="10" t="s">
        <v>195</v>
      </c>
      <c r="J26" s="10"/>
      <c r="K26" s="10"/>
      <c r="L26" s="10"/>
      <c r="M26" s="10"/>
    </row>
    <row r="27" spans="1:13" ht="18" customHeight="1">
      <c r="A27" s="80" t="s">
        <v>198</v>
      </c>
      <c r="B27" s="80"/>
      <c r="C27" s="80"/>
      <c r="D27" s="78">
        <f>_xlfn.IFNA(VLOOKUP(封面!B1,'2021决算导出'!A:Q,17,FALSE),"")</f>
        <v>5290610.88</v>
      </c>
      <c r="E27" s="78"/>
      <c r="F27" s="7" t="s">
        <v>179</v>
      </c>
      <c r="G27" s="79" t="s">
        <v>197</v>
      </c>
      <c r="H27" s="79"/>
      <c r="I27" s="27">
        <f>D27/$F$26</f>
        <v>0.69537908144118965</v>
      </c>
      <c r="J27" s="7" t="s">
        <v>301</v>
      </c>
      <c r="K27" s="9"/>
      <c r="L27" s="9"/>
      <c r="M27" s="9"/>
    </row>
    <row r="28" spans="1:13" ht="18" customHeight="1">
      <c r="A28" s="80" t="s">
        <v>199</v>
      </c>
      <c r="B28" s="80"/>
      <c r="C28" s="80"/>
      <c r="D28" s="78">
        <f>_xlfn.IFNA(VLOOKUP(封面!B1,'2021决算导出'!A:R,18,FALSE),"")</f>
        <v>0</v>
      </c>
      <c r="E28" s="78"/>
      <c r="F28" s="7" t="s">
        <v>179</v>
      </c>
      <c r="G28" s="79" t="s">
        <v>197</v>
      </c>
      <c r="H28" s="79"/>
      <c r="I28" s="27">
        <f t="shared" ref="I28:I32" si="2">D28/$F$26</f>
        <v>0</v>
      </c>
      <c r="J28" s="7" t="s">
        <v>301</v>
      </c>
      <c r="K28" s="9"/>
      <c r="L28" s="9"/>
      <c r="M28" s="9"/>
    </row>
    <row r="29" spans="1:13" ht="18" customHeight="1">
      <c r="A29" s="80" t="s">
        <v>196</v>
      </c>
      <c r="B29" s="80"/>
      <c r="C29" s="80"/>
      <c r="D29" s="78">
        <f>_xlfn.IFNA(VLOOKUP(封面!B1,'2021决算导出'!A:S,19,FALSE),"")</f>
        <v>970291.7</v>
      </c>
      <c r="E29" s="78"/>
      <c r="F29" s="7" t="s">
        <v>179</v>
      </c>
      <c r="G29" s="79" t="s">
        <v>197</v>
      </c>
      <c r="H29" s="79"/>
      <c r="I29" s="27">
        <f t="shared" si="2"/>
        <v>0.12753169083491742</v>
      </c>
      <c r="J29" s="7" t="s">
        <v>301</v>
      </c>
    </row>
    <row r="30" spans="1:13" ht="18" customHeight="1">
      <c r="A30" s="80" t="s">
        <v>200</v>
      </c>
      <c r="B30" s="80"/>
      <c r="C30" s="80"/>
      <c r="D30" s="78">
        <f>_xlfn.IFNA(VLOOKUP(封面!B1,'2021决算导出'!A:T,20,FALSE),"")</f>
        <v>473147.33</v>
      </c>
      <c r="E30" s="78"/>
      <c r="F30" s="7" t="s">
        <v>179</v>
      </c>
      <c r="G30" s="79" t="s">
        <v>197</v>
      </c>
      <c r="H30" s="79"/>
      <c r="I30" s="27">
        <f t="shared" si="2"/>
        <v>6.2188802613612641E-2</v>
      </c>
      <c r="J30" s="7" t="s">
        <v>301</v>
      </c>
    </row>
    <row r="31" spans="1:13" ht="18" customHeight="1">
      <c r="A31" s="80" t="s">
        <v>201</v>
      </c>
      <c r="B31" s="80"/>
      <c r="C31" s="80"/>
      <c r="D31" s="78">
        <f>_xlfn.IFNA(VLOOKUP(封面!B1,'2021决算导出'!A:U,21,FALSE),"")</f>
        <v>0</v>
      </c>
      <c r="E31" s="78"/>
      <c r="F31" s="7" t="s">
        <v>179</v>
      </c>
      <c r="G31" s="79" t="s">
        <v>197</v>
      </c>
      <c r="H31" s="79"/>
      <c r="I31" s="27">
        <f t="shared" si="2"/>
        <v>0</v>
      </c>
      <c r="J31" s="7" t="s">
        <v>301</v>
      </c>
    </row>
    <row r="32" spans="1:13" ht="18" customHeight="1">
      <c r="A32" s="80" t="s">
        <v>202</v>
      </c>
      <c r="B32" s="80"/>
      <c r="C32" s="80"/>
      <c r="D32" s="78">
        <f>_xlfn.IFNA(VLOOKUP(封面!B1,'2021决算导出'!A:V,22,FALSE),"")</f>
        <v>874190</v>
      </c>
      <c r="E32" s="78"/>
      <c r="F32" s="7" t="s">
        <v>179</v>
      </c>
      <c r="G32" s="79" t="s">
        <v>197</v>
      </c>
      <c r="H32" s="79"/>
      <c r="I32" s="27">
        <f t="shared" si="2"/>
        <v>0.1149004251102802</v>
      </c>
      <c r="J32" s="7" t="s">
        <v>301</v>
      </c>
    </row>
    <row r="33" spans="1:12" ht="18" customHeight="1">
      <c r="A33" s="7" t="s">
        <v>203</v>
      </c>
    </row>
    <row r="34" spans="1:12" ht="18" customHeight="1">
      <c r="A34" s="76" t="s">
        <v>406</v>
      </c>
      <c r="B34" s="76"/>
      <c r="C34" s="76"/>
      <c r="D34" s="76"/>
      <c r="E34" s="78">
        <f>_xlfn.IFNA(VLOOKUP(封面!B1,一般公共预算财政拨款支出决算具体情况!A:C,3,FALSE),"")</f>
        <v>5290610.88</v>
      </c>
      <c r="F34" s="78"/>
      <c r="G34" s="7" t="s">
        <v>179</v>
      </c>
      <c r="H34" s="79" t="s">
        <v>407</v>
      </c>
      <c r="I34" s="79"/>
      <c r="J34" s="78">
        <f>_xlfn.IFNA(VLOOKUP(封面!B1,一般公共预算财政拨款支出决算具体情况!A:D,4,FALSE),"")</f>
        <v>5188128.83</v>
      </c>
      <c r="K34" s="78"/>
      <c r="L34" s="11" t="s">
        <v>178</v>
      </c>
    </row>
    <row r="35" spans="1:12" ht="18" customHeight="1">
      <c r="B35" s="14" t="str">
        <f>IF(E34&gt;J34,"增加","减少")</f>
        <v>增加</v>
      </c>
      <c r="C35" s="78">
        <f>ABS(E34-J34)</f>
        <v>102482.04999999981</v>
      </c>
      <c r="D35" s="78"/>
      <c r="E35" s="7" t="s">
        <v>179</v>
      </c>
      <c r="F35" s="14" t="str">
        <f>IF(E34&gt;J34,"增长","下降")</f>
        <v>增长</v>
      </c>
      <c r="G35" s="32">
        <f>IF(J34=0,IF(E34&gt;0,1,""),C35/J34)</f>
        <v>1.9753181418203106E-2</v>
      </c>
      <c r="H35" s="7" t="s">
        <v>302</v>
      </c>
      <c r="I35" s="11" t="s">
        <v>204</v>
      </c>
    </row>
    <row r="36" spans="1:12" ht="18" customHeight="1">
      <c r="A36" s="80" t="s">
        <v>408</v>
      </c>
      <c r="B36" s="80"/>
      <c r="C36" s="80"/>
      <c r="D36" s="80"/>
      <c r="E36" s="78">
        <f>_xlfn.IFNA(VLOOKUP(封面!B1,一般公共预算财政拨款支出决算具体情况!A:E,5,FALSE),"")</f>
        <v>5278524.88</v>
      </c>
      <c r="F36" s="78"/>
      <c r="G36" s="7" t="s">
        <v>179</v>
      </c>
      <c r="H36" s="79" t="s">
        <v>407</v>
      </c>
      <c r="I36" s="79"/>
      <c r="J36" s="78">
        <f>_xlfn.IFNA(VLOOKUP(封面!B1,一般公共预算财政拨款支出决算具体情况!A:F,6,FALSE),"")</f>
        <v>5174528.83</v>
      </c>
      <c r="K36" s="78"/>
      <c r="L36" s="11" t="s">
        <v>178</v>
      </c>
    </row>
    <row r="37" spans="1:12" ht="18" customHeight="1">
      <c r="A37" s="14"/>
      <c r="B37" s="14" t="str">
        <f>IF(E36&gt;J36,"增加","减少")</f>
        <v>增加</v>
      </c>
      <c r="C37" s="78">
        <f>ABS(E36-J36)</f>
        <v>103996.04999999981</v>
      </c>
      <c r="D37" s="78"/>
      <c r="E37" s="7" t="s">
        <v>179</v>
      </c>
      <c r="F37" s="14" t="str">
        <f>IF(E36&gt;J36,"增长","下降")</f>
        <v>增长</v>
      </c>
      <c r="G37" s="32">
        <f>IF(J36=0,IF(E36&gt;0,1,""),C37/J36)</f>
        <v>2.0097684913275439E-2</v>
      </c>
      <c r="H37" s="7" t="s">
        <v>302</v>
      </c>
    </row>
    <row r="38" spans="1:12" ht="36" customHeight="1">
      <c r="B38" s="75" t="s">
        <v>440</v>
      </c>
      <c r="C38" s="75"/>
      <c r="D38" s="75"/>
      <c r="E38" s="75"/>
      <c r="F38" s="75"/>
      <c r="G38" s="75"/>
      <c r="H38" s="75"/>
      <c r="I38" s="75"/>
      <c r="J38" s="75"/>
      <c r="K38" s="75"/>
      <c r="L38" s="75"/>
    </row>
    <row r="39" spans="1:12" ht="18" customHeight="1">
      <c r="A39" s="80" t="s">
        <v>409</v>
      </c>
      <c r="B39" s="80"/>
      <c r="C39" s="80"/>
      <c r="D39" s="80"/>
      <c r="E39" s="78">
        <f>_xlfn.IFNA(VLOOKUP(封面!B1,一般公共预算财政拨款支出决算具体情况!A:M,13,FALSE),"")</f>
        <v>12086</v>
      </c>
      <c r="F39" s="78"/>
      <c r="G39" s="7" t="s">
        <v>179</v>
      </c>
      <c r="H39" s="79" t="s">
        <v>407</v>
      </c>
      <c r="I39" s="79"/>
      <c r="J39" s="78">
        <f>_xlfn.IFNA(VLOOKUP(封面!B1,一般公共预算财政拨款支出决算具体情况!A:N,14,FALSE),"")</f>
        <v>13600</v>
      </c>
      <c r="K39" s="78"/>
      <c r="L39" s="11" t="s">
        <v>178</v>
      </c>
    </row>
    <row r="40" spans="1:12" ht="18" customHeight="1">
      <c r="A40" s="14"/>
      <c r="B40" s="14" t="str">
        <f>IF(E39&gt;J39,"增加","减少")</f>
        <v>减少</v>
      </c>
      <c r="C40" s="78">
        <f>ABS(E39-J39)</f>
        <v>1514</v>
      </c>
      <c r="D40" s="78"/>
      <c r="E40" s="7" t="s">
        <v>179</v>
      </c>
      <c r="F40" s="14" t="str">
        <f>IF(E39&gt;J39,"增长","下降")</f>
        <v>下降</v>
      </c>
      <c r="G40" s="32">
        <f>IF(J39=0,IF(E39&gt;0,1,""),C40/J39)</f>
        <v>0.11132352941176471</v>
      </c>
      <c r="H40" s="7" t="s">
        <v>302</v>
      </c>
    </row>
    <row r="41" spans="1:12" ht="36" customHeight="1">
      <c r="B41" s="75" t="s">
        <v>439</v>
      </c>
      <c r="C41" s="75"/>
      <c r="D41" s="75"/>
      <c r="E41" s="75"/>
      <c r="F41" s="75"/>
      <c r="G41" s="75"/>
      <c r="H41" s="75"/>
      <c r="I41" s="75"/>
      <c r="J41" s="75"/>
      <c r="K41" s="75"/>
      <c r="L41" s="75"/>
    </row>
    <row r="42" spans="1:12" ht="18" customHeight="1">
      <c r="A42" s="77" t="s">
        <v>436</v>
      </c>
      <c r="B42" s="77"/>
      <c r="C42" s="77"/>
      <c r="D42" s="77"/>
      <c r="E42" s="78">
        <f>_xlfn.IFNA(VLOOKUP(封面!B1,一般公共预算财政拨款支出决算具体情况!A:W,23,FALSE),"")</f>
        <v>970291.70000000007</v>
      </c>
      <c r="F42" s="78"/>
      <c r="G42" s="7" t="s">
        <v>179</v>
      </c>
      <c r="H42" s="79" t="s">
        <v>407</v>
      </c>
      <c r="I42" s="79"/>
      <c r="J42" s="78">
        <f>_xlfn.IFNA(VLOOKUP(封面!B1,一般公共预算财政拨款支出决算具体情况!A:X,24,FALSE),"")</f>
        <v>1123395.68</v>
      </c>
      <c r="K42" s="78"/>
      <c r="L42" s="11" t="s">
        <v>178</v>
      </c>
    </row>
    <row r="43" spans="1:12" ht="18" customHeight="1">
      <c r="B43" s="14" t="str">
        <f>IF(E42&gt;J42,"增加","减少")</f>
        <v>减少</v>
      </c>
      <c r="C43" s="78">
        <f>ABS(E42-J42)</f>
        <v>153103.97999999986</v>
      </c>
      <c r="D43" s="78"/>
      <c r="E43" s="7" t="s">
        <v>179</v>
      </c>
      <c r="F43" s="14" t="str">
        <f>IF(E42&gt;J42,"增长","下降")</f>
        <v>下降</v>
      </c>
      <c r="G43" s="32">
        <f>IF(J42=0,IF(E42&gt;0,1,""),C43/J42)</f>
        <v>0.13628678009514855</v>
      </c>
      <c r="H43" s="7" t="s">
        <v>302</v>
      </c>
      <c r="I43" s="11" t="s">
        <v>204</v>
      </c>
    </row>
    <row r="44" spans="1:12" ht="18" customHeight="1">
      <c r="A44" s="81" t="s">
        <v>410</v>
      </c>
      <c r="B44" s="81"/>
      <c r="C44" s="81"/>
      <c r="D44" s="81"/>
      <c r="E44" s="78">
        <f>_xlfn.IFNA(VLOOKUP(封面!B1,一般公共预算财政拨款支出决算具体情况!A:Y,25,FALSE),"")</f>
        <v>970291.70000000007</v>
      </c>
      <c r="F44" s="78"/>
      <c r="G44" s="7" t="s">
        <v>179</v>
      </c>
      <c r="H44" s="79" t="s">
        <v>407</v>
      </c>
      <c r="I44" s="79"/>
      <c r="J44" s="78">
        <f>_xlfn.IFNA(VLOOKUP(封面!B1,一般公共预算财政拨款支出决算具体情况!A:Z,26,FALSE),"")</f>
        <v>1123395.68</v>
      </c>
      <c r="K44" s="78"/>
      <c r="L44" s="11" t="s">
        <v>178</v>
      </c>
    </row>
    <row r="45" spans="1:12" ht="18" customHeight="1">
      <c r="A45" s="14"/>
      <c r="B45" s="14" t="str">
        <f>IF(E44&gt;J44,"增加","减少")</f>
        <v>减少</v>
      </c>
      <c r="C45" s="78">
        <f>ABS(E44-J44)</f>
        <v>153103.97999999986</v>
      </c>
      <c r="D45" s="78"/>
      <c r="E45" s="7" t="s">
        <v>179</v>
      </c>
      <c r="F45" s="14" t="str">
        <f>IF(E44&gt;J44,"增长","下降")</f>
        <v>下降</v>
      </c>
      <c r="G45" s="32">
        <f>IF(J44=0,IF(E44&gt;0,1,""),C45/J44)</f>
        <v>0.13628678009514855</v>
      </c>
      <c r="H45" s="7" t="s">
        <v>302</v>
      </c>
    </row>
    <row r="46" spans="1:12" ht="36" customHeight="1">
      <c r="B46" s="75" t="s">
        <v>441</v>
      </c>
      <c r="C46" s="75"/>
      <c r="D46" s="75"/>
      <c r="E46" s="75"/>
      <c r="F46" s="75"/>
      <c r="G46" s="75"/>
      <c r="H46" s="75"/>
      <c r="I46" s="75"/>
      <c r="J46" s="75"/>
      <c r="K46" s="75"/>
      <c r="L46" s="75"/>
    </row>
    <row r="47" spans="1:12" ht="18" customHeight="1">
      <c r="A47" s="77" t="s">
        <v>437</v>
      </c>
      <c r="B47" s="77"/>
      <c r="C47" s="77"/>
      <c r="D47" s="77"/>
      <c r="E47" s="78">
        <f>_xlfn.IFNA(VLOOKUP(封面!B1,一般公共预算财政拨款支出决算具体情况!A:AC,29,FALSE),"")</f>
        <v>473147.33</v>
      </c>
      <c r="F47" s="78"/>
      <c r="G47" s="7" t="s">
        <v>179</v>
      </c>
      <c r="H47" s="79" t="s">
        <v>407</v>
      </c>
      <c r="I47" s="79"/>
      <c r="J47" s="78">
        <f>_xlfn.IFNA(VLOOKUP(封面!B1,一般公共预算财政拨款支出决算具体情况!A:AD,30,FALSE),"")</f>
        <v>454380.16</v>
      </c>
      <c r="K47" s="78"/>
      <c r="L47" s="11" t="s">
        <v>178</v>
      </c>
    </row>
    <row r="48" spans="1:12" ht="18" customHeight="1">
      <c r="B48" s="14" t="str">
        <f>IF(E47&gt;J47,"增加","减少")</f>
        <v>增加</v>
      </c>
      <c r="C48" s="78">
        <f>ABS(E47-J47)</f>
        <v>18767.170000000042</v>
      </c>
      <c r="D48" s="78"/>
      <c r="E48" s="7" t="s">
        <v>179</v>
      </c>
      <c r="F48" s="14" t="str">
        <f>IF(E47&gt;J47,"增长","下降")</f>
        <v>增长</v>
      </c>
      <c r="G48" s="32">
        <f>IF(J47=0,IF(E47&gt;0,1,""),C48/J47)</f>
        <v>4.1302793678315623E-2</v>
      </c>
      <c r="H48" s="7" t="s">
        <v>302</v>
      </c>
      <c r="I48" s="11" t="s">
        <v>204</v>
      </c>
    </row>
    <row r="49" spans="1:13" ht="18" customHeight="1">
      <c r="A49" s="81" t="s">
        <v>411</v>
      </c>
      <c r="B49" s="81"/>
      <c r="C49" s="81"/>
      <c r="D49" s="81"/>
      <c r="E49" s="78">
        <f>_xlfn.IFNA(VLOOKUP(封面!B1,一般公共预算财政拨款支出决算具体情况!A:AE,31,FALSE),"")</f>
        <v>473147.33</v>
      </c>
      <c r="F49" s="78"/>
      <c r="G49" s="7" t="s">
        <v>179</v>
      </c>
      <c r="H49" s="79" t="s">
        <v>407</v>
      </c>
      <c r="I49" s="79"/>
      <c r="J49" s="78">
        <f>_xlfn.IFNA(VLOOKUP(封面!B1,一般公共预算财政拨款支出决算具体情况!A:AF,32,FALSE),"")</f>
        <v>454380.16</v>
      </c>
      <c r="K49" s="78"/>
      <c r="L49" s="11" t="s">
        <v>178</v>
      </c>
    </row>
    <row r="50" spans="1:13" ht="18" customHeight="1">
      <c r="A50" s="14"/>
      <c r="B50" s="14" t="str">
        <f>IF(E49&gt;J49,"增加","减少")</f>
        <v>增加</v>
      </c>
      <c r="C50" s="78">
        <f>ABS(E49-J49)</f>
        <v>18767.170000000042</v>
      </c>
      <c r="D50" s="78"/>
      <c r="E50" s="7" t="s">
        <v>179</v>
      </c>
      <c r="F50" s="14" t="str">
        <f>IF(E49&gt;J49,"增长","下降")</f>
        <v>增长</v>
      </c>
      <c r="G50" s="32">
        <f>IF(J49=0,IF(E49&gt;0,1,""),C50/J49)</f>
        <v>4.1302793678315623E-2</v>
      </c>
      <c r="H50" s="7" t="s">
        <v>302</v>
      </c>
    </row>
    <row r="51" spans="1:13" ht="36" customHeight="1">
      <c r="B51" s="75" t="s">
        <v>442</v>
      </c>
      <c r="C51" s="75"/>
      <c r="D51" s="75"/>
      <c r="E51" s="75"/>
      <c r="F51" s="75"/>
      <c r="G51" s="75"/>
      <c r="H51" s="75"/>
      <c r="I51" s="75"/>
      <c r="J51" s="75"/>
      <c r="K51" s="75"/>
      <c r="L51" s="75"/>
    </row>
    <row r="52" spans="1:13" ht="18" customHeight="1">
      <c r="A52" s="77" t="s">
        <v>438</v>
      </c>
      <c r="B52" s="77"/>
      <c r="C52" s="77"/>
      <c r="D52" s="77"/>
      <c r="E52" s="78">
        <f>_xlfn.IFNA(VLOOKUP(封面!B1,一般公共预算财政拨款支出决算具体情况!A:AK,37,FALSE),"")</f>
        <v>874190</v>
      </c>
      <c r="F52" s="78"/>
      <c r="G52" s="7" t="s">
        <v>179</v>
      </c>
      <c r="H52" s="79" t="s">
        <v>407</v>
      </c>
      <c r="I52" s="79"/>
      <c r="J52" s="78">
        <f>_xlfn.IFNA(VLOOKUP(封面!B1,一般公共预算财政拨款支出决算具体情况!A:AL,38,FALSE),"")</f>
        <v>856455.84000000008</v>
      </c>
      <c r="K52" s="78"/>
      <c r="L52" s="11" t="s">
        <v>178</v>
      </c>
    </row>
    <row r="53" spans="1:13" ht="18" customHeight="1">
      <c r="B53" s="14" t="str">
        <f>IF(E52&gt;J52,"增加","减少")</f>
        <v>增加</v>
      </c>
      <c r="C53" s="78">
        <f>ABS(E52-J52)</f>
        <v>17734.159999999916</v>
      </c>
      <c r="D53" s="78"/>
      <c r="E53" s="7" t="s">
        <v>179</v>
      </c>
      <c r="F53" s="14" t="str">
        <f>IF(E52&gt;J52,"增长","下降")</f>
        <v>增长</v>
      </c>
      <c r="G53" s="32">
        <f>IF(J52=0,IF(E52&gt;0,1,""),C53/J52)</f>
        <v>2.0706449967110872E-2</v>
      </c>
      <c r="H53" s="7" t="s">
        <v>302</v>
      </c>
      <c r="I53" s="11" t="s">
        <v>204</v>
      </c>
    </row>
    <row r="54" spans="1:13" ht="18" customHeight="1">
      <c r="A54" s="81" t="s">
        <v>412</v>
      </c>
      <c r="B54" s="81"/>
      <c r="C54" s="81"/>
      <c r="D54" s="81"/>
      <c r="E54" s="78">
        <f>_xlfn.IFNA(VLOOKUP(封面!B1,一般公共预算财政拨款支出决算具体情况!A:AM,39,FALSE),"")</f>
        <v>874190</v>
      </c>
      <c r="F54" s="78"/>
      <c r="G54" s="7" t="s">
        <v>179</v>
      </c>
      <c r="H54" s="79" t="s">
        <v>407</v>
      </c>
      <c r="I54" s="79"/>
      <c r="J54" s="78">
        <f>_xlfn.IFNA(VLOOKUP(封面!B1,一般公共预算财政拨款支出决算具体情况!A:AN,40,FALSE),"")</f>
        <v>856455.84000000008</v>
      </c>
      <c r="K54" s="78"/>
      <c r="L54" s="11" t="s">
        <v>178</v>
      </c>
    </row>
    <row r="55" spans="1:13" ht="18" customHeight="1">
      <c r="A55" s="14"/>
      <c r="B55" s="14" t="str">
        <f>IF(E54&gt;J54,"增加","减少")</f>
        <v>增加</v>
      </c>
      <c r="C55" s="78">
        <f>ABS(E54-J54)</f>
        <v>17734.159999999916</v>
      </c>
      <c r="D55" s="78"/>
      <c r="E55" s="7" t="s">
        <v>179</v>
      </c>
      <c r="F55" s="14" t="str">
        <f>IF(E54&gt;J54,"增长","下降")</f>
        <v>增长</v>
      </c>
      <c r="G55" s="32">
        <f>IF(J54=0,IF(E54&gt;0,1,""),C55/J54)</f>
        <v>2.0706449967110872E-2</v>
      </c>
      <c r="H55" s="7" t="s">
        <v>302</v>
      </c>
    </row>
    <row r="56" spans="1:13" ht="36" customHeight="1">
      <c r="B56" s="75" t="s">
        <v>443</v>
      </c>
      <c r="C56" s="75"/>
      <c r="D56" s="75"/>
      <c r="E56" s="75"/>
      <c r="F56" s="75"/>
      <c r="G56" s="75"/>
      <c r="H56" s="75"/>
      <c r="I56" s="75"/>
      <c r="J56" s="75"/>
      <c r="K56" s="75"/>
      <c r="L56" s="75"/>
    </row>
    <row r="57" spans="1:13" ht="18" customHeight="1">
      <c r="A57" s="6" t="s">
        <v>205</v>
      </c>
    </row>
    <row r="58" spans="1:13" ht="18" customHeight="1">
      <c r="A58" s="7" t="str">
        <f>IF(_xlfn.IFNA(VLOOKUP(封面!B1,'2021决算导出'!A:W,23,FALSE),"")=0,"本年度无此项支出。","")</f>
        <v>本年度无此项支出。</v>
      </c>
    </row>
    <row r="59" spans="1:13" ht="18" customHeight="1">
      <c r="A59" s="6" t="s">
        <v>206</v>
      </c>
    </row>
    <row r="60" spans="1:13" ht="18" customHeight="1">
      <c r="A60" s="7" t="s">
        <v>207</v>
      </c>
    </row>
    <row r="61" spans="1:13" ht="18" customHeight="1">
      <c r="A61" s="6" t="s">
        <v>208</v>
      </c>
    </row>
    <row r="62" spans="1:13" ht="18" customHeight="1">
      <c r="A62" s="7" t="s">
        <v>413</v>
      </c>
      <c r="G62" s="78">
        <f>_xlfn.IFNA(VLOOKUP(封面!B1,'2021决算导出'!A:AA,27,FALSE),"")</f>
        <v>6587639.9100000001</v>
      </c>
      <c r="H62" s="78"/>
      <c r="I62" s="11" t="s">
        <v>179</v>
      </c>
    </row>
    <row r="63" spans="1:13" ht="130.19999999999999" customHeight="1">
      <c r="A63" s="75" t="s">
        <v>209</v>
      </c>
      <c r="B63" s="75"/>
      <c r="C63" s="75"/>
      <c r="D63" s="75"/>
      <c r="E63" s="75"/>
      <c r="F63" s="75"/>
      <c r="G63" s="75"/>
      <c r="H63" s="75"/>
      <c r="I63" s="75"/>
      <c r="J63" s="75"/>
      <c r="K63" s="75"/>
      <c r="L63" s="75"/>
      <c r="M63" s="75"/>
    </row>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sheetData>
  <mergeCells count="97">
    <mergeCell ref="G62:H62"/>
    <mergeCell ref="A63:M63"/>
    <mergeCell ref="A4:M4"/>
    <mergeCell ref="B56:L56"/>
    <mergeCell ref="C53:D53"/>
    <mergeCell ref="A54:D54"/>
    <mergeCell ref="E54:F54"/>
    <mergeCell ref="H54:I54"/>
    <mergeCell ref="J54:K54"/>
    <mergeCell ref="C55:D55"/>
    <mergeCell ref="A52:D52"/>
    <mergeCell ref="E52:F52"/>
    <mergeCell ref="H52:I52"/>
    <mergeCell ref="J52:K52"/>
    <mergeCell ref="E44:F44"/>
    <mergeCell ref="H44:I44"/>
    <mergeCell ref="J44:K44"/>
    <mergeCell ref="C45:D45"/>
    <mergeCell ref="A47:D47"/>
    <mergeCell ref="E47:F47"/>
    <mergeCell ref="H47:I47"/>
    <mergeCell ref="J47:K47"/>
    <mergeCell ref="C48:D48"/>
    <mergeCell ref="B46:L46"/>
    <mergeCell ref="A49:D49"/>
    <mergeCell ref="E49:F49"/>
    <mergeCell ref="H49:I49"/>
    <mergeCell ref="J49:K49"/>
    <mergeCell ref="C50:D50"/>
    <mergeCell ref="B51:L51"/>
    <mergeCell ref="C40:D40"/>
    <mergeCell ref="B41:L41"/>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2:D42"/>
    <mergeCell ref="E42:F42"/>
    <mergeCell ref="H42:I42"/>
    <mergeCell ref="J42:K42"/>
    <mergeCell ref="C43:D43"/>
    <mergeCell ref="A44:D4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4" workbookViewId="0">
      <selection activeCell="G12" sqref="G12"/>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0" t="s">
        <v>414</v>
      </c>
      <c r="B7" s="80"/>
      <c r="C7" s="80"/>
      <c r="D7" s="80"/>
      <c r="E7" s="78">
        <f>_xlfn.IFNA(VLOOKUP(封面!B1,'2021决算导出'!A:AW,49,FALSE),"")</f>
        <v>116400</v>
      </c>
      <c r="F7" s="78"/>
      <c r="G7" s="7" t="s">
        <v>179</v>
      </c>
      <c r="H7" s="80" t="s">
        <v>215</v>
      </c>
      <c r="I7" s="80"/>
      <c r="J7" s="80"/>
      <c r="K7" s="80"/>
      <c r="L7" s="78">
        <f>_xlfn.IFNA(VLOOKUP(封面!B1,'2021决算导出'!A:AX,50,FALSE),"")</f>
        <v>0</v>
      </c>
      <c r="M7" s="78" t="s">
        <v>179</v>
      </c>
      <c r="N7" s="7" t="s">
        <v>179</v>
      </c>
    </row>
    <row r="8" spans="1:14" ht="18" customHeight="1">
      <c r="A8" s="80" t="s">
        <v>216</v>
      </c>
      <c r="B8" s="80"/>
      <c r="C8" s="80"/>
      <c r="D8" s="78">
        <f>_xlfn.IFNA(VLOOKUP(封面!B1,'2021决算导出'!A:AY,51,FALSE),"")</f>
        <v>0</v>
      </c>
      <c r="E8" s="78" t="s">
        <v>179</v>
      </c>
      <c r="F8" s="7" t="s">
        <v>179</v>
      </c>
      <c r="G8" s="80" t="s">
        <v>217</v>
      </c>
      <c r="H8" s="80"/>
      <c r="I8" s="80"/>
      <c r="J8" s="78">
        <f>_xlfn.IFNA(VLOOKUP(封面!B1,'2021决算导出'!A:AZ,52,FALSE),"")</f>
        <v>116400</v>
      </c>
      <c r="K8" s="78" t="s">
        <v>179</v>
      </c>
      <c r="L8" s="7" t="s">
        <v>211</v>
      </c>
    </row>
    <row r="9" spans="1:14" ht="18" customHeight="1">
      <c r="A9" s="80" t="s">
        <v>218</v>
      </c>
      <c r="B9" s="80"/>
      <c r="C9" s="80"/>
      <c r="D9" s="80"/>
      <c r="E9" s="78">
        <f>_xlfn.IFNA(VLOOKUP(封面!B1,'2021决算导出'!A:BA,53,FALSE),"")</f>
        <v>0</v>
      </c>
      <c r="F9" s="78" t="s">
        <v>179</v>
      </c>
      <c r="G9" s="7" t="s">
        <v>179</v>
      </c>
      <c r="H9" s="79" t="s">
        <v>219</v>
      </c>
      <c r="I9" s="79"/>
      <c r="J9" s="79"/>
      <c r="K9" s="27">
        <f>E9/$E$7</f>
        <v>0</v>
      </c>
      <c r="L9" s="16" t="s">
        <v>300</v>
      </c>
      <c r="M9" s="7" t="s">
        <v>393</v>
      </c>
    </row>
    <row r="10" spans="1:14" ht="18" customHeight="1">
      <c r="A10" s="80" t="s">
        <v>220</v>
      </c>
      <c r="B10" s="80"/>
      <c r="C10" s="80"/>
      <c r="D10" s="80"/>
      <c r="E10" s="78">
        <f>_xlfn.IFNA(VLOOKUP(封面!B1,'2021决算导出'!A:BB,54,FALSE),"")</f>
        <v>0</v>
      </c>
      <c r="F10" s="78" t="s">
        <v>179</v>
      </c>
      <c r="G10" s="7" t="s">
        <v>179</v>
      </c>
      <c r="H10" s="79" t="s">
        <v>219</v>
      </c>
      <c r="I10" s="79"/>
      <c r="J10" s="79"/>
      <c r="K10" s="27">
        <f>E10/$E$7</f>
        <v>0</v>
      </c>
      <c r="L10" s="16" t="s">
        <v>302</v>
      </c>
    </row>
    <row r="11" spans="1:14" ht="18" customHeight="1">
      <c r="A11" s="6" t="s">
        <v>221</v>
      </c>
    </row>
    <row r="12" spans="1:14" ht="18" customHeight="1">
      <c r="A12" s="80" t="s">
        <v>415</v>
      </c>
      <c r="B12" s="80"/>
      <c r="C12" s="8">
        <f>_xlfn.IFNA(VLOOKUP(封面!B1,'2021决算导出'!A:BC,55,FALSE),"")</f>
        <v>0</v>
      </c>
      <c r="D12" s="7" t="s">
        <v>222</v>
      </c>
      <c r="M12" s="83">
        <f>_xlfn.IFNA(VLOOKUP(封面!B1,'2021决算导出'!A:BD,56,FALSE),"")</f>
        <v>0</v>
      </c>
      <c r="N12" s="83" t="s">
        <v>179</v>
      </c>
    </row>
    <row r="13" spans="1:14" ht="18" customHeight="1">
      <c r="A13" s="12" t="s">
        <v>223</v>
      </c>
      <c r="B13" s="80" t="s">
        <v>224</v>
      </c>
      <c r="C13" s="80"/>
      <c r="D13" s="80"/>
      <c r="E13" s="80"/>
      <c r="F13" s="80"/>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5" t="s">
        <v>430</v>
      </c>
      <c r="B18" s="75"/>
      <c r="C18" s="75"/>
      <c r="D18" s="75"/>
      <c r="E18" s="75"/>
      <c r="F18" s="75"/>
      <c r="G18" s="75"/>
      <c r="H18" s="75"/>
      <c r="I18" s="75"/>
      <c r="J18" s="75"/>
      <c r="K18" s="75"/>
      <c r="L18" s="75"/>
      <c r="M18" s="75"/>
      <c r="N18" s="75"/>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0" sqref="A10:N10"/>
    </sheetView>
  </sheetViews>
  <sheetFormatPr defaultRowHeight="13.8"/>
  <sheetData>
    <row r="10" spans="1:14" ht="54.6" customHeight="1">
      <c r="A10" s="73" t="s">
        <v>432</v>
      </c>
      <c r="B10" s="73"/>
      <c r="C10" s="73"/>
      <c r="D10" s="73"/>
      <c r="E10" s="73"/>
      <c r="F10" s="73"/>
      <c r="G10" s="73"/>
      <c r="H10" s="73"/>
      <c r="I10" s="73"/>
      <c r="J10" s="73"/>
      <c r="K10" s="73"/>
      <c r="L10" s="73"/>
      <c r="M10" s="73"/>
      <c r="N10" s="73"/>
    </row>
    <row r="11" spans="1:14" ht="78" customHeight="1">
      <c r="A11" s="74" t="s">
        <v>433</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7.33203125" style="61" customWidth="1"/>
    <col min="2" max="2" width="15.44140625" style="53" customWidth="1"/>
    <col min="3" max="3" width="5.88671875" style="53" customWidth="1"/>
    <col min="4" max="6" width="13.33203125" style="53" customWidth="1"/>
    <col min="7" max="8" width="12.44140625" style="53" customWidth="1"/>
    <col min="9" max="9" width="9" style="53" customWidth="1"/>
    <col min="10" max="10" width="12.21875" style="53" customWidth="1"/>
    <col min="11" max="13" width="13.33203125" style="53" customWidth="1"/>
    <col min="14" max="14" width="12.6640625" style="53" customWidth="1"/>
    <col min="15" max="20" width="13.33203125" style="53" customWidth="1"/>
    <col min="21" max="21" width="11.5546875" style="53" customWidth="1"/>
    <col min="22" max="22" width="13.33203125" style="53" customWidth="1"/>
    <col min="23" max="23" width="11" style="53" customWidth="1"/>
    <col min="24" max="24" width="11.6640625" style="62" customWidth="1"/>
    <col min="25" max="25" width="10.5546875" style="53" customWidth="1"/>
    <col min="26" max="26" width="10.33203125" style="53" customWidth="1"/>
    <col min="27" max="27" width="13.33203125" style="53" customWidth="1"/>
    <col min="28" max="28" width="11" style="53" customWidth="1"/>
    <col min="29" max="29" width="10.88671875" style="53" customWidth="1"/>
    <col min="30" max="34" width="7.5546875" style="53" customWidth="1"/>
    <col min="35" max="35" width="13.33203125" style="53" customWidth="1"/>
    <col min="36" max="36" width="11.21875" style="53" customWidth="1"/>
    <col min="37" max="40" width="6.88671875" style="53" customWidth="1"/>
    <col min="41" max="41" width="12.44140625" style="53" customWidth="1"/>
    <col min="42" max="42" width="11.77734375" style="53" customWidth="1"/>
    <col min="43" max="46" width="11.109375" style="53" customWidth="1"/>
    <col min="47" max="47" width="8.5546875" style="53" customWidth="1"/>
    <col min="48" max="51" width="13.33203125" style="53" customWidth="1"/>
    <col min="52" max="52" width="12.33203125" style="53" customWidth="1"/>
    <col min="53" max="53" width="12" style="53" customWidth="1"/>
    <col min="54" max="54" width="13.33203125" style="53" customWidth="1"/>
    <col min="55" max="55" width="10" style="53" customWidth="1"/>
    <col min="56" max="56" width="13.33203125" style="53" customWidth="1"/>
    <col min="57" max="57" width="9" style="53" customWidth="1"/>
    <col min="58" max="58" width="9.5546875" style="53" customWidth="1"/>
    <col min="59" max="16384" width="8.88671875" style="53"/>
  </cols>
  <sheetData>
    <row r="1" spans="1:58" ht="60" customHeight="1">
      <c r="A1" s="19" t="s">
        <v>416</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421</v>
      </c>
      <c r="X1" s="52" t="s">
        <v>422</v>
      </c>
      <c r="Y1" s="20" t="s">
        <v>423</v>
      </c>
      <c r="Z1" s="20" t="s">
        <v>417</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7"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7"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7"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7"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7"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7"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7"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7"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7"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7"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7"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7"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7"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7"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7"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7"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7"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7"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7"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7"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7"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7"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7"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7"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7"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7"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7"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7"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7"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7"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7"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7"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7"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7"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7"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7"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7"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7"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7"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7"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7"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7"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7"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7"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7"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7"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7"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7"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7"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7"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7"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7"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7"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7"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7"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7"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7"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7"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7"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7"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7"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7"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7"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7"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7"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7"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7"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7"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7"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7"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7"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7"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7"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7"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7"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7"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7"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7"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7"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7"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7"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7"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7"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7"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7"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7"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7"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7"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7"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7"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7"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7"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7"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7"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7"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7"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7"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7"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7"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7"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7"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7"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7"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7"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7"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7"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7"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7"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7"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7"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7"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7"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7"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7"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7"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7"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7"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7"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7"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7"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7" customHeight="1">
      <c r="A122" s="54">
        <v>255154</v>
      </c>
      <c r="B122" s="23" t="s">
        <v>418</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7"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7"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7"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7"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7"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7"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7"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7"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7"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7"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7"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7"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7"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7"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7"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7"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7"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7"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7"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7"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7"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7"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7"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7"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7"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7"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7"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7"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7"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7"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7"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7"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7"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7"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7"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7"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7"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7"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7"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7" customHeight="1">
      <c r="A162" s="54">
        <v>255204</v>
      </c>
      <c r="B162" s="23" t="s">
        <v>419</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7" customHeight="1">
      <c r="A163" s="54">
        <v>255205</v>
      </c>
      <c r="B163" s="23" t="s">
        <v>420</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7"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3"/>
    <col min="2" max="2" width="18.88671875" style="33" customWidth="1"/>
    <col min="3" max="3" width="8.88671875" style="33"/>
    <col min="4" max="4" width="11.109375" style="65" customWidth="1"/>
    <col min="5" max="5" width="8.88671875" style="65"/>
    <col min="6" max="10" width="8.88671875" style="33"/>
    <col min="11" max="11" width="8.88671875" style="65"/>
    <col min="12" max="14" width="8.88671875" style="33"/>
    <col min="15" max="15" width="8.88671875" style="65"/>
    <col min="16" max="16384" width="8.88671875" style="33"/>
  </cols>
  <sheetData>
    <row r="1" spans="1:58" ht="60">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3"/>
    <col min="2" max="2" width="24.21875" style="33" customWidth="1"/>
    <col min="3" max="3" width="16.5546875" style="33" customWidth="1"/>
    <col min="4" max="4" width="13.109375" style="33" customWidth="1"/>
    <col min="5" max="5" width="14.44140625" style="33" customWidth="1"/>
    <col min="6" max="6" width="15.21875" style="33" customWidth="1"/>
    <col min="7" max="16384" width="8.88671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2022-08-29T06:22:29Z</dcterms:modified>
</cp:coreProperties>
</file>