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360MoveData\Users\jky\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5" i="5"/>
  <c r="A73" i="5"/>
  <c r="J69" i="5"/>
  <c r="E69" i="5"/>
  <c r="J67" i="5"/>
  <c r="E67" i="5"/>
  <c r="J65" i="5"/>
  <c r="E65" i="5"/>
  <c r="J63" i="5"/>
  <c r="J58" i="5"/>
  <c r="E63" i="5"/>
  <c r="J60" i="5"/>
  <c r="E60" i="5"/>
  <c r="E58" i="5"/>
  <c r="E57" i="5"/>
  <c r="J54" i="5"/>
  <c r="E54" i="5"/>
  <c r="J52" i="5"/>
  <c r="E52" i="5"/>
  <c r="E51" i="5"/>
  <c r="E50"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4" i="5" l="1"/>
  <c r="G64" i="5" s="1"/>
  <c r="F66" i="5"/>
  <c r="B66" i="5"/>
  <c r="C66" i="5"/>
  <c r="G66" i="5" s="1"/>
  <c r="F64" i="5"/>
  <c r="B64" i="5"/>
  <c r="H10" i="5"/>
  <c r="K10" i="5" s="1"/>
  <c r="G10" i="5"/>
  <c r="G85" i="5"/>
  <c r="J78" i="5"/>
  <c r="E78" i="5"/>
  <c r="D76"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9" i="5" l="1"/>
  <c r="J47" i="5"/>
  <c r="E47" i="5"/>
  <c r="J44" i="5"/>
  <c r="E44" i="5"/>
  <c r="J42" i="5"/>
  <c r="E42" i="5"/>
  <c r="J40" i="5"/>
  <c r="E40" i="5"/>
  <c r="J38" i="5"/>
  <c r="E38" i="5"/>
  <c r="J36" i="5"/>
  <c r="E36" i="5"/>
  <c r="J34" i="5"/>
  <c r="E34" i="5"/>
  <c r="B70" i="5" l="1"/>
  <c r="F55" i="5"/>
  <c r="C59" i="5"/>
  <c r="G59" i="5" s="1"/>
  <c r="C68" i="5"/>
  <c r="G68" i="5" s="1"/>
  <c r="F35" i="5"/>
  <c r="F39" i="5"/>
  <c r="F43" i="5"/>
  <c r="F61" i="5"/>
  <c r="C70" i="5"/>
  <c r="G70" i="5" s="1"/>
  <c r="F70" i="5"/>
  <c r="F68" i="5"/>
  <c r="B68" i="5"/>
  <c r="B61" i="5"/>
  <c r="C61" i="5"/>
  <c r="G61" i="5" s="1"/>
  <c r="F59" i="5"/>
  <c r="B59" i="5"/>
  <c r="C55" i="5"/>
  <c r="G55" i="5" s="1"/>
  <c r="F37" i="5"/>
  <c r="F41" i="5"/>
  <c r="F45" i="5"/>
  <c r="F53" i="5"/>
  <c r="B55" i="5"/>
  <c r="B53" i="5"/>
  <c r="C53" i="5"/>
  <c r="G53" i="5" s="1"/>
  <c r="C41" i="5"/>
  <c r="G41" i="5" s="1"/>
  <c r="C48" i="5"/>
  <c r="G48" i="5" s="1"/>
  <c r="C35" i="5"/>
  <c r="G35" i="5" s="1"/>
  <c r="B48" i="5"/>
  <c r="F48" i="5"/>
  <c r="B45" i="5"/>
  <c r="C45" i="5"/>
  <c r="G45" i="5" s="1"/>
  <c r="B43" i="5"/>
  <c r="C43" i="5"/>
  <c r="G43" i="5" s="1"/>
  <c r="B41" i="5"/>
  <c r="B39" i="5"/>
  <c r="C39" i="5"/>
  <c r="G39"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0" i="5" l="1"/>
  <c r="K11" i="6" l="1"/>
  <c r="I31" i="5"/>
  <c r="L11" i="6"/>
  <c r="F79" i="5"/>
  <c r="F81" i="5" s="1"/>
  <c r="E5" i="6"/>
  <c r="D5" i="6"/>
  <c r="H12" i="5"/>
  <c r="H19" i="5"/>
  <c r="H11" i="5"/>
  <c r="H20" i="5"/>
  <c r="H14" i="5"/>
  <c r="H15" i="5"/>
  <c r="C79" i="5"/>
  <c r="G79" i="5" s="1"/>
  <c r="E80" i="5"/>
  <c r="B79" i="5"/>
  <c r="B81" i="5" s="1"/>
  <c r="H13" i="5"/>
  <c r="H18" i="5"/>
  <c r="I27" i="5"/>
  <c r="I30" i="5"/>
  <c r="I29" i="5"/>
  <c r="I32" i="5"/>
  <c r="I28" i="5"/>
  <c r="C81" i="5" l="1"/>
  <c r="G81" i="5" s="1"/>
</calcChain>
</file>

<file path=xl/sharedStrings.xml><?xml version="1.0" encoding="utf-8"?>
<sst xmlns="http://schemas.openxmlformats.org/spreadsheetml/2006/main" count="4850" uniqueCount="480">
  <si>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</si>
  <si>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</si>
  <si>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</si>
  <si>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</si>
  <si>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</si>
  <si>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</si>
  <si>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</si>
  <si>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</si>
  <si>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</si>
  <si>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</si>
  <si>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</si>
  <si>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</si>
  <si>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</si>
  <si>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</si>
  <si>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</si>
  <si>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</si>
  <si>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</si>
  <si>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</si>
  <si>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</si>
  <si>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</si>
  <si>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</si>
  <si>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</si>
  <si>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</si>
  <si>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</si>
  <si>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</si>
  <si>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</si>
  <si>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</si>
  <si>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</si>
  <si>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</si>
  <si>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</si>
  <si>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</si>
  <si>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</si>
  <si>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</si>
  <si>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</si>
  <si>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</si>
  <si>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</si>
  <si>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</si>
  <si>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</si>
  <si>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</si>
  <si>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</si>
  <si>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</si>
  <si>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</si>
  <si>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</si>
  <si>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</si>
  <si>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</si>
  <si>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</si>
  <si>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</si>
  <si>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</si>
  <si>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</si>
  <si>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</si>
  <si>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</si>
  <si>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</si>
  <si>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</si>
  <si>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</si>
  <si>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</si>
  <si>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</si>
  <si>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</si>
  <si>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</si>
  <si>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</si>
  <si>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</si>
  <si>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</si>
  <si>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</si>
  <si>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</si>
  <si>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</si>
  <si>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</si>
  <si>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</si>
  <si>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</si>
  <si>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</si>
  <si>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</si>
  <si>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</si>
  <si>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</si>
  <si>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</si>
  <si>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</si>
  <si>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</si>
  <si>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</si>
  <si>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</si>
  <si>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</si>
  <si>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</si>
  <si>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</si>
  <si>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</si>
  <si>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</si>
  <si>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</si>
  <si>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</si>
  <si>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</si>
  <si>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</si>
  <si>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</si>
  <si>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</si>
  <si>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</si>
  <si>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</si>
  <si>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</si>
  <si>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</si>
  <si>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</si>
  <si>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</si>
  <si>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</si>
  <si>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</si>
  <si>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</si>
  <si>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</si>
  <si>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</si>
  <si>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</si>
  <si>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</si>
  <si>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</si>
  <si>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</si>
  <si>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</si>
  <si>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</si>
  <si>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</si>
  <si>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</si>
  <si>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</si>
  <si>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</si>
  <si>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</si>
  <si>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</si>
  <si>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</si>
  <si>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</si>
  <si>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</si>
  <si>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</si>
  <si>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</si>
  <si>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</si>
  <si>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</si>
  <si>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</si>
  <si>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</si>
  <si>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</si>
  <si>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</si>
  <si>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</si>
  <si>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</si>
  <si>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</si>
  <si>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</si>
  <si>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</si>
  <si>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</si>
  <si>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</si>
  <si>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</si>
  <si>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</si>
  <si>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</si>
  <si>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</si>
  <si>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</si>
  <si>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</si>
  <si>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</si>
  <si>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</si>
  <si>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</si>
  <si>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</si>
  <si>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</si>
  <si>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</si>
  <si>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</si>
  <si>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</si>
  <si>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</si>
  <si>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</si>
  <si>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</si>
  <si>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</si>
  <si>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</si>
  <si>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</si>
  <si>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</si>
  <si>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</si>
  <si>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</si>
  <si>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</si>
  <si>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</si>
  <si>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</si>
  <si>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</si>
  <si>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</si>
  <si>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</si>
  <si>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</si>
  <si>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</si>
  <si>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</si>
  <si>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</si>
  <si>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</si>
  <si>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</si>
  <si>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</si>
  <si>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</si>
  <si>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</si>
  <si>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</si>
  <si>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</si>
  <si>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</si>
  <si>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</si>
  <si>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</si>
  <si>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</si>
  <si>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</si>
  <si>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</si>
  <si>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</si>
  <si>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</si>
  <si>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</si>
  <si>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</si>
  <si>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</si>
  <si>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</si>
  <si>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</si>
  <si>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</si>
  <si>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</si>
  <si>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</si>
  <si>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</si>
  <si>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</si>
  <si>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</si>
  <si>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</si>
  <si>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</si>
  <si>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</si>
  <si>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</si>
  <si>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</si>
  <si>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</si>
  <si>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</si>
  <si>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</si>
  <si>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</si>
  <si>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</si>
  <si>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</si>
  <si>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</si>
  <si>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</si>
  <si>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</si>
  <si>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</si>
  <si>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</si>
  <si>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</si>
  <si>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</si>
  <si>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</si>
  <si>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</si>
  <si>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</si>
  <si>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</si>
  <si>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</si>
  <si>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</si>
  <si>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</si>
  <si>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</si>
  <si>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</si>
  <si>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</si>
  <si>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</si>
  <si>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</si>
  <si>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</si>
  <si>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</si>
  <si>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</si>
  <si>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</si>
  <si>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</si>
  <si>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</si>
  <si>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</si>
  <si>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</si>
  <si>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</si>
  <si>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</si>
  <si>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</si>
  <si>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</si>
  <si>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</si>
  <si>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</si>
  <si>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</si>
  <si>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</si>
  <si>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</si>
  <si>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</si>
  <si>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</si>
  <si>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</si>
  <si>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</si>
  <si>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</si>
  <si>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</si>
  <si>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</si>
  <si>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</si>
  <si>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</si>
  <si>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</si>
  <si>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</si>
  <si>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</si>
  <si>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</si>
  <si>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</si>
  <si>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</si>
  <si>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</si>
  <si>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</si>
  <si>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</si>
  <si>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</si>
  <si>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</si>
  <si>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</si>
  <si>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</si>
  <si>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</si>
  <si>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</si>
  <si>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</si>
  <si>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</si>
  <si>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</si>
  <si>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</si>
  <si>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</si>
  <si>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</si>
  <si>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</si>
  <si>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</si>
  <si>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</si>
  <si>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</si>
  <si>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</si>
  <si>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</si>
  <si>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</si>
  <si>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</si>
  <si>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</si>
  <si>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</si>
  <si>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</si>
  <si>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</si>
  <si>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</si>
  <si>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</si>
  <si>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</si>
  <si>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</si>
  <si>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</si>
  <si>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</si>
  <si>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</si>
  <si>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</si>
  <si>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</si>
  <si>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</si>
  <si>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</si>
  <si>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</si>
  <si>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</si>
  <si>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</si>
  <si>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</si>
  <si>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</si>
  <si>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</si>
  <si>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</si>
  <si>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</si>
  <si>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</si>
  <si>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</si>
  <si>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</si>
  <si>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</si>
  <si>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</si>
  <si>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</si>
  <si>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</si>
  <si>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</si>
  <si>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</si>
  <si>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</si>
  <si>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</si>
  <si>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</si>
  <si>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</si>
  <si>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</si>
  <si>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</si>
  <si>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</si>
  <si>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</si>
  <si>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</si>
  <si>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</si>
  <si>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</si>
  <si>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</si>
  <si>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</si>
  <si>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</si>
  <si>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</si>
  <si>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</si>
  <si>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</si>
  <si>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</si>
  <si>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</si>
  <si>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</si>
  <si>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</si>
  <si>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</si>
  <si>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</si>
  <si>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</si>
  <si>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</si>
  <si>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</si>
  <si>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</si>
  <si>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</si>
  <si>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</si>
  <si>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</si>
  <si>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</si>
  <si>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</si>
  <si>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</si>
  <si>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</si>
  <si>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</si>
  <si>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</si>
  <si>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</si>
  <si>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</si>
  <si>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</si>
  <si>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</si>
  <si>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</si>
  <si>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</si>
  <si>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</si>
  <si>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</si>
  <si>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</si>
  <si>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</si>
  <si>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</si>
  <si>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</si>
  <si>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</si>
  <si>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</si>
  <si>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</si>
  <si>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</si>
  <si>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</si>
  <si>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</si>
  <si>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</si>
  <si>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</si>
  <si>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</si>
  <si>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</si>
  <si>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</si>
  <si>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</si>
  <si>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</si>
  <si>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</si>
  <si>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</si>
  <si>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</si>
  <si>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</si>
  <si>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</si>
  <si>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</si>
  <si>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</si>
  <si>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</si>
  <si>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</si>
  <si>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</si>
  <si>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</si>
  <si>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</si>
  <si>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</si>
  <si>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</si>
  <si>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</si>
  <si>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</si>
  <si>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</si>
  <si>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</si>
  <si>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</si>
  <si>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</si>
  <si>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</si>
  <si>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</si>
  <si>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</si>
  <si>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</si>
  <si>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</si>
  <si>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</si>
  <si>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</si>
  <si>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</si>
  <si>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</si>
  <si>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</si>
  <si>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</si>
  <si>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</si>
  <si>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</si>
  <si>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</si>
  <si>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</si>
  <si>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</si>
  <si>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</si>
  <si>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</si>
  <si>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</si>
  <si>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</si>
  <si>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</si>
  <si>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</si>
  <si>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</si>
  <si>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</si>
  <si>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</si>
  <si>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</si>
  <si>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</si>
  <si>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</si>
  <si>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</si>
  <si>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</si>
  <si>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</si>
  <si>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</si>
  <si>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</si>
  <si>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</si>
  <si>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</si>
  <si>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</si>
  <si>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</si>
  <si>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</si>
  <si>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</si>
  <si>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</si>
  <si>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</si>
  <si>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</si>
  <si>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</si>
  <si>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</si>
  <si>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</si>
  <si>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</si>
  <si>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</si>
  <si>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</si>
  <si>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</si>
  <si>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</si>
  <si>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</si>
  <si>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</si>
  <si>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</si>
  <si>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</si>
  <si>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</si>
  <si>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</si>
  <si>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</si>
  <si>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</si>
  <si>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</si>
  <si>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</si>
  <si>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</si>
  <si>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</si>
  <si>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</si>
  <si>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</si>
  <si>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</si>
  <si>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</si>
  <si>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</si>
  <si>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</si>
  <si>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</si>
  <si>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</si>
  <si>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</si>
  <si>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</si>
  <si>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</si>
  <si>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</si>
  <si>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</si>
  <si>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</si>
  <si>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</si>
  <si>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</si>
  <si>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</si>
  <si>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</si>
  <si>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</si>
  <si>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</si>
  <si>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</si>
  <si>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</si>
  <si>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</si>
  <si>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</si>
  <si>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</si>
  <si>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</si>
  <si>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</si>
  <si>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</si>
  <si>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</si>
  <si>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</si>
  <si>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我单位北京市西城区教育科学研究院于2018年11月份正式成立，为北京市西城区教育委员会的直属事业单位, 是西城教委所属财政补助公益一类事业单位，核定编制78名，现有在职人员51人。我单位是顺应西城教育发展需要应运而生的教育智库机构，以从事基础教育专业研究和为区域教育发展提供专业服务为根本任务。负责区级教育科研工作的规划与实施；承担相关国家级及市级教育科研课题；承担区教委委托的教育科研工作；作为教育智库为西城教育改革与发展提供建议；负责《西城教育》、《视界.教育》、《信息快报》等刊物的编辑工作；负责初高中学生综合素质评价工作等。
教科院内设10个机构，其中，业务部门8个，分别为科研管理中心、教材与课程中心、质量监测与评价中心、国际比较教育研究中心、教育协同创新中心、学生生涯发展指导中心、教材发行中心、教育学会；其中，内部服务保障部门2个，分别为党政办公室、总务处。挂靠部门1个，北京市西城区教育学会。
</t>
    <phoneticPr fontId="4" type="noConversion"/>
  </si>
  <si>
    <t>主要原因是本年度陆续调入2名教师，和补发一次性核增绩效工资，人员和公用都有所增加，但因疫情资金紧张，项目比上年度减少，两者相抵，增加的幅度不是太大。</t>
    <phoneticPr fontId="4" type="noConversion"/>
  </si>
  <si>
    <t>未使用政府性基金财政拨款和国有资本经营预算财政拨款安排基本支出，其中：我单位本年度支出为2751.54万元，上年度为2874.68万元，比去年减少了123.14万元。从“基本支出—人员经费”来看，经费增加了116.85万元，主要是年中财政调增了调入人员工资、绩效工资调整部分、正常薪级变动基本工资、职务变动基本工资、课后服务、支教经费、物业供暖费缺口、保险和公积金人员缺口等 。从“基本支出—公用经费”来看，经费增加了32.18万元，是因为2020年新增3名在职人员,增加了在职人员公用经费;供暖费增加14万元。从“项目支出”来看，经费减少了272.17万元，是因为去年有2个基建项目106万元，技防项目和设备项目9个，经费192万元，今年没有这些专项；因为疫情，资金紧张，业务经费都做了适当调减；虽然今年增加了2个“双新”专项，相抵后仍属于减少状态。我单位无“三公”经费支出。我单位无事业单位机关运行经费支出情况。</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</si>
</sst>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C1" sqref="C1"/>
    </sheetView>
  </sheetViews>
  <sheetFormatPr defaultRowHeight="14.25"/>
  <cols>
    <col min="1" max="1" width="16.5" customWidth="1"/>
    <col min="2" max="2" width="12.75" bestFit="1" customWidth="1"/>
  </cols>
  <sheetData>
    <row r="1" spans="1:14" ht="37.9" customHeight="1">
      <c r="A1" s="27" t="s">
        <v>0</v>
      </c>
      <c r="B1" s="28">
        <v>255102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北京市西城区教育科学研究院</v>
      </c>
      <c r="B11" s="79"/>
      <c r="C11" s="79"/>
      <c r="D11" s="79"/>
      <c r="E11" s="79"/>
      <c r="F11" s="79"/>
      <c r="G11" s="79"/>
      <c r="H11" s="79"/>
      <c r="I11" s="79"/>
      <c r="J11" s="79"/>
      <c r="K11" s="79"/>
      <c r="L11" s="79"/>
      <c r="M11" s="79"/>
      <c r="N11" s="1"/>
    </row>
    <row r="12" spans="1:14" ht="72" customHeight="1">
      <c r="A12" s="79" t="s">
        <v>409</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321</v>
      </c>
      <c r="B1" s="42" t="s">
        <v>358</v>
      </c>
      <c r="C1" s="75" t="s">
        <v>359</v>
      </c>
      <c r="D1" s="75" t="s">
        <v>360</v>
      </c>
      <c r="E1" s="42" t="s">
        <v>361</v>
      </c>
      <c r="F1" s="42" t="s">
        <v>362</v>
      </c>
      <c r="G1" s="42" t="s">
        <v>363</v>
      </c>
      <c r="H1" s="42" t="s">
        <v>364</v>
      </c>
      <c r="I1" s="42" t="s">
        <v>365</v>
      </c>
      <c r="J1" s="42" t="s">
        <v>366</v>
      </c>
      <c r="K1" s="42" t="s">
        <v>367</v>
      </c>
      <c r="L1" s="42" t="s">
        <v>368</v>
      </c>
      <c r="M1" s="42" t="s">
        <v>369</v>
      </c>
      <c r="N1" s="42" t="s">
        <v>370</v>
      </c>
      <c r="O1" s="42" t="s">
        <v>371</v>
      </c>
      <c r="P1" s="42" t="s">
        <v>372</v>
      </c>
      <c r="Q1" s="75" t="s">
        <v>373</v>
      </c>
      <c r="R1" s="75" t="s">
        <v>374</v>
      </c>
      <c r="S1" s="76" t="s">
        <v>469</v>
      </c>
      <c r="T1" s="76" t="s">
        <v>470</v>
      </c>
      <c r="U1" s="42" t="s">
        <v>375</v>
      </c>
      <c r="V1" s="42" t="s">
        <v>376</v>
      </c>
      <c r="W1" s="75" t="s">
        <v>377</v>
      </c>
      <c r="X1" s="75" t="s">
        <v>378</v>
      </c>
      <c r="Y1" s="42" t="s">
        <v>379</v>
      </c>
      <c r="Z1" s="42" t="s">
        <v>380</v>
      </c>
      <c r="AA1" s="42" t="s">
        <v>381</v>
      </c>
      <c r="AB1" s="42" t="s">
        <v>382</v>
      </c>
      <c r="AC1" s="75" t="s">
        <v>383</v>
      </c>
      <c r="AD1" s="75" t="s">
        <v>384</v>
      </c>
      <c r="AE1" s="42" t="s">
        <v>385</v>
      </c>
      <c r="AF1" s="42" t="s">
        <v>386</v>
      </c>
      <c r="AG1" s="75" t="s">
        <v>387</v>
      </c>
      <c r="AH1" s="75" t="s">
        <v>388</v>
      </c>
      <c r="AI1" s="42" t="s">
        <v>389</v>
      </c>
      <c r="AJ1" s="42" t="s">
        <v>390</v>
      </c>
      <c r="AK1" s="75" t="s">
        <v>391</v>
      </c>
      <c r="AL1" s="75" t="s">
        <v>392</v>
      </c>
      <c r="AM1" s="42" t="s">
        <v>393</v>
      </c>
      <c r="AN1" s="42" t="s">
        <v>394</v>
      </c>
    </row>
    <row r="2" spans="1:40">
      <c r="A2" s="43">
        <v>255001</v>
      </c>
      <c r="B2" s="44" t="s">
        <v>301</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302</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460</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461</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395</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396</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249</v>
      </c>
      <c r="B1" s="22" t="s">
        <v>250</v>
      </c>
      <c r="C1" s="37" t="s">
        <v>322</v>
      </c>
      <c r="D1" s="37" t="s">
        <v>323</v>
      </c>
      <c r="E1" s="38" t="s">
        <v>324</v>
      </c>
      <c r="F1" s="22" t="s">
        <v>325</v>
      </c>
      <c r="G1" s="22" t="s">
        <v>326</v>
      </c>
      <c r="H1" s="22" t="s">
        <v>327</v>
      </c>
    </row>
    <row r="2" spans="1:8">
      <c r="A2" s="24">
        <v>255001</v>
      </c>
      <c r="B2" s="25" t="s">
        <v>301</v>
      </c>
      <c r="C2" s="39" t="str">
        <f>LEFT(D2,3)</f>
        <v>205</v>
      </c>
      <c r="D2" s="39" t="str">
        <f>LEFT(E2,5)</f>
        <v>20502</v>
      </c>
      <c r="E2" s="39">
        <f>IF(ISNA(VLOOKUP(F2,'2021功能科目'!A:B,2,FALSE)),"",VLOOKUP(F2,'2021功能科目'!A:B,2,FALSE))</f>
        <v>2050201</v>
      </c>
      <c r="F2" s="25" t="s">
        <v>328</v>
      </c>
      <c r="G2" s="26">
        <v>84369469.799999997</v>
      </c>
      <c r="H2" s="26">
        <v>88422700</v>
      </c>
    </row>
    <row r="3" spans="1:8">
      <c r="A3" s="24">
        <v>255001</v>
      </c>
      <c r="B3" s="25" t="s">
        <v>301</v>
      </c>
      <c r="C3" s="39" t="str">
        <f t="shared" ref="C3:C66" si="0">LEFT(D3,3)</f>
        <v>205</v>
      </c>
      <c r="D3" s="39" t="str">
        <f t="shared" ref="D3:D66" si="1">LEFT(E3,5)</f>
        <v>20502</v>
      </c>
      <c r="E3" s="39">
        <f>IF(ISNA(VLOOKUP(F3,'2021功能科目'!A:B,2,FALSE)),"",VLOOKUP(F3,'2021功能科目'!A:B,2,FALSE))</f>
        <v>2050204</v>
      </c>
      <c r="F3" s="25" t="s">
        <v>330</v>
      </c>
      <c r="G3" s="26">
        <v>1817641</v>
      </c>
      <c r="H3" s="26">
        <v>410000</v>
      </c>
    </row>
    <row r="4" spans="1:8">
      <c r="A4" s="24">
        <v>255001</v>
      </c>
      <c r="B4" s="25" t="s">
        <v>301</v>
      </c>
      <c r="C4" s="39" t="str">
        <f t="shared" si="0"/>
        <v>205</v>
      </c>
      <c r="D4" s="39" t="str">
        <f t="shared" si="1"/>
        <v>20502</v>
      </c>
      <c r="E4" s="39">
        <f>IF(ISNA(VLOOKUP(F4,'2021功能科目'!A:B,2,FALSE)),"",VLOOKUP(F4,'2021功能科目'!A:B,2,FALSE))</f>
        <v>2050299</v>
      </c>
      <c r="F4" s="25" t="s">
        <v>331</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344</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330</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331</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332</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334</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335</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336</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337</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339</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340</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341</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342</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343</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344</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330</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331</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332</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334</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335</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336</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337</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339</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340</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341</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342</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343</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344</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330</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331</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332</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334</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335</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336</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337</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339</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340</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341</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342</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343</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344</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330</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331</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332</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334</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335</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336</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337</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339</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340</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341</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342</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343</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344</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330</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331</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332</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334</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335</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336</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337</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338</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339</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340</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341</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342</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343</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344</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330</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331</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332</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334</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335</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336</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337</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339</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340</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341</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342</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343</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344</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330</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331</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332</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334</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335</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336</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337</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339</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340</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341</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342</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343</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330</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331</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332</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334</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335</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336</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337</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339</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340</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341</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342</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343</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344</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330</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331</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332</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333</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334</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335</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336</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337</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339</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340</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341</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342</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343</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330</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331</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332</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334</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335</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336</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337</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339</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340</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341</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342</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343</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344</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330</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331</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332</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333</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334</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335</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336</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337</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339</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340</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341</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342</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343</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344</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330</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331</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332</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335</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336</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337</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339</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340</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341</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342</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343</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344</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330</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331</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332</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334</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335</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336</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337</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339</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340</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341</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342</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343</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344</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331</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332</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335</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336</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337</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339</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340</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341</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342</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343</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330</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332</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335</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336</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337</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339</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341</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342</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343</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344</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330</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331</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332</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334</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335</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336</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337</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339</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340</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341</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342</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343</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344</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330</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331</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332</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334</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335</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336</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337</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339</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340</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341</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342</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343</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344</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330</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331</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332</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334</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335</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336</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337</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339</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340</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341</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342</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343</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330</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331</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332</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334</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335</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336</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337</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339</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340</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341</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342</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343</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344</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331</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332</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334</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335</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336</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337</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339</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340</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341</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342</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343</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344</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330</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331</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332</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334</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335</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336</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337</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339</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340</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341</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342</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343</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344</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331</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332</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335</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336</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337</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339</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340</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341</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342</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343</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344</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331</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332</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334</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335</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336</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337</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339</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340</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341</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342</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343</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345</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332</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335</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336</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337</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338</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339</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340</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341</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342</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343</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330</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331</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345</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332</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347</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335</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336</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337</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339</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340</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341</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342</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343</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328</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329</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344</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330</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331</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332</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333</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334</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335</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336</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337</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339</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340</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341</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342</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343</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329</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331</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332</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335</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336</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337</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339</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340</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341</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342</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343</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329</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331</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332</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333</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335</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336</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337</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339</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341</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342</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343</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329</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331</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332</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334</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335</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336</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337</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339</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341</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342</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343</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329</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331</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332</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333</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334</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335</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336</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337</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339</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341</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342</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343</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329</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331</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332</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333</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334</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335</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336</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337</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339</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341</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342</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343</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329</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331</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332</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333</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335</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336</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337</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339</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341</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342</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343</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329</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331</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332</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334</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335</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336</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337</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339</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341</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342</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343</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329</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331</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332</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333</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334</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335</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336</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337</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339</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341</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342</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343</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329</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331</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332</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333</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334</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335</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336</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337</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339</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340</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341</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342</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343</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329</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331</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332</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334</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335</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336</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337</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339</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341</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342</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343</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329</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331</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332</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333</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334</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335</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336</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337</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339</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340</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341</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342</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343</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329</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331</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332</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333</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335</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336</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337</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339</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341</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342</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343</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329</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331</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332</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334</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335</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336</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337</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339</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340</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341</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342</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343</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329</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331</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332</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333</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334</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335</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336</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337</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339</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340</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341</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342</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343</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329</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331</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332</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333</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334</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335</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336</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337</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339</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341</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342</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343</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329</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331</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332</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334</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335</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336</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337</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339</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340</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341</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342</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343</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329</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331</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332</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333</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334</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335</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336</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337</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339</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341</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342</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343</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329</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331</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332</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333</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334</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335</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336</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337</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339</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341</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342</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343</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329</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331</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332</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334</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335</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336</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337</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339</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341</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342</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343</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329</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331</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332</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333</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334</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335</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336</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337</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339</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340</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341</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342</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343</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329</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331</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332</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334</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335</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336</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337</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339</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341</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342</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343</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329</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331</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332</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333</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334</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335</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336</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337</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338</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339</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340</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341</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342</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343</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329</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331</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332</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333</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335</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336</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337</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339</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341</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342</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343</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329</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331</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332</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333</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334</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348</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335</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336</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337</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339</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341</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342</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343</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329</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331</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332</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333</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334</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335</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336</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337</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339</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340</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341</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342</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343</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329</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331</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332</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333</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334</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335</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336</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337</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339</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340</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341</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342</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343</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329</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331</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332</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334</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335</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336</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337</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339</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340</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341</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342</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343</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329</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331</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332</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334</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335</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336</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337</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339</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340</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341</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342</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343</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329</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331</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332</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334</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335</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336</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337</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339</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340</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341</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342</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343</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329</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331</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332</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334</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335</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336</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337</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339</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340</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341</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342</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343</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329</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331</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332</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335</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336</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337</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339</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341</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342</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343</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329</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331</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332</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333</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334</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335</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336</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337</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339</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340</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341</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342</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343</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329</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331</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332</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335</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336</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337</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339</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340</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341</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342</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343</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328</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332</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348</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335</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336</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337</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339</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340</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341</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342</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343</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328</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332</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348</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335</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336</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337</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339</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340</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341</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342</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343</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328</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332</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348</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335</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336</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337</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339</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340</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341</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342</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343</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328</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332</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348</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335</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336</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337</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339</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341</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342</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343</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328</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332</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348</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335</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336</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337</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339</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341</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342</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343</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328</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332</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348</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335</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336</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337</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339</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340</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341</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342</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343</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328</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332</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348</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335</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336</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337</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339</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341</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342</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343</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328</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332</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348</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335</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336</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337</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339</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341</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342</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343</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335</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342</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328</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330</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331</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349</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332</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348</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335</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336</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337</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339</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341</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342</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343</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328</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344</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330</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331</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349</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332</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334</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335</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336</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337</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339</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341</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342</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343</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331</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351</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332</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335</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336</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337</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339</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341</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342</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343</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331</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332</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335</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336</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337</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339</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340</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341</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342</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343</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331</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332</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348</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352</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335</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336</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337</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339</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340</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341</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342</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343</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331</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332</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348</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335</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336</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337</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339</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341</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342</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343</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331</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332</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348</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335</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336</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337</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339</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341</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342</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343</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331</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332</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348</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335</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336</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337</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339</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341</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342</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343</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331</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332</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335</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336</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337</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339</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341</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342</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343</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331</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332</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335</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336</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337</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339</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341</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342</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343</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353</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332</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348</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335</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336</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337</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339</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340</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341</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342</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343</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331</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332</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335</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336</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337</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339</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341</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342</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343</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331</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332</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348</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335</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336</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337</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339</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341</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342</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343</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353</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332</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335</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336</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337</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339</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341</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342</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343</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331</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332</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335</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336</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337</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339</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341</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342</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343</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331</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332</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335</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336</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337</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339</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341</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342</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343</v>
      </c>
      <c r="G975" s="26">
        <v>279288</v>
      </c>
      <c r="H975" s="26">
        <v>279288</v>
      </c>
    </row>
    <row r="976" spans="1:8">
      <c r="A976" s="24">
        <v>255108</v>
      </c>
      <c r="B976" s="25" t="s">
        <v>308</v>
      </c>
      <c r="C976" s="39" t="str">
        <f t="shared" si="30"/>
        <v>205</v>
      </c>
      <c r="D976" s="39" t="str">
        <f t="shared" si="31"/>
        <v>20502</v>
      </c>
      <c r="E976" s="39">
        <f>IF(ISNA(VLOOKUP(F976,'2021功能科目'!A:B,2,FALSE)),"",VLOOKUP(F976,'2021功能科目'!A:B,2,FALSE))</f>
        <v>2050299</v>
      </c>
      <c r="F976" s="25" t="s">
        <v>331</v>
      </c>
      <c r="G976" s="26">
        <v>2062299.14</v>
      </c>
      <c r="H976" s="26">
        <v>1861343.69</v>
      </c>
    </row>
    <row r="977" spans="1:8">
      <c r="A977" s="24">
        <v>255108</v>
      </c>
      <c r="B977" s="25" t="s">
        <v>308</v>
      </c>
      <c r="C977" s="39" t="str">
        <f t="shared" si="30"/>
        <v>205</v>
      </c>
      <c r="D977" s="39" t="str">
        <f t="shared" si="31"/>
        <v>20508</v>
      </c>
      <c r="E977" s="39">
        <f>IF(ISNA(VLOOKUP(F977,'2021功能科目'!A:B,2,FALSE)),"",VLOOKUP(F977,'2021功能科目'!A:B,2,FALSE))</f>
        <v>2050803</v>
      </c>
      <c r="F977" s="25" t="s">
        <v>332</v>
      </c>
      <c r="G977" s="26">
        <v>0</v>
      </c>
      <c r="H977" s="26">
        <v>6120</v>
      </c>
    </row>
    <row r="978" spans="1:8">
      <c r="A978" s="24">
        <v>255108</v>
      </c>
      <c r="B978" s="25" t="s">
        <v>308</v>
      </c>
      <c r="C978" s="39" t="str">
        <f t="shared" si="30"/>
        <v>208</v>
      </c>
      <c r="D978" s="39" t="str">
        <f t="shared" si="31"/>
        <v>20805</v>
      </c>
      <c r="E978" s="39">
        <f>IF(ISNA(VLOOKUP(F978,'2021功能科目'!A:B,2,FALSE)),"",VLOOKUP(F978,'2021功能科目'!A:B,2,FALSE))</f>
        <v>2080505</v>
      </c>
      <c r="F978" s="25" t="s">
        <v>336</v>
      </c>
      <c r="G978" s="26">
        <v>227009.92000000001</v>
      </c>
      <c r="H978" s="26">
        <v>233242.54</v>
      </c>
    </row>
    <row r="979" spans="1:8">
      <c r="A979" s="24">
        <v>255108</v>
      </c>
      <c r="B979" s="25" t="s">
        <v>308</v>
      </c>
      <c r="C979" s="39" t="str">
        <f t="shared" si="30"/>
        <v>208</v>
      </c>
      <c r="D979" s="39" t="str">
        <f t="shared" si="31"/>
        <v>20805</v>
      </c>
      <c r="E979" s="39">
        <f>IF(ISNA(VLOOKUP(F979,'2021功能科目'!A:B,2,FALSE)),"",VLOOKUP(F979,'2021功能科目'!A:B,2,FALSE))</f>
        <v>2080506</v>
      </c>
      <c r="F979" s="25" t="s">
        <v>337</v>
      </c>
      <c r="G979" s="26">
        <v>113504.96000000001</v>
      </c>
      <c r="H979" s="26">
        <v>116621.27</v>
      </c>
    </row>
    <row r="980" spans="1:8">
      <c r="A980" s="24">
        <v>255108</v>
      </c>
      <c r="B980" s="25" t="s">
        <v>308</v>
      </c>
      <c r="C980" s="39" t="str">
        <f t="shared" si="30"/>
        <v>210</v>
      </c>
      <c r="D980" s="39" t="str">
        <f t="shared" si="31"/>
        <v>21011</v>
      </c>
      <c r="E980" s="39">
        <f>IF(ISNA(VLOOKUP(F980,'2021功能科目'!A:B,2,FALSE)),"",VLOOKUP(F980,'2021功能科目'!A:B,2,FALSE))</f>
        <v>2101102</v>
      </c>
      <c r="F980" s="25" t="s">
        <v>339</v>
      </c>
      <c r="G980" s="26">
        <v>227782.67</v>
      </c>
      <c r="H980" s="26">
        <v>189509.56</v>
      </c>
    </row>
    <row r="981" spans="1:8">
      <c r="A981" s="24">
        <v>255108</v>
      </c>
      <c r="B981" s="25" t="s">
        <v>308</v>
      </c>
      <c r="C981" s="39" t="str">
        <f t="shared" si="30"/>
        <v>221</v>
      </c>
      <c r="D981" s="39" t="str">
        <f t="shared" si="31"/>
        <v>22102</v>
      </c>
      <c r="E981" s="39">
        <f>IF(ISNA(VLOOKUP(F981,'2021功能科目'!A:B,2,FALSE)),"",VLOOKUP(F981,'2021功能科目'!A:B,2,FALSE))</f>
        <v>2210201</v>
      </c>
      <c r="F981" s="25" t="s">
        <v>341</v>
      </c>
      <c r="G981" s="26">
        <v>220664</v>
      </c>
      <c r="H981" s="26">
        <v>194371.91</v>
      </c>
    </row>
    <row r="982" spans="1:8">
      <c r="A982" s="24">
        <v>255108</v>
      </c>
      <c r="B982" s="25" t="s">
        <v>308</v>
      </c>
      <c r="C982" s="39" t="str">
        <f t="shared" si="30"/>
        <v>221</v>
      </c>
      <c r="D982" s="39" t="str">
        <f t="shared" si="31"/>
        <v>22102</v>
      </c>
      <c r="E982" s="39">
        <f>IF(ISNA(VLOOKUP(F982,'2021功能科目'!A:B,2,FALSE)),"",VLOOKUP(F982,'2021功能科目'!A:B,2,FALSE))</f>
        <v>2210203</v>
      </c>
      <c r="F982" s="25" t="s">
        <v>343</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331</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332</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348</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335</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336</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337</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339</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341</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342</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343</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331</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332</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335</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336</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337</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339</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341</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342</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343</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328</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332</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348</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335</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336</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337</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339</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341</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342</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343</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329</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331</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332</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334</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335</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336</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337</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339</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341</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342</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343</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331</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332</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335</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336</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337</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339</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341</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342</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343</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329</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344</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330</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331</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332</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334</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335</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336</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337</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339</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340</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341</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342</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343</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344</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330</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331</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332</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333</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334</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465</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335</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336</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337</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338</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339</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340</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341</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342</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343</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330</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331</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332</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334</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465</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335</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336</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337</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339</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340</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341</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342</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343</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330</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332</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334</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335</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336</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337</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339</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340</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341</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342</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343</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344</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330</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331</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332</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334</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335</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336</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337</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339</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340</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341</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342</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343</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331</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345</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332</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335</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336</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337</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339</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340</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341</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342</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343</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330</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332</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335</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336</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337</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339</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340</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341</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342</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343</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344</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330</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331</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332</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334</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335</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336</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337</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339</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340</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341</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342</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343</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344</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330</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331</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332</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334</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335</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336</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337</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338</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339</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340</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341</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342</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343</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344</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330</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331</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332</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334</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335</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336</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337</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339</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340</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341</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342</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343</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329</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331</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332</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333</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334</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335</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336</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337</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339</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340</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341</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342</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343</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329</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331</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332</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334</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335</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336</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337</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339</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340</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341</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342</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343</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329</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331</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332</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333</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334</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335</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336</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337</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339</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341</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342</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343</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329</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331</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332</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334</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335</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336</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337</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339</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340</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341</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342</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343</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329</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331</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332</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333</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334</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335</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336</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337</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339</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340</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341</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342</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343</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329</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331</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332</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334</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335</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336</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337</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339</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341</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342</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343</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329</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331</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332</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334</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335</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336</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337</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339</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341</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342</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343</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329</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331</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332</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334</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335</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336</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337</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339</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341</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342</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343</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329</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331</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332</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333</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335</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336</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337</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339</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340</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341</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342</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343</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329</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331</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332</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333</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334</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335</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336</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337</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338</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339</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340</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341</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342</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343</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329</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331</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332</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334</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335</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336</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337</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339</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340</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341</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342</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343</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329</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331</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332</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334</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335</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336</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337</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339</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341</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342</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343</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329</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331</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332</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333</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335</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336</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337</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339</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340</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341</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342</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343</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329</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331</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332</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333</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335</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336</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337</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339</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341</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342</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343</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329</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331</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332</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334</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335</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336</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337</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339</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340</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341</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342</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343</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329</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331</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332</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333</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334</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335</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336</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337</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339</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341</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342</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343</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329</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331</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332</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334</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335</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336</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337</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339</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340</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341</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342</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343</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329</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331</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332</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333</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335</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336</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337</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339</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341</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342</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343</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329</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331</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332</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334</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335</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336</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337</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339</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341</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342</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343</v>
      </c>
      <c r="G1384" s="26">
        <v>1027932</v>
      </c>
      <c r="H1384" s="26">
        <v>1027932</v>
      </c>
    </row>
    <row r="1385" spans="1:8">
      <c r="A1385" s="24">
        <v>255154</v>
      </c>
      <c r="B1385" s="25" t="s">
        <v>459</v>
      </c>
      <c r="C1385" s="39" t="str">
        <f t="shared" si="42"/>
        <v>205</v>
      </c>
      <c r="D1385" s="39" t="str">
        <f t="shared" si="43"/>
        <v>20502</v>
      </c>
      <c r="E1385" s="39">
        <f>IF(ISNA(VLOOKUP(F1385,'2021功能科目'!A:B,2,FALSE)),"",VLOOKUP(F1385,'2021功能科目'!A:B,2,FALSE))</f>
        <v>2050202</v>
      </c>
      <c r="F1385" s="25" t="s">
        <v>329</v>
      </c>
      <c r="G1385" s="26">
        <v>20179239.84</v>
      </c>
      <c r="H1385" s="26">
        <v>17536632.91</v>
      </c>
    </row>
    <row r="1386" spans="1:8">
      <c r="A1386" s="24">
        <v>255154</v>
      </c>
      <c r="B1386" s="25" t="s">
        <v>459</v>
      </c>
      <c r="C1386" s="39" t="str">
        <f t="shared" si="42"/>
        <v>205</v>
      </c>
      <c r="D1386" s="39" t="str">
        <f t="shared" si="43"/>
        <v>20502</v>
      </c>
      <c r="E1386" s="39">
        <f>IF(ISNA(VLOOKUP(F1386,'2021功能科目'!A:B,2,FALSE)),"",VLOOKUP(F1386,'2021功能科目'!A:B,2,FALSE))</f>
        <v>2050299</v>
      </c>
      <c r="F1386" s="25" t="s">
        <v>331</v>
      </c>
      <c r="G1386" s="26">
        <v>825091.53</v>
      </c>
      <c r="H1386" s="26">
        <v>797250</v>
      </c>
    </row>
    <row r="1387" spans="1:8">
      <c r="A1387" s="24">
        <v>255154</v>
      </c>
      <c r="B1387" s="25" t="s">
        <v>459</v>
      </c>
      <c r="C1387" s="39" t="str">
        <f t="shared" si="42"/>
        <v>205</v>
      </c>
      <c r="D1387" s="39" t="str">
        <f t="shared" si="43"/>
        <v>20508</v>
      </c>
      <c r="E1387" s="39">
        <f>IF(ISNA(VLOOKUP(F1387,'2021功能科目'!A:B,2,FALSE)),"",VLOOKUP(F1387,'2021功能科目'!A:B,2,FALSE))</f>
        <v>2050803</v>
      </c>
      <c r="F1387" s="25" t="s">
        <v>332</v>
      </c>
      <c r="G1387" s="26">
        <v>42840</v>
      </c>
      <c r="H1387" s="26">
        <v>42840</v>
      </c>
    </row>
    <row r="1388" spans="1:8">
      <c r="A1388" s="24">
        <v>255154</v>
      </c>
      <c r="B1388" s="25" t="s">
        <v>459</v>
      </c>
      <c r="C1388" s="39" t="str">
        <f t="shared" si="42"/>
        <v>205</v>
      </c>
      <c r="D1388" s="39" t="str">
        <f t="shared" si="43"/>
        <v>20509</v>
      </c>
      <c r="E1388" s="39">
        <f>IF(ISNA(VLOOKUP(F1388,'2021功能科目'!A:B,2,FALSE)),"",VLOOKUP(F1388,'2021功能科目'!A:B,2,FALSE))</f>
        <v>2050904</v>
      </c>
      <c r="F1388" s="25" t="s">
        <v>334</v>
      </c>
      <c r="G1388" s="26">
        <v>7282</v>
      </c>
      <c r="H1388" s="26">
        <v>7282</v>
      </c>
    </row>
    <row r="1389" spans="1:8">
      <c r="A1389" s="24">
        <v>255154</v>
      </c>
      <c r="B1389" s="25" t="s">
        <v>459</v>
      </c>
      <c r="C1389" s="39" t="str">
        <f t="shared" si="42"/>
        <v>208</v>
      </c>
      <c r="D1389" s="39" t="str">
        <f t="shared" si="43"/>
        <v>20805</v>
      </c>
      <c r="E1389" s="39">
        <f>IF(ISNA(VLOOKUP(F1389,'2021功能科目'!A:B,2,FALSE)),"",VLOOKUP(F1389,'2021功能科目'!A:B,2,FALSE))</f>
        <v>2080502</v>
      </c>
      <c r="F1389" s="25" t="s">
        <v>335</v>
      </c>
      <c r="G1389" s="26">
        <v>408722.56</v>
      </c>
      <c r="H1389" s="26">
        <v>408726</v>
      </c>
    </row>
    <row r="1390" spans="1:8">
      <c r="A1390" s="24">
        <v>255154</v>
      </c>
      <c r="B1390" s="25" t="s">
        <v>459</v>
      </c>
      <c r="C1390" s="39" t="str">
        <f t="shared" si="42"/>
        <v>208</v>
      </c>
      <c r="D1390" s="39" t="str">
        <f t="shared" si="43"/>
        <v>20805</v>
      </c>
      <c r="E1390" s="39">
        <f>IF(ISNA(VLOOKUP(F1390,'2021功能科目'!A:B,2,FALSE)),"",VLOOKUP(F1390,'2021功能科目'!A:B,2,FALSE))</f>
        <v>2080505</v>
      </c>
      <c r="F1390" s="25" t="s">
        <v>336</v>
      </c>
      <c r="G1390" s="26">
        <v>1909234.88</v>
      </c>
      <c r="H1390" s="26">
        <v>2017116.26</v>
      </c>
    </row>
    <row r="1391" spans="1:8">
      <c r="A1391" s="24">
        <v>255154</v>
      </c>
      <c r="B1391" s="25" t="s">
        <v>459</v>
      </c>
      <c r="C1391" s="39" t="str">
        <f t="shared" si="42"/>
        <v>208</v>
      </c>
      <c r="D1391" s="39" t="str">
        <f t="shared" si="43"/>
        <v>20805</v>
      </c>
      <c r="E1391" s="39">
        <f>IF(ISNA(VLOOKUP(F1391,'2021功能科目'!A:B,2,FALSE)),"",VLOOKUP(F1391,'2021功能科目'!A:B,2,FALSE))</f>
        <v>2080506</v>
      </c>
      <c r="F1391" s="25" t="s">
        <v>337</v>
      </c>
      <c r="G1391" s="26">
        <v>954617.44</v>
      </c>
      <c r="H1391" s="26">
        <v>1008558.13</v>
      </c>
    </row>
    <row r="1392" spans="1:8">
      <c r="A1392" s="24">
        <v>255154</v>
      </c>
      <c r="B1392" s="25" t="s">
        <v>459</v>
      </c>
      <c r="C1392" s="39" t="str">
        <f t="shared" si="42"/>
        <v>210</v>
      </c>
      <c r="D1392" s="39" t="str">
        <f t="shared" si="43"/>
        <v>21011</v>
      </c>
      <c r="E1392" s="39">
        <f>IF(ISNA(VLOOKUP(F1392,'2021功能科目'!A:B,2,FALSE)),"",VLOOKUP(F1392,'2021功能科目'!A:B,2,FALSE))</f>
        <v>2101102</v>
      </c>
      <c r="F1392" s="25" t="s">
        <v>339</v>
      </c>
      <c r="G1392" s="26">
        <v>1645115.15</v>
      </c>
      <c r="H1392" s="26">
        <v>1638906.96</v>
      </c>
    </row>
    <row r="1393" spans="1:8">
      <c r="A1393" s="24">
        <v>255154</v>
      </c>
      <c r="B1393" s="25" t="s">
        <v>459</v>
      </c>
      <c r="C1393" s="39" t="str">
        <f t="shared" si="42"/>
        <v>221</v>
      </c>
      <c r="D1393" s="39" t="str">
        <f t="shared" si="43"/>
        <v>22102</v>
      </c>
      <c r="E1393" s="39">
        <f>IF(ISNA(VLOOKUP(F1393,'2021功能科目'!A:B,2,FALSE)),"",VLOOKUP(F1393,'2021功能科目'!A:B,2,FALSE))</f>
        <v>2210201</v>
      </c>
      <c r="F1393" s="25" t="s">
        <v>341</v>
      </c>
      <c r="G1393" s="26">
        <v>1703381</v>
      </c>
      <c r="H1393" s="26">
        <v>1648917.2</v>
      </c>
    </row>
    <row r="1394" spans="1:8">
      <c r="A1394" s="24">
        <v>255154</v>
      </c>
      <c r="B1394" s="25" t="s">
        <v>459</v>
      </c>
      <c r="C1394" s="39" t="str">
        <f t="shared" si="42"/>
        <v>221</v>
      </c>
      <c r="D1394" s="39" t="str">
        <f t="shared" si="43"/>
        <v>22102</v>
      </c>
      <c r="E1394" s="39">
        <f>IF(ISNA(VLOOKUP(F1394,'2021功能科目'!A:B,2,FALSE)),"",VLOOKUP(F1394,'2021功能科目'!A:B,2,FALSE))</f>
        <v>2210202</v>
      </c>
      <c r="F1394" s="25" t="s">
        <v>342</v>
      </c>
      <c r="G1394" s="26">
        <v>36120</v>
      </c>
      <c r="H1394" s="26">
        <v>36240</v>
      </c>
    </row>
    <row r="1395" spans="1:8">
      <c r="A1395" s="24">
        <v>255154</v>
      </c>
      <c r="B1395" s="25" t="s">
        <v>459</v>
      </c>
      <c r="C1395" s="39" t="str">
        <f t="shared" si="42"/>
        <v>221</v>
      </c>
      <c r="D1395" s="39" t="str">
        <f t="shared" si="43"/>
        <v>22102</v>
      </c>
      <c r="E1395" s="39">
        <f>IF(ISNA(VLOOKUP(F1395,'2021功能科目'!A:B,2,FALSE)),"",VLOOKUP(F1395,'2021功能科目'!A:B,2,FALSE))</f>
        <v>2210203</v>
      </c>
      <c r="F1395" s="25" t="s">
        <v>343</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329</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331</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332</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334</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335</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336</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337</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339</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341</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342</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343</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329</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331</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332</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333</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334</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335</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336</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337</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339</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341</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342</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343</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328</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332</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348</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335</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336</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337</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339</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341</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342</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343</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328</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332</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348</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335</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336</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337</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339</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340</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341</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342</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343</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328</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332</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335</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336</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337</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339</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341</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342</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343</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328</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332</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465</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335</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336</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337</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339</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341</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342</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343</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328</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348</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335</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336</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337</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339</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341</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342</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343</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328</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332</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348</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335</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336</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337</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339</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341</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342</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343</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328</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332</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348</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335</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336</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337</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339</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341</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342</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343</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328</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332</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348</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335</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336</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337</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339</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341</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342</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343</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328</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332</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348</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335</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336</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337</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339</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341</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342</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343</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328</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332</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335</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336</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337</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339</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340</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341</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342</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343</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328</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332</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335</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336</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337</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339</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341</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342</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343</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328</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332</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348</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335</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336</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337</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339</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341</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342</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343</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328</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332</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348</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335</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336</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337</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339</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341</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342</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343</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355</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332</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348</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335</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336</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337</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339</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340</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341</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342</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343</v>
      </c>
      <c r="G1557" s="26">
        <v>1342028</v>
      </c>
      <c r="H1557" s="26">
        <v>1328208</v>
      </c>
    </row>
    <row r="1558" spans="1:8">
      <c r="A1558" s="24">
        <v>255172</v>
      </c>
      <c r="B1558" s="25" t="s">
        <v>309</v>
      </c>
      <c r="C1558" s="39" t="str">
        <f t="shared" si="48"/>
        <v>205</v>
      </c>
      <c r="D1558" s="39" t="str">
        <f t="shared" si="49"/>
        <v>20504</v>
      </c>
      <c r="E1558" s="39">
        <f>IF(ISNA(VLOOKUP(F1558,'2021功能科目'!A:B,2,FALSE)),"",VLOOKUP(F1558,'2021功能科目'!A:B,2,FALSE))</f>
        <v>2050404</v>
      </c>
      <c r="F1558" s="25" t="s">
        <v>356</v>
      </c>
      <c r="G1558" s="26">
        <v>6645811.0700000003</v>
      </c>
      <c r="H1558" s="26">
        <v>6446171.9800000004</v>
      </c>
    </row>
    <row r="1559" spans="1:8">
      <c r="A1559" s="24">
        <v>255172</v>
      </c>
      <c r="B1559" s="25" t="s">
        <v>309</v>
      </c>
      <c r="C1559" s="39" t="str">
        <f t="shared" si="48"/>
        <v>205</v>
      </c>
      <c r="D1559" s="39" t="str">
        <f t="shared" si="49"/>
        <v>20508</v>
      </c>
      <c r="E1559" s="39">
        <f>IF(ISNA(VLOOKUP(F1559,'2021功能科目'!A:B,2,FALSE)),"",VLOOKUP(F1559,'2021功能科目'!A:B,2,FALSE))</f>
        <v>2050803</v>
      </c>
      <c r="F1559" s="25" t="s">
        <v>332</v>
      </c>
      <c r="G1559" s="26">
        <v>5119</v>
      </c>
      <c r="H1559" s="26">
        <v>17000</v>
      </c>
    </row>
    <row r="1560" spans="1:8">
      <c r="A1560" s="24">
        <v>255172</v>
      </c>
      <c r="B1560" s="25" t="s">
        <v>309</v>
      </c>
      <c r="C1560" s="39" t="str">
        <f t="shared" si="48"/>
        <v>208</v>
      </c>
      <c r="D1560" s="39" t="str">
        <f t="shared" si="49"/>
        <v>20805</v>
      </c>
      <c r="E1560" s="39">
        <f>IF(ISNA(VLOOKUP(F1560,'2021功能科目'!A:B,2,FALSE)),"",VLOOKUP(F1560,'2021功能科目'!A:B,2,FALSE))</f>
        <v>2080502</v>
      </c>
      <c r="F1560" s="25" t="s">
        <v>335</v>
      </c>
      <c r="G1560" s="26">
        <v>230917</v>
      </c>
      <c r="H1560" s="26">
        <v>224842</v>
      </c>
    </row>
    <row r="1561" spans="1:8">
      <c r="A1561" s="24">
        <v>255172</v>
      </c>
      <c r="B1561" s="25" t="s">
        <v>309</v>
      </c>
      <c r="C1561" s="39" t="str">
        <f t="shared" si="48"/>
        <v>208</v>
      </c>
      <c r="D1561" s="39" t="str">
        <f t="shared" si="49"/>
        <v>20805</v>
      </c>
      <c r="E1561" s="39">
        <f>IF(ISNA(VLOOKUP(F1561,'2021功能科目'!A:B,2,FALSE)),"",VLOOKUP(F1561,'2021功能科目'!A:B,2,FALSE))</f>
        <v>2080505</v>
      </c>
      <c r="F1561" s="25" t="s">
        <v>336</v>
      </c>
      <c r="G1561" s="26">
        <v>710000</v>
      </c>
      <c r="H1561" s="26">
        <v>728315.2</v>
      </c>
    </row>
    <row r="1562" spans="1:8">
      <c r="A1562" s="24">
        <v>255172</v>
      </c>
      <c r="B1562" s="25" t="s">
        <v>309</v>
      </c>
      <c r="C1562" s="39" t="str">
        <f t="shared" si="48"/>
        <v>208</v>
      </c>
      <c r="D1562" s="39" t="str">
        <f t="shared" si="49"/>
        <v>20805</v>
      </c>
      <c r="E1562" s="39">
        <f>IF(ISNA(VLOOKUP(F1562,'2021功能科目'!A:B,2,FALSE)),"",VLOOKUP(F1562,'2021功能科目'!A:B,2,FALSE))</f>
        <v>2080506</v>
      </c>
      <c r="F1562" s="25" t="s">
        <v>337</v>
      </c>
      <c r="G1562" s="26">
        <v>340000</v>
      </c>
      <c r="H1562" s="26">
        <v>364157.6</v>
      </c>
    </row>
    <row r="1563" spans="1:8">
      <c r="A1563" s="24">
        <v>255172</v>
      </c>
      <c r="B1563" s="25" t="s">
        <v>309</v>
      </c>
      <c r="C1563" s="39" t="str">
        <f t="shared" si="48"/>
        <v>210</v>
      </c>
      <c r="D1563" s="39" t="str">
        <f t="shared" si="49"/>
        <v>21011</v>
      </c>
      <c r="E1563" s="39">
        <f>IF(ISNA(VLOOKUP(F1563,'2021功能科目'!A:B,2,FALSE)),"",VLOOKUP(F1563,'2021功能科目'!A:B,2,FALSE))</f>
        <v>2101102</v>
      </c>
      <c r="F1563" s="25" t="s">
        <v>339</v>
      </c>
      <c r="G1563" s="26">
        <v>550000</v>
      </c>
      <c r="H1563" s="26">
        <v>591756.1</v>
      </c>
    </row>
    <row r="1564" spans="1:8">
      <c r="A1564" s="24">
        <v>255172</v>
      </c>
      <c r="B1564" s="25" t="s">
        <v>309</v>
      </c>
      <c r="C1564" s="39" t="str">
        <f t="shared" si="48"/>
        <v>221</v>
      </c>
      <c r="D1564" s="39" t="str">
        <f t="shared" si="49"/>
        <v>22102</v>
      </c>
      <c r="E1564" s="39">
        <f>IF(ISNA(VLOOKUP(F1564,'2021功能科目'!A:B,2,FALSE)),"",VLOOKUP(F1564,'2021功能科目'!A:B,2,FALSE))</f>
        <v>2210201</v>
      </c>
      <c r="F1564" s="25" t="s">
        <v>341</v>
      </c>
      <c r="G1564" s="26">
        <v>608112.4</v>
      </c>
      <c r="H1564" s="26">
        <v>600236.4</v>
      </c>
    </row>
    <row r="1565" spans="1:8">
      <c r="A1565" s="24">
        <v>255172</v>
      </c>
      <c r="B1565" s="25" t="s">
        <v>309</v>
      </c>
      <c r="C1565" s="39" t="str">
        <f t="shared" si="48"/>
        <v>221</v>
      </c>
      <c r="D1565" s="39" t="str">
        <f t="shared" si="49"/>
        <v>22102</v>
      </c>
      <c r="E1565" s="39">
        <f>IF(ISNA(VLOOKUP(F1565,'2021功能科目'!A:B,2,FALSE)),"",VLOOKUP(F1565,'2021功能科目'!A:B,2,FALSE))</f>
        <v>2210202</v>
      </c>
      <c r="F1565" s="25" t="s">
        <v>342</v>
      </c>
      <c r="G1565" s="26">
        <v>20370</v>
      </c>
      <c r="H1565" s="26">
        <v>19920</v>
      </c>
    </row>
    <row r="1566" spans="1:8">
      <c r="A1566" s="24">
        <v>255172</v>
      </c>
      <c r="B1566" s="25" t="s">
        <v>309</v>
      </c>
      <c r="C1566" s="39" t="str">
        <f t="shared" si="48"/>
        <v>221</v>
      </c>
      <c r="D1566" s="39" t="str">
        <f t="shared" si="49"/>
        <v>22102</v>
      </c>
      <c r="E1566" s="39">
        <f>IF(ISNA(VLOOKUP(F1566,'2021功能科目'!A:B,2,FALSE)),"",VLOOKUP(F1566,'2021功能科目'!A:B,2,FALSE))</f>
        <v>2210203</v>
      </c>
      <c r="F1566" s="25" t="s">
        <v>343</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353</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332</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348</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335</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336</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337</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339</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340</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341</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342</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343</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331</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332</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335</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336</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337</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339</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340</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341</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342</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343</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331</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332</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348</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465</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352</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335</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336</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337</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339</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341</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342</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343</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331</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332</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348</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335</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336</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337</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339</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341</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342</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343</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331</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332</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348</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335</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336</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337</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339</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341</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342</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343</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328</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329</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344</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330</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331</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350</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332</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348</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335</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336</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337</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339</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340</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357</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341</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342</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343</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345</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332</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347</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335</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336</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337</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339</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340</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341</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342</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343</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330</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331</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332</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334</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335</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336</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337</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339</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340</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341</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342</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343</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330</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331</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332</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334</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335</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336</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337</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339</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341</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342</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343</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331</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332</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348</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335</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336</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337</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339</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341</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342</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343</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328</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332</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335</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336</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337</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339</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341</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342</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343</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328</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332</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348</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336</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337</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339</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341</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343</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329</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331</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332</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333</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348</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336</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337</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339</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341</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343</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328</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332</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335</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336</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337</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339</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341</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342</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343</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328</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332</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348</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336</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337</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339</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341</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343</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328</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332</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348</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336</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337</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339</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341</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343</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328</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332</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348</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336</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337</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339</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341</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343</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328</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332</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348</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336</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337</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339</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341</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343</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331</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332</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336</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337</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339</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341</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343</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331</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332</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348</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336</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337</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339</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341</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343</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331</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332</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348</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336</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337</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339</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341</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343</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329</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331</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332</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348</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336</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337</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339</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341</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343</v>
      </c>
      <c r="G1780" s="26">
        <v>106262</v>
      </c>
      <c r="H1780" s="26">
        <v>92328</v>
      </c>
    </row>
    <row r="1781" spans="1:8">
      <c r="A1781" s="24">
        <v>255204</v>
      </c>
      <c r="B1781" s="25" t="s">
        <v>460</v>
      </c>
      <c r="C1781" s="39" t="str">
        <f t="shared" si="54"/>
        <v>205</v>
      </c>
      <c r="D1781" s="39" t="str">
        <f t="shared" si="55"/>
        <v>20502</v>
      </c>
      <c r="E1781" s="39">
        <f>IF(ISNA(VLOOKUP(F1781,'2021功能科目'!A:B,2,FALSE)),"",VLOOKUP(F1781,'2021功能科目'!A:B,2,FALSE))</f>
        <v>2050203</v>
      </c>
      <c r="F1781" s="25" t="s">
        <v>344</v>
      </c>
      <c r="G1781" s="26">
        <v>18918585.870000001</v>
      </c>
      <c r="H1781" s="26">
        <v>0</v>
      </c>
    </row>
    <row r="1782" spans="1:8">
      <c r="A1782" s="24">
        <v>255204</v>
      </c>
      <c r="B1782" s="25" t="s">
        <v>460</v>
      </c>
      <c r="C1782" s="39" t="str">
        <f t="shared" si="54"/>
        <v>205</v>
      </c>
      <c r="D1782" s="39" t="str">
        <f t="shared" si="55"/>
        <v>20508</v>
      </c>
      <c r="E1782" s="39">
        <f>IF(ISNA(VLOOKUP(F1782,'2021功能科目'!A:B,2,FALSE)),"",VLOOKUP(F1782,'2021功能科目'!A:B,2,FALSE))</f>
        <v>2050803</v>
      </c>
      <c r="F1782" s="25" t="s">
        <v>332</v>
      </c>
      <c r="G1782" s="26">
        <v>6667</v>
      </c>
      <c r="H1782" s="26">
        <v>0</v>
      </c>
    </row>
    <row r="1783" spans="1:8">
      <c r="A1783" s="24">
        <v>255204</v>
      </c>
      <c r="B1783" s="25" t="s">
        <v>460</v>
      </c>
      <c r="C1783" s="39" t="str">
        <f t="shared" si="54"/>
        <v>208</v>
      </c>
      <c r="D1783" s="39" t="str">
        <f t="shared" si="55"/>
        <v>20805</v>
      </c>
      <c r="E1783" s="39">
        <f>IF(ISNA(VLOOKUP(F1783,'2021功能科目'!A:B,2,FALSE)),"",VLOOKUP(F1783,'2021功能科目'!A:B,2,FALSE))</f>
        <v>2080505</v>
      </c>
      <c r="F1783" s="25" t="s">
        <v>336</v>
      </c>
      <c r="G1783" s="26">
        <v>206471.84</v>
      </c>
      <c r="H1783" s="26">
        <v>0</v>
      </c>
    </row>
    <row r="1784" spans="1:8">
      <c r="A1784" s="24">
        <v>255204</v>
      </c>
      <c r="B1784" s="25" t="s">
        <v>460</v>
      </c>
      <c r="C1784" s="39" t="str">
        <f t="shared" si="54"/>
        <v>208</v>
      </c>
      <c r="D1784" s="39" t="str">
        <f t="shared" si="55"/>
        <v>20805</v>
      </c>
      <c r="E1784" s="39">
        <f>IF(ISNA(VLOOKUP(F1784,'2021功能科目'!A:B,2,FALSE)),"",VLOOKUP(F1784,'2021功能科目'!A:B,2,FALSE))</f>
        <v>2080506</v>
      </c>
      <c r="F1784" s="25" t="s">
        <v>337</v>
      </c>
      <c r="G1784" s="26">
        <v>103235.92</v>
      </c>
      <c r="H1784" s="26">
        <v>0</v>
      </c>
    </row>
    <row r="1785" spans="1:8">
      <c r="A1785" s="24">
        <v>255204</v>
      </c>
      <c r="B1785" s="25" t="s">
        <v>460</v>
      </c>
      <c r="C1785" s="39" t="str">
        <f t="shared" si="54"/>
        <v>210</v>
      </c>
      <c r="D1785" s="39" t="str">
        <f t="shared" si="55"/>
        <v>21011</v>
      </c>
      <c r="E1785" s="39">
        <f>IF(ISNA(VLOOKUP(F1785,'2021功能科目'!A:B,2,FALSE)),"",VLOOKUP(F1785,'2021功能科目'!A:B,2,FALSE))</f>
        <v>2101102</v>
      </c>
      <c r="F1785" s="25" t="s">
        <v>339</v>
      </c>
      <c r="G1785" s="26">
        <v>180051.17</v>
      </c>
      <c r="H1785" s="26">
        <v>0</v>
      </c>
    </row>
    <row r="1786" spans="1:8">
      <c r="A1786" s="24">
        <v>255204</v>
      </c>
      <c r="B1786" s="25" t="s">
        <v>460</v>
      </c>
      <c r="C1786" s="39" t="str">
        <f t="shared" si="54"/>
        <v>221</v>
      </c>
      <c r="D1786" s="39" t="str">
        <f t="shared" si="55"/>
        <v>22102</v>
      </c>
      <c r="E1786" s="39">
        <f>IF(ISNA(VLOOKUP(F1786,'2021功能科目'!A:B,2,FALSE)),"",VLOOKUP(F1786,'2021功能科目'!A:B,2,FALSE))</f>
        <v>2210201</v>
      </c>
      <c r="F1786" s="25" t="s">
        <v>341</v>
      </c>
      <c r="G1786" s="26">
        <v>210697</v>
      </c>
      <c r="H1786" s="26">
        <v>0</v>
      </c>
    </row>
    <row r="1787" spans="1:8">
      <c r="A1787" s="24">
        <v>255205</v>
      </c>
      <c r="B1787" s="25" t="s">
        <v>461</v>
      </c>
      <c r="C1787" s="39" t="str">
        <f t="shared" si="54"/>
        <v>205</v>
      </c>
      <c r="D1787" s="39" t="str">
        <f t="shared" si="55"/>
        <v>20502</v>
      </c>
      <c r="E1787" s="39">
        <f>IF(ISNA(VLOOKUP(F1787,'2021功能科目'!A:B,2,FALSE)),"",VLOOKUP(F1787,'2021功能科目'!A:B,2,FALSE))</f>
        <v>2050202</v>
      </c>
      <c r="F1787" s="25" t="s">
        <v>329</v>
      </c>
      <c r="G1787" s="26">
        <v>2769500.69</v>
      </c>
      <c r="H1787" s="26">
        <v>0</v>
      </c>
    </row>
    <row r="1788" spans="1:8">
      <c r="A1788" s="24">
        <v>255205</v>
      </c>
      <c r="B1788" s="25" t="s">
        <v>461</v>
      </c>
      <c r="C1788" s="39" t="str">
        <f t="shared" si="54"/>
        <v>205</v>
      </c>
      <c r="D1788" s="39" t="str">
        <f t="shared" si="55"/>
        <v>20508</v>
      </c>
      <c r="E1788" s="39">
        <f>IF(ISNA(VLOOKUP(F1788,'2021功能科目'!A:B,2,FALSE)),"",VLOOKUP(F1788,'2021功能科目'!A:B,2,FALSE))</f>
        <v>2050803</v>
      </c>
      <c r="F1788" s="25" t="s">
        <v>332</v>
      </c>
      <c r="G1788" s="26">
        <v>5300</v>
      </c>
      <c r="H1788" s="26">
        <v>0</v>
      </c>
    </row>
    <row r="1789" spans="1:8">
      <c r="A1789" s="24">
        <v>255205</v>
      </c>
      <c r="B1789" s="25" t="s">
        <v>461</v>
      </c>
      <c r="C1789" s="39" t="str">
        <f t="shared" si="54"/>
        <v>208</v>
      </c>
      <c r="D1789" s="39" t="str">
        <f t="shared" si="55"/>
        <v>20805</v>
      </c>
      <c r="E1789" s="39">
        <f>IF(ISNA(VLOOKUP(F1789,'2021功能科目'!A:B,2,FALSE)),"",VLOOKUP(F1789,'2021功能科目'!A:B,2,FALSE))</f>
        <v>2080505</v>
      </c>
      <c r="F1789" s="25" t="s">
        <v>336</v>
      </c>
      <c r="G1789" s="26">
        <v>258556.79999999999</v>
      </c>
      <c r="H1789" s="26">
        <v>0</v>
      </c>
    </row>
    <row r="1790" spans="1:8">
      <c r="A1790" s="24">
        <v>255205</v>
      </c>
      <c r="B1790" s="25" t="s">
        <v>461</v>
      </c>
      <c r="C1790" s="39" t="str">
        <f t="shared" si="54"/>
        <v>208</v>
      </c>
      <c r="D1790" s="39" t="str">
        <f t="shared" si="55"/>
        <v>20805</v>
      </c>
      <c r="E1790" s="39">
        <f>IF(ISNA(VLOOKUP(F1790,'2021功能科目'!A:B,2,FALSE)),"",VLOOKUP(F1790,'2021功能科目'!A:B,2,FALSE))</f>
        <v>2080506</v>
      </c>
      <c r="F1790" s="25" t="s">
        <v>337</v>
      </c>
      <c r="G1790" s="26">
        <v>103422.72</v>
      </c>
      <c r="H1790" s="26">
        <v>0</v>
      </c>
    </row>
    <row r="1791" spans="1:8">
      <c r="A1791" s="24">
        <v>255205</v>
      </c>
      <c r="B1791" s="25" t="s">
        <v>461</v>
      </c>
      <c r="C1791" s="39" t="str">
        <f t="shared" si="54"/>
        <v>210</v>
      </c>
      <c r="D1791" s="39" t="str">
        <f t="shared" si="55"/>
        <v>21011</v>
      </c>
      <c r="E1791" s="39">
        <f>IF(ISNA(VLOOKUP(F1791,'2021功能科目'!A:B,2,FALSE)),"",VLOOKUP(F1791,'2021功能科目'!A:B,2,FALSE))</f>
        <v>2101102</v>
      </c>
      <c r="F1791" s="25" t="s">
        <v>339</v>
      </c>
      <c r="G1791" s="26">
        <v>168061.92</v>
      </c>
      <c r="H1791" s="26">
        <v>0</v>
      </c>
    </row>
    <row r="1792" spans="1:8">
      <c r="A1792" s="24">
        <v>255205</v>
      </c>
      <c r="B1792" s="25" t="s">
        <v>461</v>
      </c>
      <c r="C1792" s="39" t="str">
        <f t="shared" si="54"/>
        <v>221</v>
      </c>
      <c r="D1792" s="39" t="str">
        <f t="shared" si="55"/>
        <v>22102</v>
      </c>
      <c r="E1792" s="39">
        <f>IF(ISNA(VLOOKUP(F1792,'2021功能科目'!A:B,2,FALSE)),"",VLOOKUP(F1792,'2021功能科目'!A:B,2,FALSE))</f>
        <v>2210201</v>
      </c>
      <c r="F1792" s="25" t="s">
        <v>341</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328</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329</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344</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330</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331</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345</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355</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356</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349</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351</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350</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353</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332</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333</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334</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347</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348</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465</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352</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335</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336</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337</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338</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339</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340</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357</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341</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342</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343</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397</v>
      </c>
      <c r="B1" s="52" t="s">
        <v>398</v>
      </c>
    </row>
    <row r="2" spans="1:6">
      <c r="A2" s="74" t="s">
        <v>399</v>
      </c>
      <c r="B2" s="74">
        <v>2050101</v>
      </c>
      <c r="C2" s="74"/>
      <c r="D2" s="74"/>
      <c r="E2" s="74"/>
      <c r="F2" s="74">
        <v>205</v>
      </c>
    </row>
    <row r="3" spans="1:6">
      <c r="A3" s="74" t="s">
        <v>400</v>
      </c>
      <c r="B3" s="74">
        <v>2050102</v>
      </c>
      <c r="C3" s="74"/>
      <c r="D3" s="74"/>
      <c r="E3" s="74"/>
      <c r="F3" s="74">
        <v>206</v>
      </c>
    </row>
    <row r="4" spans="1:6">
      <c r="A4" s="74" t="s">
        <v>328</v>
      </c>
      <c r="B4" s="74">
        <v>2050201</v>
      </c>
      <c r="C4" s="74"/>
      <c r="D4" s="74"/>
      <c r="E4" s="74"/>
      <c r="F4" s="74">
        <v>208</v>
      </c>
    </row>
    <row r="5" spans="1:6">
      <c r="A5" s="74" t="s">
        <v>329</v>
      </c>
      <c r="B5" s="74">
        <v>2050202</v>
      </c>
      <c r="C5" s="74"/>
      <c r="D5" s="74"/>
      <c r="E5" s="74"/>
      <c r="F5" s="74">
        <v>210</v>
      </c>
    </row>
    <row r="6" spans="1:6">
      <c r="A6" s="74" t="s">
        <v>344</v>
      </c>
      <c r="B6" s="74">
        <v>2050203</v>
      </c>
      <c r="C6" s="74"/>
      <c r="D6" s="74"/>
      <c r="E6" s="74"/>
      <c r="F6" s="74">
        <v>212</v>
      </c>
    </row>
    <row r="7" spans="1:6">
      <c r="A7" s="74" t="s">
        <v>330</v>
      </c>
      <c r="B7" s="74">
        <v>2050204</v>
      </c>
      <c r="C7" s="74"/>
      <c r="D7" s="74"/>
      <c r="E7" s="74"/>
      <c r="F7" s="74">
        <v>221</v>
      </c>
    </row>
    <row r="8" spans="1:6">
      <c r="A8" s="74" t="s">
        <v>331</v>
      </c>
      <c r="B8" s="74">
        <v>2050299</v>
      </c>
      <c r="C8" s="74"/>
      <c r="D8" s="74"/>
      <c r="E8" s="74"/>
      <c r="F8" s="74">
        <v>229</v>
      </c>
    </row>
    <row r="9" spans="1:6">
      <c r="A9" s="74" t="s">
        <v>345</v>
      </c>
      <c r="B9" s="74">
        <v>2050302</v>
      </c>
      <c r="C9" s="74"/>
      <c r="D9" s="74"/>
      <c r="E9" s="74"/>
      <c r="F9" s="74">
        <v>234</v>
      </c>
    </row>
    <row r="10" spans="1:6">
      <c r="A10" s="74" t="s">
        <v>401</v>
      </c>
      <c r="B10" s="74">
        <v>2050304</v>
      </c>
      <c r="C10" s="74"/>
      <c r="D10" s="74"/>
      <c r="E10" s="74"/>
      <c r="F10" s="74">
        <v>213</v>
      </c>
    </row>
    <row r="11" spans="1:6">
      <c r="A11" s="74" t="s">
        <v>346</v>
      </c>
      <c r="B11" s="74">
        <v>2050399</v>
      </c>
      <c r="C11" s="74"/>
      <c r="D11" s="74"/>
      <c r="E11" s="74"/>
      <c r="F11" s="74"/>
    </row>
    <row r="12" spans="1:6">
      <c r="A12" s="74" t="s">
        <v>355</v>
      </c>
      <c r="B12" s="74">
        <v>2050403</v>
      </c>
      <c r="C12" s="74"/>
      <c r="D12" s="74"/>
      <c r="E12" s="74"/>
      <c r="F12" s="74"/>
    </row>
    <row r="13" spans="1:6">
      <c r="A13" s="74" t="s">
        <v>356</v>
      </c>
      <c r="B13" s="74">
        <v>2050404</v>
      </c>
      <c r="C13" s="74"/>
      <c r="D13" s="74"/>
      <c r="E13" s="74"/>
      <c r="F13" s="74"/>
    </row>
    <row r="14" spans="1:6">
      <c r="A14" s="74" t="s">
        <v>349</v>
      </c>
      <c r="B14" s="74">
        <v>2050701</v>
      </c>
      <c r="C14" s="74"/>
      <c r="D14" s="74"/>
      <c r="E14" s="74"/>
      <c r="F14" s="74"/>
    </row>
    <row r="15" spans="1:6">
      <c r="A15" s="74" t="s">
        <v>351</v>
      </c>
      <c r="B15" s="74">
        <v>2050702</v>
      </c>
      <c r="C15" s="74"/>
      <c r="D15" s="74"/>
      <c r="E15" s="74"/>
      <c r="F15" s="74"/>
    </row>
    <row r="16" spans="1:6">
      <c r="A16" s="74" t="s">
        <v>350</v>
      </c>
      <c r="B16" s="74">
        <v>2050799</v>
      </c>
      <c r="C16" s="74"/>
      <c r="D16" s="74"/>
      <c r="E16" s="74"/>
      <c r="F16" s="74"/>
    </row>
    <row r="17" spans="1:6">
      <c r="A17" s="74" t="s">
        <v>353</v>
      </c>
      <c r="B17" s="74">
        <v>2050801</v>
      </c>
      <c r="C17" s="74"/>
      <c r="D17" s="74"/>
      <c r="E17" s="74"/>
      <c r="F17" s="74"/>
    </row>
    <row r="18" spans="1:6">
      <c r="A18" s="74" t="s">
        <v>332</v>
      </c>
      <c r="B18" s="74">
        <v>2050803</v>
      </c>
      <c r="C18" s="74"/>
      <c r="D18" s="74"/>
      <c r="E18" s="74"/>
      <c r="F18" s="74"/>
    </row>
    <row r="19" spans="1:6">
      <c r="A19" s="74" t="s">
        <v>333</v>
      </c>
      <c r="B19" s="74">
        <v>2050903</v>
      </c>
      <c r="C19" s="74"/>
      <c r="D19" s="74"/>
      <c r="E19" s="74"/>
      <c r="F19" s="74"/>
    </row>
    <row r="20" spans="1:6">
      <c r="A20" s="74" t="s">
        <v>334</v>
      </c>
      <c r="B20" s="74">
        <v>2050904</v>
      </c>
      <c r="C20" s="74"/>
      <c r="D20" s="74"/>
      <c r="E20" s="74"/>
      <c r="F20" s="74"/>
    </row>
    <row r="21" spans="1:6">
      <c r="A21" s="74" t="s">
        <v>347</v>
      </c>
      <c r="B21" s="74">
        <v>2050905</v>
      </c>
      <c r="C21" s="74"/>
      <c r="D21" s="74"/>
      <c r="E21" s="74"/>
      <c r="F21" s="74"/>
    </row>
    <row r="22" spans="1:6">
      <c r="A22" s="74" t="s">
        <v>348</v>
      </c>
      <c r="B22" s="74">
        <v>2050999</v>
      </c>
      <c r="C22" s="74"/>
      <c r="D22" s="74"/>
      <c r="E22" s="74"/>
      <c r="F22" s="74"/>
    </row>
    <row r="23" spans="1:6">
      <c r="A23" s="74" t="s">
        <v>465</v>
      </c>
      <c r="B23" s="74">
        <v>2060499</v>
      </c>
      <c r="C23" s="74" t="s">
        <v>466</v>
      </c>
      <c r="D23" s="74"/>
      <c r="E23" s="74"/>
      <c r="F23" s="74"/>
    </row>
    <row r="24" spans="1:6">
      <c r="A24" s="74" t="s">
        <v>352</v>
      </c>
      <c r="B24" s="74">
        <v>2060702</v>
      </c>
      <c r="C24" s="74"/>
      <c r="D24" s="74"/>
      <c r="E24" s="74"/>
      <c r="F24" s="74"/>
    </row>
    <row r="25" spans="1:6">
      <c r="A25" s="74" t="s">
        <v>402</v>
      </c>
      <c r="B25" s="74">
        <v>2080501</v>
      </c>
      <c r="C25" s="74"/>
      <c r="D25" s="74"/>
      <c r="E25" s="74"/>
      <c r="F25" s="74"/>
    </row>
    <row r="26" spans="1:6">
      <c r="A26" s="74" t="s">
        <v>335</v>
      </c>
      <c r="B26" s="74">
        <v>2080502</v>
      </c>
      <c r="C26" s="74"/>
      <c r="D26" s="74"/>
      <c r="E26" s="74"/>
      <c r="F26" s="74"/>
    </row>
    <row r="27" spans="1:6">
      <c r="A27" s="74" t="s">
        <v>336</v>
      </c>
      <c r="B27" s="74">
        <v>2080505</v>
      </c>
      <c r="C27" s="74"/>
      <c r="D27" s="74"/>
      <c r="E27" s="74"/>
      <c r="F27" s="74"/>
    </row>
    <row r="28" spans="1:6">
      <c r="A28" s="74" t="s">
        <v>337</v>
      </c>
      <c r="B28" s="74">
        <v>2080506</v>
      </c>
      <c r="C28" s="74"/>
      <c r="D28" s="74"/>
      <c r="E28" s="74"/>
      <c r="F28" s="74"/>
    </row>
    <row r="29" spans="1:6">
      <c r="A29" s="74" t="s">
        <v>338</v>
      </c>
      <c r="B29" s="74">
        <v>2080801</v>
      </c>
      <c r="C29" s="74"/>
      <c r="D29" s="74"/>
      <c r="E29" s="74"/>
      <c r="F29" s="74"/>
    </row>
    <row r="30" spans="1:6">
      <c r="A30" s="74" t="s">
        <v>403</v>
      </c>
      <c r="B30" s="74">
        <v>2101101</v>
      </c>
      <c r="C30" s="74"/>
      <c r="D30" s="74"/>
      <c r="E30" s="74"/>
      <c r="F30" s="74"/>
    </row>
    <row r="31" spans="1:6">
      <c r="A31" s="74" t="s">
        <v>339</v>
      </c>
      <c r="B31" s="74">
        <v>2101102</v>
      </c>
      <c r="C31" s="74"/>
      <c r="D31" s="74"/>
      <c r="E31" s="74"/>
      <c r="F31" s="74"/>
    </row>
    <row r="32" spans="1:6">
      <c r="A32" s="74" t="s">
        <v>340</v>
      </c>
      <c r="B32" s="74">
        <v>2101199</v>
      </c>
      <c r="C32" s="74"/>
      <c r="D32" s="74"/>
      <c r="E32" s="74"/>
      <c r="F32" s="74"/>
    </row>
    <row r="33" spans="1:6">
      <c r="A33" s="74" t="s">
        <v>357</v>
      </c>
      <c r="B33" s="74">
        <v>2120399</v>
      </c>
      <c r="C33" s="74"/>
      <c r="D33" s="74"/>
      <c r="E33" s="74"/>
      <c r="F33" s="74"/>
    </row>
    <row r="34" spans="1:6">
      <c r="A34" s="74" t="s">
        <v>467</v>
      </c>
      <c r="B34" s="74">
        <v>2120801</v>
      </c>
      <c r="C34" s="74" t="s">
        <v>466</v>
      </c>
      <c r="D34" s="74" t="s">
        <v>468</v>
      </c>
      <c r="E34" s="74"/>
      <c r="F34" s="74"/>
    </row>
    <row r="35" spans="1:6">
      <c r="A35" s="74" t="s">
        <v>354</v>
      </c>
      <c r="B35" s="74">
        <v>2130506</v>
      </c>
      <c r="C35" s="74">
        <v>2020</v>
      </c>
      <c r="D35" s="74"/>
      <c r="E35" s="74"/>
      <c r="F35" s="74"/>
    </row>
    <row r="36" spans="1:6">
      <c r="A36" s="74" t="s">
        <v>341</v>
      </c>
      <c r="B36" s="74">
        <v>2210201</v>
      </c>
      <c r="C36" s="74"/>
      <c r="D36" s="74"/>
      <c r="E36" s="74"/>
      <c r="F36" s="74"/>
    </row>
    <row r="37" spans="1:6">
      <c r="A37" s="74" t="s">
        <v>342</v>
      </c>
      <c r="B37" s="74">
        <v>2210202</v>
      </c>
      <c r="C37" s="74"/>
      <c r="D37" s="74"/>
      <c r="E37" s="74"/>
      <c r="F37" s="74"/>
    </row>
    <row r="38" spans="1:6">
      <c r="A38" s="74" t="s">
        <v>343</v>
      </c>
      <c r="B38" s="74">
        <v>2210203</v>
      </c>
      <c r="C38" s="74"/>
      <c r="D38" s="74"/>
      <c r="E38" s="74"/>
      <c r="F38" s="74"/>
    </row>
    <row r="39" spans="1:6">
      <c r="A39" s="74" t="s">
        <v>404</v>
      </c>
      <c r="B39" s="74">
        <v>2296003</v>
      </c>
      <c r="C39" s="74"/>
      <c r="D39" s="74"/>
      <c r="E39" s="74"/>
      <c r="F39" s="74"/>
    </row>
    <row r="40" spans="1:6">
      <c r="A40" s="74" t="s">
        <v>405</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411</v>
      </c>
    </row>
    <row r="16" spans="1:14" ht="30" customHeight="1">
      <c r="C16" s="4" t="s">
        <v>412</v>
      </c>
    </row>
    <row r="17" spans="3:3" ht="30" customHeight="1">
      <c r="C17" s="4" t="s">
        <v>413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414</v>
      </c>
      <c r="B10" s="81"/>
      <c r="C10" s="81"/>
      <c r="D10" s="81"/>
      <c r="E10" s="81"/>
      <c r="F10" s="81"/>
      <c r="G10" s="81"/>
      <c r="H10" s="81"/>
      <c r="I10" s="81"/>
      <c r="J10" s="81"/>
      <c r="K10" s="81"/>
      <c r="L10" s="81"/>
      <c r="M10" s="81"/>
      <c r="N10" s="81"/>
    </row>
    <row r="11" spans="1:14" ht="78" customHeight="1">
      <c r="A11" s="82" t="s">
        <v>474</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topLeftCell="A73" zoomScaleNormal="100" workbookViewId="0">
      <selection activeCell="A86" sqref="A86:M8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411</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3" t="s">
        <v>477</v>
      </c>
      <c r="B4" s="83"/>
      <c r="C4" s="83"/>
      <c r="D4" s="83"/>
      <c r="E4" s="83"/>
      <c r="F4" s="83"/>
      <c r="G4" s="83"/>
      <c r="H4" s="83"/>
      <c r="I4" s="83"/>
      <c r="J4" s="83"/>
      <c r="K4" s="83"/>
      <c r="L4" s="83"/>
      <c r="M4" s="83"/>
      <c r="N4" s="19"/>
    </row>
    <row r="5" spans="1:14" ht="18" customHeight="1">
      <c r="A5" s="7" t="s">
        <v>176</v>
      </c>
    </row>
    <row r="6" spans="1:14" ht="18" customHeight="1">
      <c r="A6" s="88" t="s">
        <v>244</v>
      </c>
      <c r="B6" s="88"/>
      <c r="C6" s="10">
        <v>70</v>
      </c>
      <c r="D6" s="10" t="s">
        <v>246</v>
      </c>
      <c r="E6" s="8">
        <f>_xlfn.IFNA(VLOOKUP(封面!B1,'2021决算导出'!A:C,3,FALSE),"")</f>
        <v>51</v>
      </c>
      <c r="F6" s="10" t="s">
        <v>247</v>
      </c>
      <c r="G6" s="10"/>
      <c r="H6" s="10"/>
      <c r="I6" s="10"/>
      <c r="J6" s="10"/>
      <c r="K6" s="10"/>
      <c r="L6" s="10"/>
      <c r="M6" s="10"/>
      <c r="N6" s="10"/>
    </row>
    <row r="7" spans="1:14" ht="18" customHeight="1">
      <c r="A7" s="6" t="s">
        <v>177</v>
      </c>
    </row>
    <row r="8" spans="1:14" ht="18" customHeight="1">
      <c r="A8" s="88" t="s">
        <v>415</v>
      </c>
      <c r="B8" s="88"/>
      <c r="C8" s="88"/>
      <c r="D8" s="14">
        <f>_xlfn.IFNA(VLOOKUP(封面!B1,'2021决算导出'!A:D,4,FALSE),"")</f>
        <v>29118755</v>
      </c>
      <c r="E8" s="7" t="s">
        <v>179</v>
      </c>
      <c r="F8" s="20" t="s">
        <v>248</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371933.33999999985</v>
      </c>
      <c r="I8" s="16" t="s">
        <v>179</v>
      </c>
      <c r="J8" s="30" t="str">
        <f>IF(ISNA(VLOOKUP(封面!B1,'2020决算导出'!A:D,4,FALSE)),"",IF(D8-VLOOKUP(封面!B1,'2020决算导出'!A:D,4,FALSE)&gt;0,"增长","下降"))</f>
        <v>增长</v>
      </c>
      <c r="K8" s="31">
        <f>IF(ISNA(VLOOKUP(封面!B1,'2020决算导出'!A:D,4,FALSE)),"",H8/VLOOKUP(封面!B1,'2020决算导出'!A:D,4,FALSE))</f>
        <v>1.2938242161133574E-2</v>
      </c>
      <c r="L8" s="7" t="s">
        <v>312</v>
      </c>
    </row>
    <row r="9" spans="1:14" ht="18" customHeight="1">
      <c r="A9" s="7" t="s">
        <v>180</v>
      </c>
      <c r="G9" s="32"/>
      <c r="H9" s="32"/>
      <c r="I9" s="32"/>
      <c r="J9" s="32"/>
      <c r="K9" s="32"/>
    </row>
    <row r="10" spans="1:14" ht="18" customHeight="1">
      <c r="A10" s="88" t="s">
        <v>416</v>
      </c>
      <c r="B10" s="88"/>
      <c r="C10" s="88"/>
      <c r="D10" s="14">
        <f>_xlfn.IFNA(VLOOKUP(封面!B1,'2021决算导出'!A:E,5,FALSE),"")</f>
        <v>29118755</v>
      </c>
      <c r="E10" s="7" t="s">
        <v>179</v>
      </c>
      <c r="F10" s="20" t="s">
        <v>248</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371933.33999999985</v>
      </c>
      <c r="I10" s="16" t="s">
        <v>179</v>
      </c>
      <c r="J10" s="30" t="str">
        <f>IF(ISNA(VLOOKUP(封面!B1,'2020决算导出'!A:E,5,FALSE)),"",IF(D10-VLOOKUP(封面!B1,'2020决算导出'!A:E,5,FALSE)&gt;0,"增长","下降"))</f>
        <v>增长</v>
      </c>
      <c r="K10" s="31">
        <f>IF(ISNA(VLOOKUP(封面!B1,'2020决算导出'!A:E,5,FALSE)),"",H10/VLOOKUP(封面!B1,'2020决算导出'!A:E,5,FALSE))</f>
        <v>1.2938242161133574E-2</v>
      </c>
      <c r="L10" s="7" t="s">
        <v>313</v>
      </c>
    </row>
    <row r="11" spans="1:14" ht="18" customHeight="1">
      <c r="A11" s="88" t="s">
        <v>181</v>
      </c>
      <c r="B11" s="88"/>
      <c r="C11" s="88"/>
      <c r="D11" s="14">
        <f>_xlfn.IFNA(VLOOKUP(封面!B1,'2021决算导出'!A:F,6,FALSE),"")</f>
        <v>29118755</v>
      </c>
      <c r="E11" s="7" t="s">
        <v>179</v>
      </c>
      <c r="F11" s="88" t="s">
        <v>182</v>
      </c>
      <c r="G11" s="88"/>
      <c r="H11" s="29">
        <f>D11/$D$10</f>
        <v>1</v>
      </c>
      <c r="I11" s="7" t="s">
        <v>314</v>
      </c>
    </row>
    <row r="12" spans="1:14" ht="18" customHeight="1">
      <c r="A12" s="88" t="s">
        <v>184</v>
      </c>
      <c r="B12" s="88"/>
      <c r="C12" s="88"/>
      <c r="D12" s="14">
        <f>_xlfn.IFNA(VLOOKUP(封面!B1,'2021决算导出'!A:G,7,FALSE),"")</f>
        <v>0</v>
      </c>
      <c r="E12" s="7" t="s">
        <v>179</v>
      </c>
      <c r="F12" s="88" t="s">
        <v>182</v>
      </c>
      <c r="G12" s="88"/>
      <c r="H12" s="29">
        <f t="shared" ref="H12:H15" si="0">D12/$D$10</f>
        <v>0</v>
      </c>
      <c r="I12" s="7" t="s">
        <v>314</v>
      </c>
    </row>
    <row r="13" spans="1:14" ht="18" customHeight="1">
      <c r="A13" s="88" t="s">
        <v>185</v>
      </c>
      <c r="B13" s="88"/>
      <c r="C13" s="88"/>
      <c r="D13" s="14">
        <f>_xlfn.IFNA(VLOOKUP(封面!B1,'2021决算导出'!A:H,8,FALSE),"")</f>
        <v>0</v>
      </c>
      <c r="E13" s="7" t="s">
        <v>179</v>
      </c>
      <c r="F13" s="88" t="s">
        <v>182</v>
      </c>
      <c r="G13" s="88"/>
      <c r="H13" s="29">
        <f t="shared" si="0"/>
        <v>0</v>
      </c>
      <c r="I13" s="7" t="s">
        <v>314</v>
      </c>
    </row>
    <row r="14" spans="1:14" ht="18" customHeight="1">
      <c r="A14" s="88" t="s">
        <v>186</v>
      </c>
      <c r="B14" s="88"/>
      <c r="C14" s="88"/>
      <c r="D14" s="14">
        <f>_xlfn.IFNA(VLOOKUP(封面!B1,'2021决算导出'!A:I,9,FALSE),"")</f>
        <v>0</v>
      </c>
      <c r="E14" s="7" t="s">
        <v>179</v>
      </c>
      <c r="F14" s="88" t="s">
        <v>182</v>
      </c>
      <c r="G14" s="88"/>
      <c r="H14" s="29">
        <f t="shared" si="0"/>
        <v>0</v>
      </c>
      <c r="I14" s="7" t="s">
        <v>314</v>
      </c>
    </row>
    <row r="15" spans="1:14" ht="18" customHeight="1">
      <c r="A15" s="88" t="s">
        <v>187</v>
      </c>
      <c r="B15" s="88"/>
      <c r="C15" s="88"/>
      <c r="D15" s="14">
        <f>_xlfn.IFNA(VLOOKUP(封面!B1,'2021决算导出'!A:J,10,FALSE),"")</f>
        <v>0</v>
      </c>
      <c r="E15" s="7" t="s">
        <v>179</v>
      </c>
      <c r="F15" s="88" t="s">
        <v>182</v>
      </c>
      <c r="G15" s="88"/>
      <c r="H15" s="29">
        <f t="shared" si="0"/>
        <v>0</v>
      </c>
      <c r="I15" s="7" t="s">
        <v>315</v>
      </c>
    </row>
    <row r="16" spans="1:14" ht="18" customHeight="1">
      <c r="A16" s="7" t="s">
        <v>188</v>
      </c>
    </row>
    <row r="17" spans="1:13" ht="18" customHeight="1">
      <c r="A17" s="88" t="s">
        <v>417</v>
      </c>
      <c r="B17" s="88"/>
      <c r="C17" s="88"/>
      <c r="D17" s="14">
        <f>_xlfn.IFNA(VLOOKUP(封面!B1,'2021决算导出'!A:K,11,FALSE),"")</f>
        <v>27515435.460000001</v>
      </c>
      <c r="E17" s="7" t="s">
        <v>179</v>
      </c>
      <c r="F17" s="20" t="s">
        <v>248</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1231386.1999999993</v>
      </c>
      <c r="I17" s="7" t="s">
        <v>179</v>
      </c>
      <c r="J17" s="30" t="str">
        <f>IF(ISNA(VLOOKUP(封面!B1,'2020决算导出'!A:K,11,FALSE)),"",IF(D17-VLOOKUP(封面!B1,'2020决算导出'!A:K,11,FALSE)&gt;0,"增长","下降"))</f>
        <v>下降</v>
      </c>
      <c r="K17" s="31">
        <f>IF(ISNA(VLOOKUP(封面!B1,'2020决算导出'!A:K,11,FALSE)),"",H17/VLOOKUP(封面!B1,'2020决算导出'!A:K,11,FALSE))</f>
        <v>4.2835559859941724E-2</v>
      </c>
      <c r="L17" s="7" t="s">
        <v>316</v>
      </c>
    </row>
    <row r="18" spans="1:13" ht="18" customHeight="1">
      <c r="A18" s="88" t="s">
        <v>189</v>
      </c>
      <c r="B18" s="88"/>
      <c r="C18" s="88"/>
      <c r="D18" s="14">
        <f>_xlfn.IFNA(VLOOKUP(封面!B1,'2021决算导出'!A:L,12,FALSE),"")</f>
        <v>21242448</v>
      </c>
      <c r="E18" s="7" t="s">
        <v>179</v>
      </c>
      <c r="F18" s="88" t="s">
        <v>190</v>
      </c>
      <c r="G18" s="88"/>
      <c r="H18" s="29">
        <f>D18/$D$17</f>
        <v>0.77201932823780939</v>
      </c>
      <c r="I18" s="7" t="s">
        <v>314</v>
      </c>
    </row>
    <row r="19" spans="1:13" ht="18" customHeight="1">
      <c r="A19" s="88" t="s">
        <v>191</v>
      </c>
      <c r="B19" s="88"/>
      <c r="C19" s="88"/>
      <c r="D19" s="14">
        <f>_xlfn.IFNA(VLOOKUP(封面!B1,'2021决算导出'!A:M,13,FALSE),"")</f>
        <v>6272987.46</v>
      </c>
      <c r="E19" s="7" t="s">
        <v>179</v>
      </c>
      <c r="F19" s="88" t="s">
        <v>190</v>
      </c>
      <c r="G19" s="88"/>
      <c r="H19" s="29">
        <f t="shared" ref="H19:H20" si="1">D19/$D$17</f>
        <v>0.22798067176219058</v>
      </c>
      <c r="I19" s="7" t="s">
        <v>314</v>
      </c>
    </row>
    <row r="20" spans="1:13" ht="18" customHeight="1">
      <c r="A20" s="88" t="s">
        <v>192</v>
      </c>
      <c r="B20" s="88"/>
      <c r="C20" s="88"/>
      <c r="D20" s="14">
        <f>_xlfn.IFNA(VLOOKUP(封面!B1,'2021决算导出'!A:N,14,FALSE),"")</f>
        <v>0</v>
      </c>
      <c r="E20" s="7" t="s">
        <v>179</v>
      </c>
      <c r="F20" s="88" t="s">
        <v>190</v>
      </c>
      <c r="G20" s="88"/>
      <c r="H20" s="29">
        <f t="shared" si="1"/>
        <v>0</v>
      </c>
      <c r="I20" s="7" t="s">
        <v>315</v>
      </c>
    </row>
    <row r="21" spans="1:13" ht="18" customHeight="1">
      <c r="A21" s="6" t="s">
        <v>193</v>
      </c>
    </row>
    <row r="22" spans="1:13" ht="18" customHeight="1">
      <c r="A22" s="88" t="s">
        <v>418</v>
      </c>
      <c r="B22" s="88"/>
      <c r="C22" s="88"/>
      <c r="D22" s="88"/>
      <c r="E22" s="86">
        <f>_xlfn.IFNA(VLOOKUP(封面!B1,'2021决算导出'!A:O,15,FALSE),"")</f>
        <v>29118755</v>
      </c>
      <c r="F22" s="86"/>
      <c r="G22" s="15" t="s">
        <v>248</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371933.33999999985</v>
      </c>
      <c r="J22" s="7" t="s">
        <v>179</v>
      </c>
      <c r="K22" s="30" t="str">
        <f>IF(ISNA(VLOOKUP(封面!B1,'2020决算导出'!A:O,15,FALSE)),"",IF(E22-VLOOKUP(封面!B1,'2020决算导出'!A:O,15,FALSE)&gt;0,"增长","下降"))</f>
        <v>增长</v>
      </c>
      <c r="L22" s="31">
        <f>IF(ISNA(VLOOKUP(封面!B1,'2020决算导出'!A:O,15,FALSE)),"",I22/VLOOKUP(封面!B1,'2020决算导出'!A:O,15,FALSE))</f>
        <v>1.2938242161133574E-2</v>
      </c>
      <c r="M22" s="7" t="s">
        <v>312</v>
      </c>
    </row>
    <row r="23" spans="1:13" ht="63.6" customHeight="1">
      <c r="B23" s="90" t="s">
        <v>478</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419</v>
      </c>
      <c r="B26" s="88"/>
      <c r="C26" s="88"/>
      <c r="D26" s="88"/>
      <c r="E26" s="88"/>
      <c r="F26" s="86">
        <f>_xlfn.IFNA(VLOOKUP(封面!B1,'2021决算导出'!A:P,16,FALSE),"")</f>
        <v>27515435.460000001</v>
      </c>
      <c r="G26" s="86"/>
      <c r="H26" s="7" t="s">
        <v>179</v>
      </c>
      <c r="I26" s="10" t="s">
        <v>196</v>
      </c>
      <c r="J26" s="10"/>
      <c r="K26" s="10"/>
      <c r="L26" s="10"/>
      <c r="M26" s="10"/>
    </row>
    <row r="27" spans="1:13" ht="18" customHeight="1">
      <c r="A27" s="88" t="s">
        <v>199</v>
      </c>
      <c r="B27" s="88"/>
      <c r="C27" s="88"/>
      <c r="D27" s="86">
        <f>_xlfn.IFNA(VLOOKUP(封面!B1,'2021决算导出'!A:Q,17,FALSE),"")</f>
        <v>20816925.52</v>
      </c>
      <c r="E27" s="86"/>
      <c r="F27" s="7" t="s">
        <v>179</v>
      </c>
      <c r="G27" s="87" t="s">
        <v>198</v>
      </c>
      <c r="H27" s="87"/>
      <c r="I27" s="29">
        <f>D27/$F$26</f>
        <v>0.7565544637758751</v>
      </c>
      <c r="J27" s="7" t="s">
        <v>314</v>
      </c>
      <c r="K27" s="9"/>
      <c r="L27" s="9"/>
      <c r="M27" s="9"/>
    </row>
    <row r="28" spans="1:13" ht="18" customHeight="1">
      <c r="A28" s="88" t="s">
        <v>200</v>
      </c>
      <c r="B28" s="88"/>
      <c r="C28" s="88"/>
      <c r="D28" s="86">
        <f>_xlfn.IFNA(VLOOKUP(封面!B1,'2021决算导出'!A:R,18,FALSE),"")</f>
        <v>0</v>
      </c>
      <c r="E28" s="86"/>
      <c r="F28" s="7" t="s">
        <v>179</v>
      </c>
      <c r="G28" s="87" t="s">
        <v>198</v>
      </c>
      <c r="H28" s="87"/>
      <c r="I28" s="29">
        <f t="shared" ref="I28:I32" si="2">D28/$F$26</f>
        <v>0</v>
      </c>
      <c r="J28" s="7" t="s">
        <v>314</v>
      </c>
      <c r="K28" s="9"/>
      <c r="L28" s="9"/>
      <c r="M28" s="9"/>
    </row>
    <row r="29" spans="1:13" ht="18" customHeight="1">
      <c r="A29" s="88" t="s">
        <v>197</v>
      </c>
      <c r="B29" s="88"/>
      <c r="C29" s="88"/>
      <c r="D29" s="86">
        <f>_xlfn.IFNA(VLOOKUP(封面!B1,'2021决算导出'!A:S,19,FALSE),"")</f>
        <v>2518974.2400000002</v>
      </c>
      <c r="E29" s="86"/>
      <c r="F29" s="7" t="s">
        <v>179</v>
      </c>
      <c r="G29" s="87" t="s">
        <v>198</v>
      </c>
      <c r="H29" s="87"/>
      <c r="I29" s="29">
        <f t="shared" si="2"/>
        <v>9.1547678526182411E-2</v>
      </c>
      <c r="J29" s="7" t="s">
        <v>314</v>
      </c>
    </row>
    <row r="30" spans="1:13" ht="18" customHeight="1">
      <c r="A30" s="88" t="s">
        <v>201</v>
      </c>
      <c r="B30" s="88"/>
      <c r="C30" s="88"/>
      <c r="D30" s="86">
        <f>_xlfn.IFNA(VLOOKUP(封面!B1,'2021决算导出'!A:T,20,FALSE),"")</f>
        <v>1662805.7</v>
      </c>
      <c r="E30" s="86"/>
      <c r="F30" s="7" t="s">
        <v>179</v>
      </c>
      <c r="G30" s="87" t="s">
        <v>198</v>
      </c>
      <c r="H30" s="87"/>
      <c r="I30" s="29">
        <f t="shared" si="2"/>
        <v>6.0431742118610826E-2</v>
      </c>
      <c r="J30" s="7" t="s">
        <v>314</v>
      </c>
    </row>
    <row r="31" spans="1:13" ht="18" customHeight="1">
      <c r="A31" s="88" t="s">
        <v>202</v>
      </c>
      <c r="B31" s="88"/>
      <c r="C31" s="88"/>
      <c r="D31" s="86">
        <f>_xlfn.IFNA(VLOOKUP(封面!B1,'2021决算导出'!A:U,21,FALSE),"")</f>
        <v>0</v>
      </c>
      <c r="E31" s="86"/>
      <c r="F31" s="7" t="s">
        <v>179</v>
      </c>
      <c r="G31" s="87" t="s">
        <v>198</v>
      </c>
      <c r="H31" s="87"/>
      <c r="I31" s="29">
        <f t="shared" si="2"/>
        <v>0</v>
      </c>
      <c r="J31" s="7" t="s">
        <v>314</v>
      </c>
    </row>
    <row r="32" spans="1:13" ht="18" customHeight="1">
      <c r="A32" s="88" t="s">
        <v>203</v>
      </c>
      <c r="B32" s="88"/>
      <c r="C32" s="88"/>
      <c r="D32" s="86">
        <f>_xlfn.IFNA(VLOOKUP(封面!B1,'2021决算导出'!A:V,22,FALSE),"")</f>
        <v>2516730</v>
      </c>
      <c r="E32" s="86"/>
      <c r="F32" s="7" t="s">
        <v>179</v>
      </c>
      <c r="G32" s="87" t="s">
        <v>198</v>
      </c>
      <c r="H32" s="87"/>
      <c r="I32" s="29">
        <f t="shared" si="2"/>
        <v>9.1466115579331625E-2</v>
      </c>
      <c r="J32" s="7" t="s">
        <v>314</v>
      </c>
    </row>
    <row r="33" spans="1:12" ht="18" customHeight="1">
      <c r="A33" s="7" t="s">
        <v>204</v>
      </c>
    </row>
    <row r="34" spans="1:12" ht="18" customHeight="1">
      <c r="A34" s="84" t="s">
        <v>420</v>
      </c>
      <c r="B34" s="84"/>
      <c r="C34" s="84"/>
      <c r="D34" s="84"/>
      <c r="E34" s="86">
        <f>_xlfn.IFNA(VLOOKUP(封面!B1,一般公共预算财政拨款支出决算具体情况!A:C,3,FALSE),"")</f>
        <v>20816925.52</v>
      </c>
      <c r="F34" s="86"/>
      <c r="G34" s="7" t="s">
        <v>179</v>
      </c>
      <c r="H34" s="87" t="s">
        <v>421</v>
      </c>
      <c r="I34" s="87"/>
      <c r="J34" s="86">
        <f>_xlfn.IFNA(VLOOKUP(封面!B1,一般公共预算财政拨款支出决算具体情况!A:D,4,FALSE),"")</f>
        <v>18241340.5</v>
      </c>
      <c r="K34" s="86"/>
      <c r="L34" s="11" t="s">
        <v>178</v>
      </c>
    </row>
    <row r="35" spans="1:12" ht="18" customHeight="1">
      <c r="B35" s="15" t="str">
        <f>IF(E34&gt;J34,"增加","减少")</f>
        <v>增加</v>
      </c>
      <c r="C35" s="86">
        <f>ABS(E34-J34)</f>
        <v>2575585.0199999996</v>
      </c>
      <c r="D35" s="86"/>
      <c r="E35" s="7" t="s">
        <v>179</v>
      </c>
      <c r="F35" s="15" t="str">
        <f>IF(E34&gt;J34,"增长","下降")</f>
        <v>增长</v>
      </c>
      <c r="G35" s="34">
        <f>IF(J34=0,IF(E34&gt;0,1,""),C35/J34)</f>
        <v>0.14119494233441887</v>
      </c>
      <c r="H35" s="7" t="s">
        <v>315</v>
      </c>
      <c r="I35" s="11" t="s">
        <v>205</v>
      </c>
    </row>
    <row r="36" spans="1:12" ht="18" customHeight="1">
      <c r="A36" s="88" t="s">
        <v>422</v>
      </c>
      <c r="B36" s="88"/>
      <c r="C36" s="88"/>
      <c r="D36" s="88"/>
      <c r="E36" s="86">
        <f>_xlfn.IFNA(VLOOKUP(封面!B1,一般公共预算财政拨款支出决算具体情况!A:E,5,FALSE),"")</f>
        <v>0</v>
      </c>
      <c r="F36" s="86"/>
      <c r="G36" s="7" t="s">
        <v>179</v>
      </c>
      <c r="H36" s="87" t="s">
        <v>421</v>
      </c>
      <c r="I36" s="87"/>
      <c r="J36" s="86">
        <f>_xlfn.IFNA(VLOOKUP(封面!B1,一般公共预算财政拨款支出决算具体情况!A:F,6,FALSE),"")</f>
        <v>0</v>
      </c>
      <c r="K36" s="86"/>
      <c r="L36" s="11" t="s">
        <v>178</v>
      </c>
    </row>
    <row r="37" spans="1:12" ht="18" customHeight="1">
      <c r="A37" s="15"/>
      <c r="B37" s="15" t="str">
        <f>IF(E36&gt;J36,"增加","减少")</f>
        <v>减少</v>
      </c>
      <c r="C37" s="86">
        <f>ABS(E36-J36)</f>
        <v>0</v>
      </c>
      <c r="D37" s="86"/>
      <c r="E37" s="7" t="s">
        <v>179</v>
      </c>
      <c r="F37" s="15" t="str">
        <f>IF(E36&gt;J36,"增长","下降")</f>
        <v>下降</v>
      </c>
      <c r="G37" s="34" t="str">
        <f>IF(J36=0,IF(E36&gt;0,1,""),C37/J36)</f>
        <v/>
      </c>
      <c r="H37" s="7" t="s">
        <v>315</v>
      </c>
    </row>
    <row r="38" spans="1:12" ht="18" customHeight="1">
      <c r="A38" s="88" t="s">
        <v>423</v>
      </c>
      <c r="B38" s="88"/>
      <c r="C38" s="88"/>
      <c r="D38" s="88"/>
      <c r="E38" s="86">
        <f>_xlfn.IFNA(VLOOKUP(封面!B1,一般公共预算财政拨款支出决算具体情况!A:G,7,FALSE),"")</f>
        <v>0</v>
      </c>
      <c r="F38" s="86"/>
      <c r="G38" s="7" t="s">
        <v>179</v>
      </c>
      <c r="H38" s="87" t="s">
        <v>421</v>
      </c>
      <c r="I38" s="87"/>
      <c r="J38" s="86">
        <f>_xlfn.IFNA(VLOOKUP(封面!B1,一般公共预算财政拨款支出决算具体情况!A:H,8,FALSE),"")</f>
        <v>0</v>
      </c>
      <c r="K38" s="86"/>
      <c r="L38" s="11" t="s">
        <v>178</v>
      </c>
    </row>
    <row r="39" spans="1:12" ht="18" customHeight="1">
      <c r="A39" s="15"/>
      <c r="B39" s="15" t="str">
        <f>IF(E38&gt;J38,"增加","减少")</f>
        <v>减少</v>
      </c>
      <c r="C39" s="86">
        <f>ABS(E38-J38)</f>
        <v>0</v>
      </c>
      <c r="D39" s="86"/>
      <c r="E39" s="7" t="s">
        <v>179</v>
      </c>
      <c r="F39" s="15" t="str">
        <f>IF(E38&gt;J38,"增长","下降")</f>
        <v>下降</v>
      </c>
      <c r="G39" s="34" t="str">
        <f>IF(J38=0,IF(E38&gt;0,1,""),C39/J38)</f>
        <v/>
      </c>
      <c r="H39" s="7" t="s">
        <v>315</v>
      </c>
    </row>
    <row r="40" spans="1:12" ht="18" customHeight="1">
      <c r="A40" s="88" t="s">
        <v>424</v>
      </c>
      <c r="B40" s="88"/>
      <c r="C40" s="88"/>
      <c r="D40" s="88"/>
      <c r="E40" s="86">
        <f>_xlfn.IFNA(VLOOKUP(封面!B1,一般公共预算财政拨款支出决算具体情况!A:I,9,FALSE),"")</f>
        <v>0</v>
      </c>
      <c r="F40" s="86"/>
      <c r="G40" s="7" t="s">
        <v>179</v>
      </c>
      <c r="H40" s="87" t="s">
        <v>421</v>
      </c>
      <c r="I40" s="87"/>
      <c r="J40" s="86">
        <f>_xlfn.IFNA(VLOOKUP(封面!B1,一般公共预算财政拨款支出决算具体情况!A:J,10,FALSE),"")</f>
        <v>0</v>
      </c>
      <c r="K40" s="86"/>
      <c r="L40" s="11" t="s">
        <v>178</v>
      </c>
    </row>
    <row r="41" spans="1:12" ht="18" customHeight="1">
      <c r="A41" s="15"/>
      <c r="B41" s="15" t="str">
        <f>IF(E40&gt;J40,"增加","减少")</f>
        <v>减少</v>
      </c>
      <c r="C41" s="86">
        <f>ABS(E40-J40)</f>
        <v>0</v>
      </c>
      <c r="D41" s="86"/>
      <c r="E41" s="7" t="s">
        <v>179</v>
      </c>
      <c r="F41" s="15" t="str">
        <f>IF(E40&gt;J40,"增长","下降")</f>
        <v>下降</v>
      </c>
      <c r="G41" s="34" t="str">
        <f>IF(J40=0,IF(E40&gt;0,1,""),C41/J40)</f>
        <v/>
      </c>
      <c r="H41" s="7" t="s">
        <v>315</v>
      </c>
    </row>
    <row r="42" spans="1:12" ht="18" customHeight="1">
      <c r="A42" s="88" t="s">
        <v>425</v>
      </c>
      <c r="B42" s="88"/>
      <c r="C42" s="88"/>
      <c r="D42" s="88"/>
      <c r="E42" s="86">
        <f>_xlfn.IFNA(VLOOKUP(封面!B1,一般公共预算财政拨款支出决算具体情况!A:K,11,FALSE),"")</f>
        <v>0</v>
      </c>
      <c r="F42" s="86"/>
      <c r="G42" s="7" t="s">
        <v>179</v>
      </c>
      <c r="H42" s="87" t="s">
        <v>421</v>
      </c>
      <c r="I42" s="87"/>
      <c r="J42" s="86">
        <f>_xlfn.IFNA(VLOOKUP(封面!B1,一般公共预算财政拨款支出决算具体情况!A:L,12,FALSE),"")</f>
        <v>0</v>
      </c>
      <c r="K42" s="86"/>
      <c r="L42" s="11" t="s">
        <v>178</v>
      </c>
    </row>
    <row r="43" spans="1:12" ht="18" customHeight="1">
      <c r="A43" s="15"/>
      <c r="B43" s="15" t="str">
        <f>IF(E42&gt;J42,"增加","减少")</f>
        <v>减少</v>
      </c>
      <c r="C43" s="86">
        <f>ABS(E42-J42)</f>
        <v>0</v>
      </c>
      <c r="D43" s="86"/>
      <c r="E43" s="7" t="s">
        <v>179</v>
      </c>
      <c r="F43" s="15" t="str">
        <f>IF(E42&gt;J42,"增长","下降")</f>
        <v>下降</v>
      </c>
      <c r="G43" s="34" t="str">
        <f>IF(J42=0,IF(E42&gt;0,1,""),C43/J42)</f>
        <v/>
      </c>
      <c r="H43" s="7" t="s">
        <v>315</v>
      </c>
    </row>
    <row r="44" spans="1:12" ht="18" customHeight="1">
      <c r="A44" s="88" t="s">
        <v>426</v>
      </c>
      <c r="B44" s="88"/>
      <c r="C44" s="88"/>
      <c r="D44" s="88"/>
      <c r="E44" s="86">
        <f>_xlfn.IFNA(VLOOKUP(封面!B1,一般公共预算财政拨款支出决算具体情况!A:M,13,FALSE),"")</f>
        <v>20816925.52</v>
      </c>
      <c r="F44" s="86"/>
      <c r="G44" s="7" t="s">
        <v>179</v>
      </c>
      <c r="H44" s="87" t="s">
        <v>421</v>
      </c>
      <c r="I44" s="87"/>
      <c r="J44" s="86">
        <f>_xlfn.IFNA(VLOOKUP(封面!B1,一般公共预算财政拨款支出决算具体情况!A:N,14,FALSE),"")</f>
        <v>18241340.5</v>
      </c>
      <c r="K44" s="86"/>
      <c r="L44" s="11" t="s">
        <v>178</v>
      </c>
    </row>
    <row r="45" spans="1:12" ht="18" customHeight="1">
      <c r="A45" s="15"/>
      <c r="B45" s="15" t="str">
        <f>IF(E44&gt;J44,"增加","减少")</f>
        <v>增加</v>
      </c>
      <c r="C45" s="86">
        <f>ABS(E44-J44)</f>
        <v>2575585.0199999996</v>
      </c>
      <c r="D45" s="86"/>
      <c r="E45" s="7" t="s">
        <v>179</v>
      </c>
      <c r="F45" s="15" t="str">
        <f>IF(E44&gt;J44,"增长","下降")</f>
        <v>增长</v>
      </c>
      <c r="G45" s="34">
        <f>IF(J44=0,IF(E44&gt;0,1,""),C45/J44)</f>
        <v>0.14119494233441887</v>
      </c>
      <c r="H45" s="7" t="s">
        <v>315</v>
      </c>
    </row>
    <row r="46" spans="1:12" ht="36" customHeight="1">
      <c r="B46" s="83" t="s">
        <v>478</v>
      </c>
      <c r="C46" s="83"/>
      <c r="D46" s="83"/>
      <c r="E46" s="83"/>
      <c r="F46" s="83"/>
      <c r="G46" s="83"/>
      <c r="H46" s="83"/>
      <c r="I46" s="83"/>
      <c r="J46" s="83"/>
      <c r="K46" s="83"/>
      <c r="L46" s="83"/>
    </row>
    <row r="47" spans="1:12" ht="18" customHeight="1">
      <c r="A47" s="89" t="s">
        <v>427</v>
      </c>
      <c r="B47" s="89"/>
      <c r="C47" s="89"/>
      <c r="D47" s="89"/>
      <c r="E47" s="86">
        <f>_xlfn.IFNA(VLOOKUP(封面!B1,一般公共预算财政拨款支出决算具体情况!A:O,15,FALSE),"")</f>
        <v>0</v>
      </c>
      <c r="F47" s="86"/>
      <c r="G47" s="7" t="s">
        <v>179</v>
      </c>
      <c r="H47" s="87" t="s">
        <v>421</v>
      </c>
      <c r="I47" s="87"/>
      <c r="J47" s="86">
        <f>_xlfn.IFNA(VLOOKUP(封面!B1,一般公共预算财政拨款支出决算具体情况!A:P,16,FALSE),"")</f>
        <v>0</v>
      </c>
      <c r="K47" s="86"/>
      <c r="L47" s="11" t="s">
        <v>178</v>
      </c>
    </row>
    <row r="48" spans="1:12" ht="18" customHeight="1">
      <c r="A48" s="15"/>
      <c r="B48" s="15" t="str">
        <f>IF(E47&gt;J47,"增加","减少")</f>
        <v>减少</v>
      </c>
      <c r="C48" s="86">
        <f>ABS(E47-J47)</f>
        <v>0</v>
      </c>
      <c r="D48" s="86"/>
      <c r="E48" s="7" t="s">
        <v>179</v>
      </c>
      <c r="F48" s="15" t="str">
        <f>IF(E47&gt;J47,"增长","下降")</f>
        <v>下降</v>
      </c>
      <c r="G48" s="34" t="str">
        <f>IF(J47=0,IF(E47&gt;0,1,""),C48/J47)</f>
        <v/>
      </c>
      <c r="H48" s="7" t="s">
        <v>315</v>
      </c>
    </row>
    <row r="49" spans="1:12" ht="18" customHeight="1">
      <c r="A49" s="85" t="s">
        <v>428</v>
      </c>
      <c r="B49" s="85"/>
      <c r="C49" s="85"/>
      <c r="D49" s="85"/>
      <c r="E49" s="86">
        <f>_xlfn.IFNA(VLOOKUP(封面!B1,一般公共预算财政拨款支出决算具体情况!A:Q,17,FALSE),"")</f>
        <v>0</v>
      </c>
      <c r="F49" s="86"/>
      <c r="G49" s="7" t="s">
        <v>179</v>
      </c>
      <c r="H49" s="84" t="s">
        <v>429</v>
      </c>
      <c r="I49" s="84"/>
      <c r="J49" s="84"/>
      <c r="K49" s="84"/>
      <c r="L49" s="11"/>
    </row>
    <row r="50" spans="1:12" ht="18" customHeight="1">
      <c r="A50" s="89" t="s">
        <v>471</v>
      </c>
      <c r="B50" s="89"/>
      <c r="C50" s="89"/>
      <c r="D50" s="89"/>
      <c r="E50" s="86">
        <f>_xlfn.IFNA(VLOOKUP(封面!B1,一般公共预算财政拨款支出决算具体情况!A:S,19,FALSE),"")</f>
        <v>0</v>
      </c>
      <c r="F50" s="86"/>
      <c r="G50" s="7" t="s">
        <v>179</v>
      </c>
      <c r="H50" s="84" t="s">
        <v>431</v>
      </c>
      <c r="I50" s="84"/>
      <c r="J50" s="84"/>
      <c r="K50" s="84"/>
      <c r="L50" s="11"/>
    </row>
    <row r="51" spans="1:12" ht="18" customHeight="1">
      <c r="A51" s="88" t="s">
        <v>430</v>
      </c>
      <c r="B51" s="88"/>
      <c r="C51" s="88"/>
      <c r="D51" s="88"/>
      <c r="E51" s="86">
        <f>_xlfn.IFNA(VLOOKUP(封面!B1,一般公共预算财政拨款支出决算具体情况!A:U,21,FALSE),"")</f>
        <v>0</v>
      </c>
      <c r="F51" s="86"/>
      <c r="G51" s="7" t="s">
        <v>179</v>
      </c>
      <c r="H51" s="84" t="s">
        <v>431</v>
      </c>
      <c r="I51" s="84"/>
      <c r="J51" s="84"/>
      <c r="K51" s="84"/>
      <c r="L51" s="11"/>
    </row>
    <row r="52" spans="1:12" ht="18" customHeight="1">
      <c r="A52" s="85" t="s">
        <v>432</v>
      </c>
      <c r="B52" s="85"/>
      <c r="C52" s="85"/>
      <c r="D52" s="85"/>
      <c r="E52" s="86">
        <f>_xlfn.IFNA(VLOOKUP(封面!B1,一般公共预算财政拨款支出决算具体情况!A:W,23,FALSE),"")</f>
        <v>2518974.2399999998</v>
      </c>
      <c r="F52" s="86"/>
      <c r="G52" s="7" t="s">
        <v>179</v>
      </c>
      <c r="H52" s="87" t="s">
        <v>421</v>
      </c>
      <c r="I52" s="87"/>
      <c r="J52" s="86">
        <f>_xlfn.IFNA(VLOOKUP(封面!B1,一般公共预算财政拨款支出决算具体情况!A:X,24,FALSE),"")</f>
        <v>2495771.52</v>
      </c>
      <c r="K52" s="86"/>
      <c r="L52" s="11" t="s">
        <v>178</v>
      </c>
    </row>
    <row r="53" spans="1:12" ht="18" customHeight="1">
      <c r="B53" s="15" t="str">
        <f>IF(E52&gt;J52,"增加","减少")</f>
        <v>增加</v>
      </c>
      <c r="C53" s="86">
        <f>ABS(E52-J52)</f>
        <v>23202.719999999739</v>
      </c>
      <c r="D53" s="86"/>
      <c r="E53" s="7" t="s">
        <v>179</v>
      </c>
      <c r="F53" s="15" t="str">
        <f>IF(E52&gt;J52,"增长","下降")</f>
        <v>增长</v>
      </c>
      <c r="G53" s="34">
        <f>IF(J52=0,IF(E52&gt;0,1,""),C53/J52)</f>
        <v>9.2968125543798734E-3</v>
      </c>
      <c r="H53" s="7" t="s">
        <v>315</v>
      </c>
      <c r="I53" s="11" t="s">
        <v>205</v>
      </c>
    </row>
    <row r="54" spans="1:12" ht="18" customHeight="1">
      <c r="A54" s="89" t="s">
        <v>433</v>
      </c>
      <c r="B54" s="89"/>
      <c r="C54" s="89"/>
      <c r="D54" s="89"/>
      <c r="E54" s="86">
        <f>_xlfn.IFNA(VLOOKUP(封面!B1,一般公共预算财政拨款支出决算具体情况!A:Y,25,FALSE),"")</f>
        <v>2518974.2399999998</v>
      </c>
      <c r="F54" s="86"/>
      <c r="G54" s="7" t="s">
        <v>179</v>
      </c>
      <c r="H54" s="87" t="s">
        <v>421</v>
      </c>
      <c r="I54" s="87"/>
      <c r="J54" s="86">
        <f>_xlfn.IFNA(VLOOKUP(封面!B1,一般公共预算财政拨款支出决算具体情况!A:Z,26,FALSE),"")</f>
        <v>2495771.52</v>
      </c>
      <c r="K54" s="86"/>
      <c r="L54" s="11" t="s">
        <v>178</v>
      </c>
    </row>
    <row r="55" spans="1:12" ht="18" customHeight="1">
      <c r="A55" s="15"/>
      <c r="B55" s="15" t="str">
        <f>IF(E54&gt;J54,"增加","减少")</f>
        <v>增加</v>
      </c>
      <c r="C55" s="86">
        <f>ABS(E54-J54)</f>
        <v>23202.719999999739</v>
      </c>
      <c r="D55" s="86"/>
      <c r="E55" s="7" t="s">
        <v>179</v>
      </c>
      <c r="F55" s="15" t="str">
        <f>IF(E54&gt;J54,"增长","下降")</f>
        <v>增长</v>
      </c>
      <c r="G55" s="34">
        <f>IF(J54=0,IF(E54&gt;0,1,""),C55/J54)</f>
        <v>9.2968125543798734E-3</v>
      </c>
      <c r="H55" s="7" t="s">
        <v>315</v>
      </c>
    </row>
    <row r="56" spans="1:12" ht="36" customHeight="1">
      <c r="B56" s="83" t="s">
        <v>478</v>
      </c>
      <c r="C56" s="83"/>
      <c r="D56" s="83"/>
      <c r="E56" s="83"/>
      <c r="F56" s="83"/>
      <c r="G56" s="83"/>
      <c r="H56" s="83"/>
      <c r="I56" s="83"/>
      <c r="J56" s="83"/>
      <c r="K56" s="83"/>
      <c r="L56" s="83"/>
    </row>
    <row r="57" spans="1:12" ht="18" customHeight="1">
      <c r="A57" s="89" t="s">
        <v>434</v>
      </c>
      <c r="B57" s="89"/>
      <c r="C57" s="89"/>
      <c r="D57" s="89"/>
      <c r="E57" s="86">
        <f>_xlfn.IFNA(VLOOKUP(封面!B1,一般公共预算财政拨款支出决算具体情况!A:AA,27,FALSE),"")</f>
        <v>0</v>
      </c>
      <c r="F57" s="86"/>
      <c r="G57" s="7" t="s">
        <v>179</v>
      </c>
      <c r="H57" s="87" t="s">
        <v>431</v>
      </c>
      <c r="I57" s="87"/>
      <c r="J57" s="86"/>
      <c r="K57" s="86"/>
      <c r="L57" s="11"/>
    </row>
    <row r="58" spans="1:12" ht="18" customHeight="1">
      <c r="A58" s="85" t="s">
        <v>435</v>
      </c>
      <c r="B58" s="85"/>
      <c r="C58" s="85"/>
      <c r="D58" s="85"/>
      <c r="E58" s="86">
        <f>_xlfn.IFNA(VLOOKUP(封面!B1,一般公共预算财政拨款支出决算具体情况!A:AC,29,FALSE),"")</f>
        <v>1662805.7</v>
      </c>
      <c r="F58" s="86"/>
      <c r="G58" s="7" t="s">
        <v>179</v>
      </c>
      <c r="H58" s="87" t="s">
        <v>421</v>
      </c>
      <c r="I58" s="87"/>
      <c r="J58" s="86">
        <f>_xlfn.IFNA(VLOOKUP(封面!B1,一般公共预算财政拨款支出决算具体情况!A:AD,30,FALSE),"")</f>
        <v>1340436.24</v>
      </c>
      <c r="K58" s="86"/>
      <c r="L58" s="11" t="s">
        <v>178</v>
      </c>
    </row>
    <row r="59" spans="1:12" ht="18" customHeight="1">
      <c r="B59" s="15" t="str">
        <f>IF(E58&gt;J58,"增加","减少")</f>
        <v>增加</v>
      </c>
      <c r="C59" s="86">
        <f>ABS(E58-J58)</f>
        <v>322369.45999999996</v>
      </c>
      <c r="D59" s="86"/>
      <c r="E59" s="7" t="s">
        <v>179</v>
      </c>
      <c r="F59" s="15" t="str">
        <f>IF(E58&gt;J58,"增长","下降")</f>
        <v>增长</v>
      </c>
      <c r="G59" s="34">
        <f>IF(J58=0,IF(E58&gt;0,1,""),C59/J58)</f>
        <v>0.24049592989219687</v>
      </c>
      <c r="H59" s="7" t="s">
        <v>315</v>
      </c>
      <c r="I59" s="11" t="s">
        <v>205</v>
      </c>
    </row>
    <row r="60" spans="1:12" ht="18" customHeight="1">
      <c r="A60" s="89" t="s">
        <v>436</v>
      </c>
      <c r="B60" s="89"/>
      <c r="C60" s="89"/>
      <c r="D60" s="89"/>
      <c r="E60" s="86">
        <f>_xlfn.IFNA(VLOOKUP(封面!B1,一般公共预算财政拨款支出决算具体情况!A:AE,31,FALSE),"")</f>
        <v>1662805.7</v>
      </c>
      <c r="F60" s="86"/>
      <c r="G60" s="7" t="s">
        <v>179</v>
      </c>
      <c r="H60" s="87" t="s">
        <v>421</v>
      </c>
      <c r="I60" s="87"/>
      <c r="J60" s="86">
        <f>_xlfn.IFNA(VLOOKUP(封面!B1,一般公共预算财政拨款支出决算具体情况!A:AF,32,FALSE),"")</f>
        <v>1340436.24</v>
      </c>
      <c r="K60" s="86"/>
      <c r="L60" s="11" t="s">
        <v>178</v>
      </c>
    </row>
    <row r="61" spans="1:12" ht="18" customHeight="1">
      <c r="A61" s="15"/>
      <c r="B61" s="15" t="str">
        <f>IF(E60&gt;J60,"增加","减少")</f>
        <v>增加</v>
      </c>
      <c r="C61" s="86">
        <f>ABS(E60-J60)</f>
        <v>322369.45999999996</v>
      </c>
      <c r="D61" s="86"/>
      <c r="E61" s="7" t="s">
        <v>179</v>
      </c>
      <c r="F61" s="15" t="str">
        <f>IF(E60&gt;J60,"增长","下降")</f>
        <v>增长</v>
      </c>
      <c r="G61" s="34">
        <f>IF(J60=0,IF(E60&gt;0,1,""),C61/J60)</f>
        <v>0.24049592989219687</v>
      </c>
      <c r="H61" s="7" t="s">
        <v>315</v>
      </c>
    </row>
    <row r="62" spans="1:12" ht="36" customHeight="1">
      <c r="B62" s="83" t="s">
        <v>478</v>
      </c>
      <c r="C62" s="83"/>
      <c r="D62" s="83"/>
      <c r="E62" s="83"/>
      <c r="F62" s="83"/>
      <c r="G62" s="83"/>
      <c r="H62" s="83"/>
      <c r="I62" s="83"/>
      <c r="J62" s="83"/>
      <c r="K62" s="83"/>
      <c r="L62" s="83"/>
    </row>
    <row r="63" spans="1:12" ht="18" customHeight="1">
      <c r="A63" s="85" t="s">
        <v>437</v>
      </c>
      <c r="B63" s="85"/>
      <c r="C63" s="85"/>
      <c r="D63" s="85"/>
      <c r="E63" s="86">
        <f>_xlfn.IFNA(VLOOKUP(封面!B1,一般公共预算财政拨款支出决算具体情况!A:AG,33,FALSE),"")</f>
        <v>0</v>
      </c>
      <c r="F63" s="86"/>
      <c r="G63" s="7" t="s">
        <v>179</v>
      </c>
      <c r="H63" s="87" t="s">
        <v>421</v>
      </c>
      <c r="I63" s="87"/>
      <c r="J63" s="86">
        <f>_xlfn.IFNA(VLOOKUP(封面!B1,一般公共预算财政拨款支出决算具体情况!A:AH,34,FALSE),"")</f>
        <v>0</v>
      </c>
      <c r="K63" s="86"/>
      <c r="L63" s="11" t="s">
        <v>178</v>
      </c>
    </row>
    <row r="64" spans="1:12" ht="18" customHeight="1">
      <c r="B64" s="15" t="str">
        <f>IF(E63&gt;J63,"增加","减少")</f>
        <v>减少</v>
      </c>
      <c r="C64" s="86">
        <f>ABS(E63-J63)</f>
        <v>0</v>
      </c>
      <c r="D64" s="86"/>
      <c r="E64" s="7" t="s">
        <v>179</v>
      </c>
      <c r="F64" s="15" t="str">
        <f>IF(E63&gt;J63,"增长","下降")</f>
        <v>下降</v>
      </c>
      <c r="G64" s="34" t="str">
        <f>IF(J63=0,IF(E63&gt;0,1,""),C64/J63)</f>
        <v/>
      </c>
      <c r="H64" s="7" t="s">
        <v>312</v>
      </c>
      <c r="I64" s="11" t="s">
        <v>205</v>
      </c>
    </row>
    <row r="65" spans="1:13" ht="18" customHeight="1">
      <c r="A65" s="89" t="s">
        <v>438</v>
      </c>
      <c r="B65" s="89"/>
      <c r="C65" s="89"/>
      <c r="D65" s="89"/>
      <c r="E65" s="86">
        <f>_xlfn.IFNA(VLOOKUP(封面!B1,一般公共预算财政拨款支出决算具体情况!A:AI,35,FALSE),"")</f>
        <v>0</v>
      </c>
      <c r="F65" s="86"/>
      <c r="G65" s="7" t="s">
        <v>179</v>
      </c>
      <c r="H65" s="87" t="s">
        <v>421</v>
      </c>
      <c r="I65" s="87"/>
      <c r="J65" s="86">
        <f>_xlfn.IFNA(VLOOKUP(封面!B1,一般公共预算财政拨款支出决算具体情况!A:AJ,36,FALSE),"")</f>
        <v>0</v>
      </c>
      <c r="K65" s="86"/>
      <c r="L65" s="11" t="s">
        <v>178</v>
      </c>
    </row>
    <row r="66" spans="1:13" ht="18" customHeight="1">
      <c r="A66" s="58"/>
      <c r="B66" s="15" t="str">
        <f>IF(E65&gt;J65,"增加","减少")</f>
        <v>减少</v>
      </c>
      <c r="C66" s="86">
        <f>ABS(E65-J65)</f>
        <v>0</v>
      </c>
      <c r="D66" s="86"/>
      <c r="E66" s="7" t="s">
        <v>179</v>
      </c>
      <c r="F66" s="15" t="str">
        <f>IF(E65&gt;J65,"增长","下降")</f>
        <v>下降</v>
      </c>
      <c r="G66" s="34" t="str">
        <f>IF(J65=0,IF(E65&gt;0,1,""),C66/J65)</f>
        <v/>
      </c>
      <c r="H66" s="7" t="s">
        <v>312</v>
      </c>
      <c r="I66" s="57"/>
      <c r="J66" s="56"/>
      <c r="K66" s="56"/>
      <c r="L66" s="11"/>
    </row>
    <row r="67" spans="1:13" ht="18" customHeight="1">
      <c r="A67" s="85" t="s">
        <v>472</v>
      </c>
      <c r="B67" s="85"/>
      <c r="C67" s="85"/>
      <c r="D67" s="85"/>
      <c r="E67" s="86">
        <f>_xlfn.IFNA(VLOOKUP(封面!B1,一般公共预算财政拨款支出决算具体情况!A:AK,37,FALSE),"")</f>
        <v>2516730</v>
      </c>
      <c r="F67" s="86"/>
      <c r="G67" s="7" t="s">
        <v>179</v>
      </c>
      <c r="H67" s="87" t="s">
        <v>421</v>
      </c>
      <c r="I67" s="87"/>
      <c r="J67" s="86">
        <f>_xlfn.IFNA(VLOOKUP(封面!B1,一般公共预算财政拨款支出决算具体情况!A:AL,38,FALSE),"")</f>
        <v>2276489.7599999998</v>
      </c>
      <c r="K67" s="86"/>
      <c r="L67" s="11" t="s">
        <v>178</v>
      </c>
    </row>
    <row r="68" spans="1:13" ht="18" customHeight="1">
      <c r="B68" s="15" t="str">
        <f>IF(E67&gt;J67,"增加","减少")</f>
        <v>增加</v>
      </c>
      <c r="C68" s="86">
        <f>ABS(E67-J67)</f>
        <v>240240.24000000022</v>
      </c>
      <c r="D68" s="86"/>
      <c r="E68" s="7" t="s">
        <v>179</v>
      </c>
      <c r="F68" s="15" t="str">
        <f>IF(E67&gt;J67,"增长","下降")</f>
        <v>增长</v>
      </c>
      <c r="G68" s="34">
        <f>IF(J67=0,IF(E67&gt;0,1,""),C68/J67)</f>
        <v>0.10553099962110098</v>
      </c>
      <c r="H68" s="7" t="s">
        <v>315</v>
      </c>
      <c r="I68" s="11" t="s">
        <v>205</v>
      </c>
    </row>
    <row r="69" spans="1:13" ht="18" customHeight="1">
      <c r="A69" s="89" t="s">
        <v>439</v>
      </c>
      <c r="B69" s="89"/>
      <c r="C69" s="89"/>
      <c r="D69" s="89"/>
      <c r="E69" s="86">
        <f>_xlfn.IFNA(VLOOKUP(封面!B1,一般公共预算财政拨款支出决算具体情况!A:AM,39,FALSE),"")</f>
        <v>2516730</v>
      </c>
      <c r="F69" s="86"/>
      <c r="G69" s="7" t="s">
        <v>179</v>
      </c>
      <c r="H69" s="87" t="s">
        <v>421</v>
      </c>
      <c r="I69" s="87"/>
      <c r="J69" s="86">
        <f>_xlfn.IFNA(VLOOKUP(封面!B1,一般公共预算财政拨款支出决算具体情况!A:AN,40,FALSE),"")</f>
        <v>2276489.7599999998</v>
      </c>
      <c r="K69" s="86"/>
      <c r="L69" s="11" t="s">
        <v>178</v>
      </c>
    </row>
    <row r="70" spans="1:13" ht="18" customHeight="1">
      <c r="A70" s="15"/>
      <c r="B70" s="15" t="str">
        <f>IF(E69&gt;J69,"增加","减少")</f>
        <v>增加</v>
      </c>
      <c r="C70" s="86">
        <f>ABS(E69-J69)</f>
        <v>240240.24000000022</v>
      </c>
      <c r="D70" s="86"/>
      <c r="E70" s="7" t="s">
        <v>179</v>
      </c>
      <c r="F70" s="15" t="str">
        <f>IF(E69&gt;J69,"增长","下降")</f>
        <v>增长</v>
      </c>
      <c r="G70" s="34">
        <f>IF(J69=0,IF(E69&gt;0,1,""),C70/J69)</f>
        <v>0.10553099962110098</v>
      </c>
      <c r="H70" s="7" t="s">
        <v>315</v>
      </c>
    </row>
    <row r="71" spans="1:13" ht="36" customHeight="1">
      <c r="B71" s="83" t="s">
        <v>478</v>
      </c>
      <c r="C71" s="83"/>
      <c r="D71" s="83"/>
      <c r="E71" s="83"/>
      <c r="F71" s="83"/>
      <c r="G71" s="83"/>
      <c r="H71" s="83"/>
      <c r="I71" s="83"/>
      <c r="J71" s="83"/>
      <c r="K71" s="83"/>
      <c r="L71" s="83"/>
    </row>
    <row r="72" spans="1:13" ht="18" customHeight="1">
      <c r="A72" s="6" t="s">
        <v>206</v>
      </c>
    </row>
    <row r="73" spans="1:13" ht="18" customHeight="1">
      <c r="A73" s="7" t="str">
        <f>IF(_xlfn.IFNA(VLOOKUP(封面!B1,'2021决算导出'!A:W,23,FALSE),"")=0,"本年度无此项支出。","")</f>
        <v>本年度无此项支出。</v>
      </c>
    </row>
    <row r="74" spans="1:13" ht="18" customHeight="1">
      <c r="A74" s="7" t="s">
        <v>207</v>
      </c>
    </row>
    <row r="75" spans="1:13" ht="18" customHeight="1">
      <c r="A75" s="88" t="s">
        <v>440</v>
      </c>
      <c r="B75" s="88"/>
      <c r="C75" s="88"/>
      <c r="D75" s="88"/>
      <c r="E75" s="88"/>
      <c r="F75" s="86">
        <f>_xlfn.IFNA(VLOOKUP(封面!B1,'2021决算导出'!A:W,23,FALSE),"")</f>
        <v>0</v>
      </c>
      <c r="G75" s="86"/>
      <c r="H75" s="7" t="s">
        <v>179</v>
      </c>
      <c r="I75" s="84" t="s">
        <v>196</v>
      </c>
      <c r="J75" s="84"/>
      <c r="K75" s="84"/>
      <c r="L75" s="84"/>
      <c r="M75" s="84"/>
    </row>
    <row r="76" spans="1:13" ht="18" customHeight="1">
      <c r="A76" s="88" t="s">
        <v>208</v>
      </c>
      <c r="B76" s="88"/>
      <c r="C76" s="88"/>
      <c r="D76" s="86">
        <f>_xlfn.IFNA(VLOOKUP(封面!B1,'2021决算导出'!A:Y,25,FALSE),"")</f>
        <v>0</v>
      </c>
      <c r="E76" s="86"/>
      <c r="F76" s="7" t="s">
        <v>179</v>
      </c>
      <c r="G76" s="87" t="s">
        <v>198</v>
      </c>
      <c r="H76" s="87"/>
      <c r="I76" s="13">
        <v>100</v>
      </c>
      <c r="J76" s="7" t="s">
        <v>183</v>
      </c>
      <c r="K76" s="9"/>
      <c r="L76" s="9"/>
      <c r="M76" s="9"/>
    </row>
    <row r="77" spans="1:13" ht="18" customHeight="1">
      <c r="A77" s="7" t="s">
        <v>209</v>
      </c>
    </row>
    <row r="78" spans="1:13" ht="18" customHeight="1">
      <c r="A78" s="84" t="s">
        <v>441</v>
      </c>
      <c r="B78" s="84"/>
      <c r="C78" s="84"/>
      <c r="D78" s="84"/>
      <c r="E78" s="86">
        <f>_xlfn.IFNA(VLOOKUP(封面!B1,'2021决算导出'!A:Y,25,FALSE),"")</f>
        <v>0</v>
      </c>
      <c r="F78" s="86"/>
      <c r="G78" s="7" t="s">
        <v>179</v>
      </c>
      <c r="H78" s="87" t="s">
        <v>421</v>
      </c>
      <c r="I78" s="87"/>
      <c r="J78" s="86">
        <f>_xlfn.IFNA(VLOOKUP(封面!B1,'2021决算导出'!A:Z,26,FALSE),"")</f>
        <v>0</v>
      </c>
      <c r="K78" s="86"/>
      <c r="L78" s="11" t="s">
        <v>178</v>
      </c>
    </row>
    <row r="79" spans="1:13" ht="18" customHeight="1">
      <c r="B79" s="15" t="str">
        <f>IF(E78&gt;J78,"增加","减少")</f>
        <v>减少</v>
      </c>
      <c r="C79" s="86">
        <f>ABS(E78-J78)</f>
        <v>0</v>
      </c>
      <c r="D79" s="86"/>
      <c r="E79" s="7" t="s">
        <v>179</v>
      </c>
      <c r="F79" s="15" t="str">
        <f>IF(E78&gt;J78,"增长","下降")</f>
        <v>下降</v>
      </c>
      <c r="G79" s="34" t="str">
        <f>IF(J78=0,IF(E78&gt;0,1,""),C79/J78)</f>
        <v/>
      </c>
      <c r="H79" s="7" t="s">
        <v>315</v>
      </c>
      <c r="I79" s="11" t="s">
        <v>205</v>
      </c>
    </row>
    <row r="80" spans="1:13" ht="18" customHeight="1">
      <c r="A80" s="89" t="s">
        <v>442</v>
      </c>
      <c r="B80" s="89"/>
      <c r="C80" s="89"/>
      <c r="D80" s="89"/>
      <c r="E80" s="86">
        <f>E78</f>
        <v>0</v>
      </c>
      <c r="F80" s="86"/>
      <c r="G80" s="7" t="s">
        <v>179</v>
      </c>
      <c r="H80" s="87" t="s">
        <v>421</v>
      </c>
      <c r="I80" s="87"/>
      <c r="J80" s="86">
        <f>J78</f>
        <v>0</v>
      </c>
      <c r="K80" s="86"/>
      <c r="L80" s="11" t="s">
        <v>178</v>
      </c>
    </row>
    <row r="81" spans="1:13" ht="18" customHeight="1">
      <c r="A81" s="15"/>
      <c r="B81" s="15" t="str">
        <f>B79</f>
        <v>减少</v>
      </c>
      <c r="C81" s="86">
        <f>C79</f>
        <v>0</v>
      </c>
      <c r="D81" s="86"/>
      <c r="E81" s="7" t="s">
        <v>179</v>
      </c>
      <c r="F81" s="15" t="str">
        <f>F79</f>
        <v>下降</v>
      </c>
      <c r="G81" s="34" t="str">
        <f>IF(J80=0,IF(E80&gt;0,1,""),C81/J80)</f>
        <v/>
      </c>
      <c r="H81" s="7" t="s">
        <v>315</v>
      </c>
    </row>
    <row r="82" spans="1:13" ht="18" customHeight="1">
      <c r="A82" s="6" t="s">
        <v>210</v>
      </c>
    </row>
    <row r="83" spans="1:13" ht="18" customHeight="1">
      <c r="A83" s="7" t="s">
        <v>211</v>
      </c>
    </row>
    <row r="84" spans="1:13" ht="18" customHeight="1">
      <c r="A84" s="6" t="s">
        <v>212</v>
      </c>
    </row>
    <row r="85" spans="1:13" ht="18" customHeight="1">
      <c r="A85" s="7" t="s">
        <v>443</v>
      </c>
      <c r="G85" s="86">
        <f>_xlfn.IFNA(VLOOKUP(封面!B1,'2021决算导出'!A:AA,27,FALSE),"")</f>
        <v>21242448</v>
      </c>
      <c r="H85" s="86"/>
      <c r="I85" s="11" t="s">
        <v>179</v>
      </c>
    </row>
    <row r="86" spans="1:13" ht="292.5" customHeight="1">
      <c r="A86" s="83" t="s">
        <v>479</v>
      </c>
      <c r="B86" s="83"/>
      <c r="C86" s="83"/>
      <c r="D86" s="83"/>
      <c r="E86" s="83"/>
      <c r="F86" s="83"/>
      <c r="G86" s="83"/>
      <c r="H86" s="83"/>
      <c r="I86" s="83"/>
      <c r="J86" s="83"/>
      <c r="K86" s="83"/>
      <c r="L86" s="83"/>
      <c r="M86" s="83"/>
    </row>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sheetData>
  <mergeCells count="155">
    <mergeCell ref="A86:M86"/>
    <mergeCell ref="G85:H85"/>
    <mergeCell ref="A4:M4"/>
    <mergeCell ref="A78:D78"/>
    <mergeCell ref="E78:F78"/>
    <mergeCell ref="H78:I78"/>
    <mergeCell ref="J78:K78"/>
    <mergeCell ref="C79:D79"/>
    <mergeCell ref="A80:D80"/>
    <mergeCell ref="E80:F80"/>
    <mergeCell ref="H80:I80"/>
    <mergeCell ref="J80:K80"/>
    <mergeCell ref="B71:L71"/>
    <mergeCell ref="A75:E75"/>
    <mergeCell ref="F75:G75"/>
    <mergeCell ref="I75:M75"/>
    <mergeCell ref="A76:C76"/>
    <mergeCell ref="D76:E76"/>
    <mergeCell ref="G76:H76"/>
    <mergeCell ref="C68:D68"/>
    <mergeCell ref="A69:D69"/>
    <mergeCell ref="E69:F69"/>
    <mergeCell ref="H69:I69"/>
    <mergeCell ref="J69:K69"/>
    <mergeCell ref="C70:D70"/>
    <mergeCell ref="A67:D67"/>
    <mergeCell ref="E67:F67"/>
    <mergeCell ref="H67:I67"/>
    <mergeCell ref="J67:K67"/>
    <mergeCell ref="C81:D81"/>
    <mergeCell ref="E54:F54"/>
    <mergeCell ref="H54:I54"/>
    <mergeCell ref="J54:K54"/>
    <mergeCell ref="C55:D55"/>
    <mergeCell ref="C66:D66"/>
    <mergeCell ref="C64:D64"/>
    <mergeCell ref="H65:I65"/>
    <mergeCell ref="J65:K65"/>
    <mergeCell ref="A58:D58"/>
    <mergeCell ref="E58:F58"/>
    <mergeCell ref="H58:I58"/>
    <mergeCell ref="J58:K58"/>
    <mergeCell ref="C59:D59"/>
    <mergeCell ref="B56:L56"/>
    <mergeCell ref="A50:D50"/>
    <mergeCell ref="E50:F50"/>
    <mergeCell ref="H50:K50"/>
    <mergeCell ref="A63:D63"/>
    <mergeCell ref="E63:F63"/>
    <mergeCell ref="A65:D65"/>
    <mergeCell ref="E65:F65"/>
    <mergeCell ref="A60:D60"/>
    <mergeCell ref="E60:F60"/>
    <mergeCell ref="H60:I60"/>
    <mergeCell ref="J60:K60"/>
    <mergeCell ref="C61:D61"/>
    <mergeCell ref="B62:L62"/>
    <mergeCell ref="H63:I63"/>
    <mergeCell ref="J63:K63"/>
    <mergeCell ref="C48:D48"/>
    <mergeCell ref="A49:D49"/>
    <mergeCell ref="E49:F49"/>
    <mergeCell ref="C45:D45"/>
    <mergeCell ref="B46:L46"/>
    <mergeCell ref="A47:D47"/>
    <mergeCell ref="E47:F47"/>
    <mergeCell ref="H47:I47"/>
    <mergeCell ref="J47:K47"/>
    <mergeCell ref="H49:K49"/>
    <mergeCell ref="C43:D43"/>
    <mergeCell ref="A44:D44"/>
    <mergeCell ref="E44:F44"/>
    <mergeCell ref="H44:I44"/>
    <mergeCell ref="J44:K44"/>
    <mergeCell ref="C41:D41"/>
    <mergeCell ref="A42:D42"/>
    <mergeCell ref="E42:F42"/>
    <mergeCell ref="H42:I42"/>
    <mergeCell ref="J42:K42"/>
    <mergeCell ref="A40:D40"/>
    <mergeCell ref="E40:F40"/>
    <mergeCell ref="H40:I40"/>
    <mergeCell ref="J40:K40"/>
    <mergeCell ref="C35:D35"/>
    <mergeCell ref="C37:D37"/>
    <mergeCell ref="A38:D38"/>
    <mergeCell ref="E38:F38"/>
    <mergeCell ref="H38:I38"/>
    <mergeCell ref="J38:K38"/>
    <mergeCell ref="A36:D36"/>
    <mergeCell ref="E36:F36"/>
    <mergeCell ref="H36:I36"/>
    <mergeCell ref="J36:K36"/>
    <mergeCell ref="A34:D34"/>
    <mergeCell ref="E34:F34"/>
    <mergeCell ref="H34:I34"/>
    <mergeCell ref="J34:K34"/>
    <mergeCell ref="D32:E32"/>
    <mergeCell ref="G32:H32"/>
    <mergeCell ref="A32:C32"/>
    <mergeCell ref="C39:D39"/>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H51:K51"/>
    <mergeCell ref="A52:D52"/>
    <mergeCell ref="E52:F52"/>
    <mergeCell ref="H52:I52"/>
    <mergeCell ref="J52:K52"/>
    <mergeCell ref="A51:D51"/>
    <mergeCell ref="E51:F51"/>
    <mergeCell ref="A57:D57"/>
    <mergeCell ref="E57:F57"/>
    <mergeCell ref="H57:I57"/>
    <mergeCell ref="J57:K57"/>
    <mergeCell ref="C53:D53"/>
    <mergeCell ref="A54:D5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4"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412</v>
      </c>
      <c r="B1" s="81"/>
      <c r="C1" s="81"/>
      <c r="D1" s="81"/>
      <c r="E1" s="81"/>
      <c r="F1" s="81"/>
      <c r="G1" s="81"/>
      <c r="H1" s="81"/>
      <c r="I1" s="81"/>
      <c r="J1" s="81"/>
      <c r="K1" s="81"/>
      <c r="L1" s="81"/>
      <c r="M1" s="81"/>
      <c r="N1" s="81"/>
    </row>
    <row r="2" spans="1:14" ht="18" customHeight="1">
      <c r="A2" s="6" t="s">
        <v>213</v>
      </c>
    </row>
    <row r="3" spans="1:14" ht="18" customHeight="1">
      <c r="A3" s="16" t="str">
        <f>IF(_xlfn.IFNA(VLOOKUP(封面!B1,'2021决算导出'!A:AB,28,FALSE),"")=0,"本年度无此项支出。","")</f>
        <v>本年度无此项支出。</v>
      </c>
    </row>
    <row r="4" spans="1:14" ht="18" customHeight="1">
      <c r="A4" s="7" t="s">
        <v>444</v>
      </c>
      <c r="F4" s="86">
        <f>_xlfn.IFNA(VLOOKUP(封面!B1,'2021决算导出'!A:AB,28,FALSE),"")</f>
        <v>0</v>
      </c>
      <c r="G4" s="86"/>
      <c r="H4" s="7" t="s">
        <v>179</v>
      </c>
      <c r="I4" s="7" t="s">
        <v>445</v>
      </c>
    </row>
    <row r="5" spans="1:14" ht="18" customHeight="1">
      <c r="A5" s="92">
        <f>_xlfn.IFNA(VLOOKUP(封面!B1,'2021决算导出'!A:AC,29,FALSE),"")</f>
        <v>0</v>
      </c>
      <c r="B5" s="92"/>
      <c r="C5" s="7" t="s">
        <v>178</v>
      </c>
      <c r="D5" s="30" t="str">
        <f>IF(F4&gt;A5,"增加","减少")</f>
        <v>减少</v>
      </c>
      <c r="E5" s="92">
        <f>ABS(F4-A5)</f>
        <v>0</v>
      </c>
      <c r="F5" s="92"/>
      <c r="G5" s="7" t="s">
        <v>215</v>
      </c>
    </row>
    <row r="6" spans="1:14" ht="18" customHeight="1">
      <c r="A6" s="7" t="s">
        <v>216</v>
      </c>
    </row>
    <row r="7" spans="1:14" ht="18" customHeight="1">
      <c r="A7" s="55" t="s">
        <v>446</v>
      </c>
      <c r="B7" s="19"/>
      <c r="C7" s="19"/>
      <c r="D7" s="19"/>
      <c r="E7" s="19"/>
      <c r="F7" s="19"/>
      <c r="G7" s="19"/>
      <c r="H7" s="19"/>
      <c r="I7" s="19"/>
      <c r="J7" s="19"/>
      <c r="K7" s="19"/>
      <c r="L7" s="19"/>
      <c r="M7" s="19"/>
      <c r="N7" s="19"/>
    </row>
    <row r="8" spans="1:14" ht="18" customHeight="1">
      <c r="A8" s="7" t="s">
        <v>217</v>
      </c>
    </row>
    <row r="9" spans="1:14" ht="39" customHeight="1">
      <c r="A9" s="91" t="s">
        <v>447</v>
      </c>
      <c r="B9" s="91"/>
      <c r="C9" s="91"/>
      <c r="D9" s="91"/>
      <c r="E9" s="91"/>
      <c r="F9" s="91"/>
      <c r="G9" s="91"/>
      <c r="H9" s="91"/>
      <c r="I9" s="91"/>
      <c r="J9" s="91"/>
      <c r="K9" s="91"/>
      <c r="L9" s="91"/>
      <c r="M9" s="91"/>
      <c r="N9" s="91"/>
    </row>
    <row r="10" spans="1:14" ht="18" customHeight="1">
      <c r="A10" s="7" t="s">
        <v>218</v>
      </c>
    </row>
    <row r="11" spans="1:14" ht="18" customHeight="1">
      <c r="A11" s="88" t="s">
        <v>448</v>
      </c>
      <c r="B11" s="88"/>
      <c r="C11" s="35">
        <f>_xlfn.IFNA(VLOOKUP(封面!B1,'2021决算导出'!A:AI,35,FALSE),"")</f>
        <v>0</v>
      </c>
      <c r="D11" s="7" t="s">
        <v>179</v>
      </c>
      <c r="E11" s="88" t="s">
        <v>449</v>
      </c>
      <c r="F11" s="88"/>
      <c r="G11" s="88"/>
      <c r="H11" s="92">
        <f>_xlfn.IFNA(VLOOKUP(封面!B1,'2021决算导出'!A:AJ,36,FALSE),"")</f>
        <v>0</v>
      </c>
      <c r="I11" s="92"/>
      <c r="J11" s="16" t="s">
        <v>178</v>
      </c>
      <c r="K11" s="30" t="str">
        <f>IF(C11&gt;H11,"增加","减少")</f>
        <v>减少</v>
      </c>
      <c r="L11" s="92">
        <f>ABS(C11-H11)</f>
        <v>0</v>
      </c>
      <c r="M11" s="92"/>
      <c r="N11" s="7" t="s">
        <v>214</v>
      </c>
    </row>
    <row r="12" spans="1:14" ht="18" customHeight="1">
      <c r="A12" s="88" t="s">
        <v>450</v>
      </c>
      <c r="B12" s="88"/>
      <c r="C12" s="88"/>
      <c r="D12" s="88"/>
      <c r="E12" s="88"/>
      <c r="F12" s="92">
        <f>_xlfn.IFNA(VLOOKUP(封面!B1,'2021决算导出'!A:AK,37,FALSE),"")</f>
        <v>0</v>
      </c>
      <c r="G12" s="92"/>
      <c r="H12" s="17" t="s">
        <v>179</v>
      </c>
      <c r="I12" s="88" t="s">
        <v>449</v>
      </c>
      <c r="J12" s="88"/>
      <c r="K12" s="88"/>
      <c r="L12" s="92">
        <f>_xlfn.IFNA(VLOOKUP(封面!B1,'2021决算导出'!A:AL,38,FALSE),"")</f>
        <v>0</v>
      </c>
      <c r="M12" s="92"/>
      <c r="N12" s="7" t="s">
        <v>178</v>
      </c>
    </row>
    <row r="13" spans="1:14" ht="18" customHeight="1">
      <c r="A13" s="15" t="str">
        <f>IF(F12&gt;L12,"增加","减少")</f>
        <v>减少</v>
      </c>
      <c r="B13" s="92">
        <f>ABS(F12-L12)</f>
        <v>0</v>
      </c>
      <c r="C13" s="92"/>
      <c r="D13" s="7" t="s">
        <v>214</v>
      </c>
      <c r="H13" s="92"/>
      <c r="I13" s="92"/>
      <c r="J13" s="16"/>
    </row>
    <row r="14" spans="1:14" ht="18" customHeight="1">
      <c r="A14" s="88" t="s">
        <v>451</v>
      </c>
      <c r="B14" s="88"/>
      <c r="C14" s="88"/>
      <c r="D14" s="8">
        <f>_xlfn.IFNA(VLOOKUP(封面!B1,'2021决算导出'!A:AM,39,FALSE),"")</f>
        <v>0</v>
      </c>
      <c r="E14" s="7" t="s">
        <v>219</v>
      </c>
      <c r="F14" s="88" t="s">
        <v>220</v>
      </c>
      <c r="G14" s="88"/>
      <c r="H14" s="92">
        <f>IF(D14=0,0,F12/D14)</f>
        <v>0</v>
      </c>
      <c r="I14" s="92"/>
      <c r="J14" s="7" t="s">
        <v>214</v>
      </c>
    </row>
    <row r="15" spans="1:14" ht="18" customHeight="1">
      <c r="A15" s="87" t="s">
        <v>452</v>
      </c>
      <c r="B15" s="87"/>
      <c r="C15" s="87"/>
      <c r="D15" s="87"/>
      <c r="E15" s="87"/>
      <c r="F15" s="92">
        <f>_xlfn.IFNA(VLOOKUP(封面!B1,'2021决算导出'!A:AO,41,FALSE),"")</f>
        <v>0</v>
      </c>
      <c r="G15" s="92" t="s">
        <v>179</v>
      </c>
      <c r="H15" s="7" t="s">
        <v>179</v>
      </c>
      <c r="I15" s="7" t="s">
        <v>449</v>
      </c>
      <c r="L15" s="92">
        <f>_xlfn.IFNA(VLOOKUP(封面!B1,'2021决算导出'!A:AP,42,FALSE),"")</f>
        <v>0</v>
      </c>
      <c r="M15" s="92" t="s">
        <v>179</v>
      </c>
      <c r="N15" s="7" t="s">
        <v>179</v>
      </c>
    </row>
    <row r="16" spans="1:14" ht="18" customHeight="1">
      <c r="A16" s="15" t="str">
        <f>IF(F15&gt;L15,"增加","减少")</f>
        <v>减少</v>
      </c>
      <c r="B16" s="92">
        <f>ABS(F15-L15)</f>
        <v>0</v>
      </c>
      <c r="C16" s="92"/>
      <c r="D16" s="7" t="s">
        <v>214</v>
      </c>
    </row>
    <row r="17" spans="1:14" ht="36" customHeight="1">
      <c r="A17" s="83" t="s">
        <v>221</v>
      </c>
      <c r="B17" s="83"/>
      <c r="C17" s="83"/>
      <c r="D17" s="83"/>
      <c r="E17" s="83"/>
      <c r="F17" s="83"/>
      <c r="G17" s="83"/>
      <c r="H17" s="83"/>
      <c r="I17" s="83"/>
      <c r="J17" s="83"/>
      <c r="K17" s="83"/>
      <c r="L17" s="83"/>
      <c r="M17" s="83"/>
      <c r="N17" s="83"/>
    </row>
    <row r="18" spans="1:14" ht="18" customHeight="1">
      <c r="A18" s="88" t="s">
        <v>453</v>
      </c>
      <c r="B18" s="88"/>
      <c r="C18" s="88"/>
      <c r="D18" s="88"/>
      <c r="E18" s="88"/>
      <c r="F18" s="88"/>
      <c r="G18" s="92">
        <f>_xlfn.IFNA(VLOOKUP(封面!B1,'2021决算导出'!A:AQ,43,FALSE),"")</f>
        <v>0</v>
      </c>
      <c r="H18" s="92" t="s">
        <v>179</v>
      </c>
      <c r="I18" s="7" t="s">
        <v>179</v>
      </c>
      <c r="J18" s="7" t="s">
        <v>222</v>
      </c>
      <c r="L18" s="92">
        <f>_xlfn.IFNA(VLOOKUP(封面!B1,'2021决算导出'!A:AR,44,FALSE),"")</f>
        <v>0</v>
      </c>
      <c r="M18" s="92" t="s">
        <v>179</v>
      </c>
      <c r="N18" s="7" t="s">
        <v>179</v>
      </c>
    </row>
    <row r="19" spans="1:14" ht="18" customHeight="1">
      <c r="A19" s="88" t="s">
        <v>223</v>
      </c>
      <c r="B19" s="88"/>
      <c r="C19" s="92">
        <f>_xlfn.IFNA(VLOOKUP(封面!B1,'2021决算导出'!A:AS,45,FALSE),"")</f>
        <v>0</v>
      </c>
      <c r="D19" s="92" t="s">
        <v>179</v>
      </c>
      <c r="E19" s="7" t="s">
        <v>179</v>
      </c>
      <c r="F19" s="88" t="s">
        <v>224</v>
      </c>
      <c r="G19" s="88"/>
      <c r="H19" s="88"/>
      <c r="I19" s="92">
        <f>_xlfn.IFNA(VLOOKUP(封面!B1,'2021决算导出'!A:AT,46,FALSE),"")</f>
        <v>0</v>
      </c>
      <c r="J19" s="92" t="s">
        <v>179</v>
      </c>
      <c r="K19" s="7" t="s">
        <v>214</v>
      </c>
    </row>
    <row r="20" spans="1:14" ht="18" customHeight="1">
      <c r="A20" s="88" t="s">
        <v>454</v>
      </c>
      <c r="B20" s="88"/>
      <c r="C20" s="88"/>
      <c r="D20" s="8">
        <f>_xlfn.IFNA(VLOOKUP(封面!B1,'2021决算导出'!A:AU,47,FALSE),"")</f>
        <v>0</v>
      </c>
      <c r="E20" s="84" t="s">
        <v>406</v>
      </c>
      <c r="F20" s="84"/>
      <c r="G20" s="84"/>
      <c r="H20" s="84"/>
      <c r="I20" s="84"/>
      <c r="J20" s="84"/>
      <c r="K20" s="84"/>
      <c r="L20" s="84"/>
      <c r="M20" s="54" t="e">
        <f>F15/D20</f>
        <v>#DIV/0!</v>
      </c>
      <c r="N20" s="7" t="s">
        <v>214</v>
      </c>
    </row>
    <row r="21" spans="1:14" ht="18" customHeight="1">
      <c r="A21" s="6" t="s">
        <v>225</v>
      </c>
    </row>
    <row r="22" spans="1:14" ht="18" customHeight="1">
      <c r="A22" s="7" t="s">
        <v>226</v>
      </c>
    </row>
    <row r="23" spans="1:14" ht="18" customHeight="1">
      <c r="A23" s="6" t="s">
        <v>227</v>
      </c>
    </row>
    <row r="24" spans="1:14" ht="18" customHeight="1">
      <c r="A24" s="88" t="s">
        <v>455</v>
      </c>
      <c r="B24" s="88"/>
      <c r="C24" s="88"/>
      <c r="D24" s="88"/>
      <c r="E24" s="86">
        <f>_xlfn.IFNA(VLOOKUP(封面!B1,'2021决算导出'!A:AW,49,FALSE),"")</f>
        <v>971430</v>
      </c>
      <c r="F24" s="86"/>
      <c r="G24" s="7" t="s">
        <v>179</v>
      </c>
      <c r="H24" s="88" t="s">
        <v>228</v>
      </c>
      <c r="I24" s="88"/>
      <c r="J24" s="88"/>
      <c r="K24" s="88"/>
      <c r="L24" s="86">
        <f>_xlfn.IFNA(VLOOKUP(封面!B1,'2021决算导出'!A:AX,50,FALSE),"")</f>
        <v>805830</v>
      </c>
      <c r="M24" s="86" t="s">
        <v>179</v>
      </c>
      <c r="N24" s="7" t="s">
        <v>179</v>
      </c>
    </row>
    <row r="25" spans="1:14" ht="18" customHeight="1">
      <c r="A25" s="88" t="s">
        <v>229</v>
      </c>
      <c r="B25" s="88"/>
      <c r="C25" s="88"/>
      <c r="D25" s="86">
        <f>_xlfn.IFNA(VLOOKUP(封面!B1,'2021决算导出'!A:AY,51,FALSE),"")</f>
        <v>0</v>
      </c>
      <c r="E25" s="86" t="s">
        <v>179</v>
      </c>
      <c r="F25" s="7" t="s">
        <v>179</v>
      </c>
      <c r="G25" s="88" t="s">
        <v>230</v>
      </c>
      <c r="H25" s="88"/>
      <c r="I25" s="88"/>
      <c r="J25" s="86">
        <f>_xlfn.IFNA(VLOOKUP(封面!B1,'2021决算导出'!A:AZ,52,FALSE),"")</f>
        <v>165600</v>
      </c>
      <c r="K25" s="86" t="s">
        <v>179</v>
      </c>
      <c r="L25" s="7" t="s">
        <v>214</v>
      </c>
    </row>
    <row r="26" spans="1:14" ht="18" customHeight="1">
      <c r="A26" s="88" t="s">
        <v>231</v>
      </c>
      <c r="B26" s="88"/>
      <c r="C26" s="88"/>
      <c r="D26" s="88"/>
      <c r="E26" s="86">
        <f>_xlfn.IFNA(VLOOKUP(封面!B1,'2021决算导出'!A:BA,53,FALSE),"")</f>
        <v>0</v>
      </c>
      <c r="F26" s="86" t="s">
        <v>179</v>
      </c>
      <c r="G26" s="7" t="s">
        <v>179</v>
      </c>
      <c r="H26" s="87" t="s">
        <v>232</v>
      </c>
      <c r="I26" s="87"/>
      <c r="J26" s="87"/>
      <c r="K26" s="29">
        <f>E26/$E$24</f>
        <v>0</v>
      </c>
      <c r="L26" s="18" t="s">
        <v>313</v>
      </c>
      <c r="M26" s="7" t="s">
        <v>407</v>
      </c>
    </row>
    <row r="27" spans="1:14" ht="18" customHeight="1">
      <c r="A27" s="88" t="s">
        <v>233</v>
      </c>
      <c r="B27" s="88"/>
      <c r="C27" s="88"/>
      <c r="D27" s="88"/>
      <c r="E27" s="86">
        <f>_xlfn.IFNA(VLOOKUP(封面!B1,'2021决算导出'!A:BB,54,FALSE),"")</f>
        <v>0</v>
      </c>
      <c r="F27" s="86" t="s">
        <v>179</v>
      </c>
      <c r="G27" s="7" t="s">
        <v>179</v>
      </c>
      <c r="H27" s="87" t="s">
        <v>232</v>
      </c>
      <c r="I27" s="87"/>
      <c r="J27" s="87"/>
      <c r="K27" s="29">
        <f>E27/$E$24</f>
        <v>0</v>
      </c>
      <c r="L27" s="18" t="s">
        <v>315</v>
      </c>
    </row>
    <row r="28" spans="1:14" ht="18" customHeight="1">
      <c r="A28" s="6" t="s">
        <v>234</v>
      </c>
    </row>
    <row r="29" spans="1:14" ht="18" customHeight="1">
      <c r="A29" s="88" t="s">
        <v>456</v>
      </c>
      <c r="B29" s="88"/>
      <c r="C29" s="8">
        <f>_xlfn.IFNA(VLOOKUP(封面!B1,'2021决算导出'!A:BC,55,FALSE),"")</f>
        <v>0</v>
      </c>
      <c r="D29" s="7" t="s">
        <v>235</v>
      </c>
      <c r="M29" s="92">
        <f>_xlfn.IFNA(VLOOKUP(封面!B1,'2021决算导出'!A:BD,56,FALSE),"")</f>
        <v>0</v>
      </c>
      <c r="N29" s="92" t="s">
        <v>179</v>
      </c>
    </row>
    <row r="30" spans="1:14" ht="18" customHeight="1">
      <c r="A30" s="12" t="s">
        <v>236</v>
      </c>
      <c r="B30" s="88" t="s">
        <v>237</v>
      </c>
      <c r="C30" s="88"/>
      <c r="D30" s="88"/>
      <c r="E30" s="88"/>
      <c r="F30" s="88"/>
      <c r="G30" s="8">
        <f>_xlfn.IFNA(VLOOKUP(封面!B1,'2021决算导出'!A:BE,57,FALSE),"")</f>
        <v>0</v>
      </c>
      <c r="H30" s="7" t="s">
        <v>238</v>
      </c>
      <c r="J30" s="7" t="s">
        <v>239</v>
      </c>
    </row>
    <row r="31" spans="1:14" ht="18" customHeight="1">
      <c r="A31" s="12">
        <f>_xlfn.IFNA(VLOOKUP(封面!B1,'2021决算导出'!A:BF,58,FALSE),"")</f>
        <v>0</v>
      </c>
      <c r="B31" s="7" t="s">
        <v>240</v>
      </c>
    </row>
    <row r="32" spans="1:14" ht="18" customHeight="1">
      <c r="A32" s="6" t="s">
        <v>241</v>
      </c>
    </row>
    <row r="33" spans="1:14" ht="18" customHeight="1">
      <c r="A33" s="7" t="s">
        <v>242</v>
      </c>
    </row>
    <row r="34" spans="1:14" ht="18" customHeight="1">
      <c r="A34" s="6" t="s">
        <v>243</v>
      </c>
    </row>
    <row r="35" spans="1:14" ht="375.6" customHeight="1">
      <c r="A35" s="83" t="s">
        <v>473</v>
      </c>
      <c r="B35" s="83"/>
      <c r="C35" s="83"/>
      <c r="D35" s="83"/>
      <c r="E35" s="83"/>
      <c r="F35" s="83"/>
      <c r="G35" s="83"/>
      <c r="H35" s="83"/>
      <c r="I35" s="83"/>
      <c r="J35" s="83"/>
      <c r="K35" s="83"/>
      <c r="L35" s="83"/>
      <c r="M35" s="83"/>
      <c r="N35" s="83"/>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475</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457</v>
      </c>
      <c r="B1" s="22" t="s">
        <v>250</v>
      </c>
      <c r="C1" s="22" t="s">
        <v>245</v>
      </c>
      <c r="D1" s="22" t="s">
        <v>251</v>
      </c>
      <c r="E1" s="22" t="s">
        <v>252</v>
      </c>
      <c r="F1" s="22" t="s">
        <v>253</v>
      </c>
      <c r="G1" s="22" t="s">
        <v>254</v>
      </c>
      <c r="H1" s="22" t="s">
        <v>255</v>
      </c>
      <c r="I1" s="22" t="s">
        <v>256</v>
      </c>
      <c r="J1" s="22" t="s">
        <v>257</v>
      </c>
      <c r="K1" s="22" t="s">
        <v>258</v>
      </c>
      <c r="L1" s="22" t="s">
        <v>259</v>
      </c>
      <c r="M1" s="22" t="s">
        <v>260</v>
      </c>
      <c r="N1" s="22" t="s">
        <v>261</v>
      </c>
      <c r="O1" s="22" t="s">
        <v>262</v>
      </c>
      <c r="P1" s="22" t="s">
        <v>263</v>
      </c>
      <c r="Q1" s="22" t="s">
        <v>264</v>
      </c>
      <c r="R1" s="22" t="s">
        <v>265</v>
      </c>
      <c r="S1" s="22" t="s">
        <v>266</v>
      </c>
      <c r="T1" s="22" t="s">
        <v>267</v>
      </c>
      <c r="U1" s="22" t="s">
        <v>268</v>
      </c>
      <c r="V1" s="22" t="s">
        <v>270</v>
      </c>
      <c r="W1" s="22" t="s">
        <v>462</v>
      </c>
      <c r="X1" s="60" t="s">
        <v>463</v>
      </c>
      <c r="Y1" s="22" t="s">
        <v>464</v>
      </c>
      <c r="Z1" s="22" t="s">
        <v>458</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ht="11.65" customHeight="1">
      <c r="A2" s="62">
        <v>255001</v>
      </c>
      <c r="B2" s="25" t="s">
        <v>301</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308</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459</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309</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460</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461</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396</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249</v>
      </c>
      <c r="B1" s="22" t="s">
        <v>250</v>
      </c>
      <c r="C1" s="22" t="s">
        <v>245</v>
      </c>
      <c r="D1" s="71" t="s">
        <v>251</v>
      </c>
      <c r="E1" s="71" t="s">
        <v>252</v>
      </c>
      <c r="F1" s="22" t="s">
        <v>253</v>
      </c>
      <c r="G1" s="22" t="s">
        <v>254</v>
      </c>
      <c r="H1" s="22" t="s">
        <v>255</v>
      </c>
      <c r="I1" s="22" t="s">
        <v>256</v>
      </c>
      <c r="J1" s="22" t="s">
        <v>257</v>
      </c>
      <c r="K1" s="71" t="s">
        <v>258</v>
      </c>
      <c r="L1" s="22" t="s">
        <v>259</v>
      </c>
      <c r="M1" s="22" t="s">
        <v>260</v>
      </c>
      <c r="N1" s="22" t="s">
        <v>261</v>
      </c>
      <c r="O1" s="71" t="s">
        <v>262</v>
      </c>
      <c r="P1" s="22" t="s">
        <v>263</v>
      </c>
      <c r="Q1" s="22" t="s">
        <v>264</v>
      </c>
      <c r="R1" s="22" t="s">
        <v>265</v>
      </c>
      <c r="S1" s="22" t="s">
        <v>266</v>
      </c>
      <c r="T1" s="22" t="s">
        <v>267</v>
      </c>
      <c r="U1" s="22" t="s">
        <v>268</v>
      </c>
      <c r="V1" s="22" t="s">
        <v>269</v>
      </c>
      <c r="W1" s="22" t="s">
        <v>270</v>
      </c>
      <c r="X1" s="22" t="s">
        <v>271</v>
      </c>
      <c r="Y1" s="22" t="s">
        <v>272</v>
      </c>
      <c r="Z1" s="22" t="s">
        <v>317</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c r="A2" s="24">
        <v>255001</v>
      </c>
      <c r="B2" s="25" t="s">
        <v>301</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302</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303</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249</v>
      </c>
      <c r="B1" s="22" t="s">
        <v>250</v>
      </c>
      <c r="C1" s="22" t="s">
        <v>304</v>
      </c>
      <c r="D1" s="22" t="s">
        <v>305</v>
      </c>
      <c r="E1" s="22" t="s">
        <v>306</v>
      </c>
      <c r="F1" s="22" t="s">
        <v>307</v>
      </c>
    </row>
    <row r="2" spans="1:6">
      <c r="A2" s="24">
        <v>255001</v>
      </c>
      <c r="B2" s="25" t="s">
        <v>301</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308</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309</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310</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311</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jky</cp:lastModifiedBy>
  <cp:lastPrinted>2022-08-25T04:56:47Z</cp:lastPrinted>
  <dcterms:created xsi:type="dcterms:W3CDTF">2021-08-26T09:47:38Z</dcterms:created>
  <dcterms:modified xsi:type="dcterms:W3CDTF">2022-09-01T05:28:51Z</dcterms:modified>
</cp:coreProperties>
</file>