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业务机备份\2022年工作\2021年决算信息公开\255114-北京市第十四中学-2021年部门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57" i="5"/>
  <c r="A55" i="5"/>
  <c r="J51" i="5"/>
  <c r="E51" i="5"/>
  <c r="J49" i="5"/>
  <c r="E49" i="5"/>
  <c r="J44" i="5"/>
  <c r="J46" i="5"/>
  <c r="E46" i="5"/>
  <c r="E44" i="5"/>
  <c r="J41" i="5"/>
  <c r="E41" i="5"/>
  <c r="J39" i="5"/>
  <c r="E39"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8" i="5"/>
  <c r="J60" i="5"/>
  <c r="E60" i="5"/>
  <c r="D58" i="5"/>
  <c r="D26" i="5"/>
  <c r="D25" i="5"/>
  <c r="D24" i="5"/>
  <c r="D23" i="5"/>
  <c r="F22" i="5"/>
  <c r="E18" i="5"/>
  <c r="D16" i="5"/>
  <c r="D15" i="5"/>
  <c r="D14"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4" i="5"/>
  <c r="J14" i="5"/>
  <c r="H14" i="5"/>
  <c r="K14" i="5" s="1"/>
  <c r="K18" i="5"/>
  <c r="I18" i="5"/>
  <c r="L18" i="5" s="1"/>
  <c r="H18" i="5"/>
  <c r="J36" i="5" l="1"/>
  <c r="E36" i="5"/>
  <c r="J33" i="5"/>
  <c r="E33" i="5"/>
  <c r="J30" i="5"/>
  <c r="E30" i="5"/>
  <c r="J28" i="5"/>
  <c r="E28" i="5"/>
  <c r="B52" i="5" l="1"/>
  <c r="F42" i="5"/>
  <c r="C45" i="5"/>
  <c r="G45" i="5" s="1"/>
  <c r="C50" i="5"/>
  <c r="G50" i="5" s="1"/>
  <c r="F29" i="5"/>
  <c r="F47" i="5"/>
  <c r="C52" i="5"/>
  <c r="G52" i="5" s="1"/>
  <c r="F52" i="5"/>
  <c r="F50" i="5"/>
  <c r="B50" i="5"/>
  <c r="B47" i="5"/>
  <c r="C47" i="5"/>
  <c r="G47" i="5" s="1"/>
  <c r="F45" i="5"/>
  <c r="B45" i="5"/>
  <c r="C42" i="5"/>
  <c r="G42" i="5" s="1"/>
  <c r="F31" i="5"/>
  <c r="F34" i="5"/>
  <c r="F40" i="5"/>
  <c r="B42" i="5"/>
  <c r="B40" i="5"/>
  <c r="C40" i="5"/>
  <c r="G40" i="5" s="1"/>
  <c r="C37" i="5"/>
  <c r="G37" i="5" s="1"/>
  <c r="C29" i="5"/>
  <c r="G29" i="5" s="1"/>
  <c r="B37" i="5"/>
  <c r="F37" i="5"/>
  <c r="B34" i="5"/>
  <c r="C34" i="5"/>
  <c r="G34" i="5" s="1"/>
  <c r="B31" i="5"/>
  <c r="C31" i="5"/>
  <c r="G31" i="5" s="1"/>
  <c r="B29"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62" i="5" l="1"/>
  <c r="K11" i="6" l="1"/>
  <c r="L11" i="6"/>
  <c r="F61" i="5"/>
  <c r="F63" i="5" s="1"/>
  <c r="E5" i="6"/>
  <c r="D5" i="6"/>
  <c r="H12" i="5"/>
  <c r="H16" i="5"/>
  <c r="H11" i="5"/>
  <c r="C61" i="5"/>
  <c r="G61" i="5" s="1"/>
  <c r="E62" i="5"/>
  <c r="B61" i="5"/>
  <c r="B63" i="5" s="1"/>
  <c r="H15" i="5"/>
  <c r="I23" i="5"/>
  <c r="I25" i="5"/>
  <c r="I24" i="5"/>
  <c r="I26" i="5"/>
  <c r="C63" i="5" l="1"/>
  <c r="G63" i="5" s="1"/>
</calcChain>
</file>

<file path=xl/sharedStrings.xml><?xml version="1.0" encoding="utf-8"?>
<sst xmlns="http://schemas.openxmlformats.org/spreadsheetml/2006/main" count="4787" uniqueCount="471">
  <si>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</si>
  <si>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</si>
  <si>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</si>
  <si>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</si>
  <si>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</si>
  <si>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</si>
  <si>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</si>
  <si>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</si>
  <si>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</si>
  <si>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</si>
  <si>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</si>
  <si>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</si>
  <si>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</si>
  <si>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</si>
  <si>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</si>
  <si>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</si>
  <si>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</si>
  <si>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</si>
  <si>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</si>
  <si>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</si>
  <si>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</si>
  <si>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</si>
  <si>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</si>
  <si>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</si>
  <si>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</si>
  <si>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</si>
  <si>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</si>
  <si>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</si>
  <si>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</si>
  <si>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</si>
  <si>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</si>
  <si>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</si>
  <si>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</si>
  <si>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</si>
  <si>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</si>
  <si>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</si>
  <si>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</si>
  <si>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</si>
  <si>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</si>
  <si>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</si>
  <si>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</si>
  <si>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</si>
  <si>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</si>
  <si>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</si>
  <si>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</si>
  <si>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</si>
  <si>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</si>
  <si>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</si>
  <si>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</si>
  <si>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</si>
  <si>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</si>
  <si>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</si>
  <si>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</si>
  <si>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</si>
  <si>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</si>
  <si>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</si>
  <si>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</si>
  <si>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</si>
  <si>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</si>
  <si>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</si>
  <si>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</si>
  <si>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</si>
  <si>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</si>
  <si>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</si>
  <si>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</si>
  <si>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</si>
  <si>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</si>
  <si>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</si>
  <si>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</si>
  <si>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</si>
  <si>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</si>
  <si>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</si>
  <si>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</si>
  <si>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</si>
  <si>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</si>
  <si>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</si>
  <si>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</si>
  <si>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</si>
  <si>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</si>
  <si>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</si>
  <si>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</si>
  <si>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</si>
  <si>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</si>
  <si>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</si>
  <si>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</si>
  <si>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</si>
  <si>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</si>
  <si>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</si>
  <si>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</si>
  <si>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</si>
  <si>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</si>
  <si>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</si>
  <si>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</si>
  <si>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</si>
  <si>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</si>
  <si>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</si>
  <si>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</si>
  <si>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</si>
  <si>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</si>
  <si>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</si>
  <si>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</si>
  <si>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</si>
  <si>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</si>
  <si>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</si>
  <si>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</si>
  <si>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</si>
  <si>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</si>
  <si>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</si>
  <si>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</si>
  <si>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</si>
  <si>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</si>
  <si>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</si>
  <si>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</si>
  <si>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</si>
  <si>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</si>
  <si>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</si>
  <si>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</si>
  <si>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</si>
  <si>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</si>
  <si>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</si>
  <si>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</si>
  <si>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</si>
  <si>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</si>
  <si>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</si>
  <si>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</si>
  <si>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</si>
  <si>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</si>
  <si>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</si>
  <si>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</si>
  <si>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</si>
  <si>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</si>
  <si>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</si>
  <si>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</si>
  <si>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</si>
  <si>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</si>
  <si>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</si>
  <si>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</si>
  <si>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</si>
  <si>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</si>
  <si>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</si>
  <si>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</si>
  <si>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</si>
  <si>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</si>
  <si>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</si>
  <si>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</si>
  <si>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</si>
  <si>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</si>
  <si>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</si>
  <si>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</si>
  <si>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</si>
  <si>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</si>
  <si>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</si>
  <si>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</si>
  <si>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</si>
  <si>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</si>
  <si>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</si>
  <si>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</si>
  <si>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</si>
  <si>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</si>
  <si>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</si>
  <si>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</si>
  <si>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</si>
  <si>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</si>
  <si>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</si>
  <si>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</si>
  <si>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</si>
  <si>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</si>
  <si>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</si>
  <si>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</si>
  <si>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</si>
  <si>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</si>
  <si>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</si>
  <si>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</si>
  <si>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</si>
  <si>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</si>
  <si>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</si>
  <si>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</si>
  <si>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</si>
  <si>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</si>
  <si>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</si>
  <si>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</si>
  <si>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</si>
  <si>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</si>
  <si>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</si>
  <si>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</si>
  <si>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</si>
  <si>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</si>
  <si>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</si>
  <si>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</si>
  <si>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</si>
  <si>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</si>
  <si>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</si>
  <si>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</si>
  <si>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</si>
  <si>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</si>
  <si>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</si>
  <si>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卫生健康支出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</si>
  <si>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</si>
  <si>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</si>
  <si>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</si>
  <si>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</si>
  <si>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</si>
  <si>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</si>
  <si>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</si>
  <si>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</si>
  <si>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</si>
  <si>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</si>
  <si>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</si>
  <si>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</si>
  <si>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</si>
  <si>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</si>
  <si>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</si>
  <si>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</si>
  <si>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</si>
  <si>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</si>
  <si>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</si>
  <si>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</si>
  <si>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</si>
  <si>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</si>
  <si>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</si>
  <si>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</si>
  <si>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</si>
  <si>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</si>
  <si>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</si>
  <si>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</si>
  <si>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</si>
  <si>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</si>
  <si>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</si>
  <si>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</si>
  <si>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</si>
  <si>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</si>
  <si>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</si>
  <si>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</si>
  <si>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</si>
  <si>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</si>
  <si>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</si>
  <si>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</si>
  <si>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</si>
  <si>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</si>
  <si>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</si>
  <si>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</si>
  <si>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</si>
  <si>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</si>
  <si>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</si>
  <si>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</si>
  <si>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</si>
  <si>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</si>
  <si>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</si>
  <si>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</si>
  <si>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</si>
  <si>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</si>
  <si>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</si>
  <si>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</si>
  <si>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</si>
  <si>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</si>
  <si>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</si>
  <si>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</si>
  <si>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</si>
  <si>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</si>
  <si>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</si>
  <si>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</si>
  <si>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</si>
  <si>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</si>
  <si>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</si>
  <si>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</si>
  <si>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</si>
  <si>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</si>
  <si>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</si>
  <si>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</si>
  <si>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</si>
  <si>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</si>
  <si>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</si>
  <si>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</si>
  <si>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</si>
  <si>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</si>
  <si>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</si>
  <si>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</si>
  <si>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</si>
  <si>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</si>
  <si>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</si>
  <si>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</si>
  <si>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</si>
  <si>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</si>
  <si>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</si>
  <si>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</si>
  <si>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</si>
  <si>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</si>
  <si>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</si>
  <si>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</si>
  <si>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</si>
  <si>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</si>
  <si>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</si>
  <si>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</si>
  <si>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</si>
  <si>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</si>
  <si>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</si>
  <si>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</si>
  <si>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</si>
  <si>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</si>
  <si>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</si>
  <si>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</si>
  <si>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</si>
  <si>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</si>
  <si>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</si>
  <si>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</si>
  <si>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</si>
  <si>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</si>
  <si>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</si>
  <si>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</si>
  <si>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</si>
  <si>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</si>
  <si>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</si>
  <si>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</si>
  <si>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</si>
  <si>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</si>
  <si>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</si>
  <si>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</si>
  <si>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</si>
  <si>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</si>
  <si>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</si>
  <si>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</si>
  <si>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</si>
  <si>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</si>
  <si>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</si>
  <si>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</si>
  <si>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</si>
  <si>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</si>
  <si>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</si>
  <si>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</si>
  <si>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</si>
  <si>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</si>
  <si>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</si>
  <si>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</si>
  <si>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</si>
  <si>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</si>
  <si>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</si>
  <si>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</si>
  <si>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</si>
  <si>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</si>
  <si>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</si>
  <si>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</si>
  <si>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</si>
  <si>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</si>
  <si>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</si>
  <si>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</si>
  <si>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</si>
  <si>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</si>
  <si>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</si>
  <si>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</si>
  <si>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</si>
  <si>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</si>
  <si>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</si>
  <si>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</si>
  <si>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</si>
  <si>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</si>
  <si>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</si>
  <si>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</si>
  <si>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</si>
  <si>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</si>
  <si>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</si>
  <si>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</si>
  <si>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</si>
  <si>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</si>
  <si>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</si>
  <si>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</si>
  <si>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</si>
  <si>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</si>
  <si>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</si>
  <si>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</si>
  <si>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</si>
  <si>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</si>
  <si>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</si>
  <si>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</si>
  <si>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</si>
  <si>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</si>
  <si>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</si>
  <si>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</si>
  <si>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</si>
  <si>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</si>
  <si>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</si>
  <si>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</si>
  <si>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</si>
  <si>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</si>
  <si>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</si>
  <si>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</si>
  <si>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</si>
  <si>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</si>
  <si>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</si>
  <si>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</si>
  <si>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</si>
  <si>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</si>
  <si>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</si>
  <si>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</si>
  <si>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</si>
  <si>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</si>
  <si>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</si>
  <si>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</si>
  <si>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</si>
  <si>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</si>
  <si>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</si>
  <si>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</si>
  <si>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</si>
  <si>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</si>
  <si>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</si>
  <si>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</si>
  <si>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</si>
  <si>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</si>
  <si>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</si>
  <si>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</si>
  <si>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</si>
  <si>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</si>
  <si>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</si>
  <si>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</si>
  <si>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</si>
  <si>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</si>
  <si>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</si>
  <si>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</si>
  <si>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</si>
  <si>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</si>
  <si>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</si>
  <si>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3.社会保障和就业支出（类）2021年度决算</t>
  </si>
  <si>
    <t>行政事业单位养老支出（款）2021年度决算</t>
  </si>
  <si>
    <t>4.卫生健康支出（类）2021年度决算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</si>
  <si>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</si>
  <si>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</si>
  <si>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</si>
  <si>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</si>
  <si>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</si>
  <si>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</si>
  <si>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</si>
  <si>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</si>
  <si>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</si>
  <si>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</si>
  <si>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</si>
  <si>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</si>
  <si>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</si>
  <si>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</si>
  <si>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</si>
  <si>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</si>
  <si>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</si>
  <si>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</si>
  <si>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</si>
  <si>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</si>
  <si>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</si>
  <si>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</si>
  <si>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</si>
  <si>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</si>
  <si>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</si>
  <si>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</si>
  <si>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</si>
  <si>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</si>
  <si>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</si>
  <si>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</si>
  <si>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</si>
  <si>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</si>
  <si>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</si>
  <si>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</si>
  <si>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</si>
  <si>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</si>
  <si>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主要原因是因为疫情原因，无法开展培训，财政收回部分培训费用，导致培训费减少。</t>
    <phoneticPr fontId="4" type="noConversion"/>
  </si>
  <si>
    <t>主要原因是财政年底收回项目结余资金。</t>
    <phoneticPr fontId="4" type="noConversion"/>
  </si>
  <si>
    <t xml:space="preserve">1．主要职能：培养高中学历人才，提高学生素质。
2．机构情况，2021年末教职工人数300人，离休人数6人，退休人数427人。我校人事下达编制数为316人，我校有3名内退人员。
3．人员情况，包括当年变动情况及原因。
本年度调入新入职31人，调出3人，退休13人。2021年末在校学生人数为2464人（高中828人，初中1477人，小学159）。
</t>
    <phoneticPr fontId="4" type="noConversion"/>
  </si>
  <si>
    <t>主要原因是本年度调入新入职31人，人员有所增加，导致养老支出增加。</t>
    <phoneticPr fontId="4" type="noConversion"/>
  </si>
  <si>
    <t>行政事业单位医疗（款）2021年度决算</t>
    <phoneticPr fontId="4" type="noConversion"/>
  </si>
  <si>
    <t>主要原因是本年度调入新入职31人，人员有所增加，导致事业单位医疗（款）增加。</t>
    <phoneticPr fontId="4" type="noConversion"/>
  </si>
  <si>
    <t>住房改革支出（款）2021年度决算</t>
    <phoneticPr fontId="4" type="noConversion"/>
  </si>
  <si>
    <t>主要原因是本年度调入新入职31人，人员有所增加，导致住房改革支出（款）增加。</t>
    <phoneticPr fontId="4" type="noConversion"/>
  </si>
  <si>
    <t>主要原因是财政年底收回彩票公益金安排的支出结余资金。</t>
    <phoneticPr fontId="4" type="noConversion"/>
  </si>
  <si>
    <t>主要原因是由于疫情影响，减少公务车运行使用。</t>
    <phoneticPr fontId="4" type="noConversion"/>
  </si>
  <si>
    <t>主要原因是1．2020年我校畿辅校区投入使用，新增畿辅校区专项较多，金额较大。致使2020年专项经费支出投入较多，导致本年度项目支出较去年减少幅度较大。
2．本年度我校增加小学部，校区的增加及学生数量的增长，致使公用经费支出进一步加大，导致本年公用经费支出增加。
3. 由于校区的增加及学生数量的增长，需要在职教师的大量补充，致使人员经费也有所增加。</t>
    <phoneticPr fontId="4" type="noConversion"/>
  </si>
  <si>
    <t>主要原因是1.本年度我校增加小学部，校区的增加及学生数量的增长，年中追加部分公用经费及项目经费，导致决算金额较年初预算金额有所增长。
2. 由于校区的增加及学生数量的增长，需要在职教师的大量补充，致使人员经费也有所增加。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</si>
</sst>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0">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E28" sqref="E28"/>
    </sheetView>
  </sheetViews>
  <sheetFormatPr defaultRowHeight="14.25"/>
  <cols>
    <col min="1" max="1" width="16.5" customWidth="1"/>
    <col min="2" max="2" width="12.75" bestFit="1" customWidth="1"/>
  </cols>
  <sheetData>
    <row r="1" spans="1:14" ht="37.9" customHeight="1">
      <c r="A1" s="27" t="s">
        <v>0</v>
      </c>
      <c r="B1" s="28">
        <v>255114</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6" t="str">
        <f>_xlfn.IFNA(VLOOKUP(B1,'2021决算导出'!A:B,2,FALSE),"")</f>
        <v>北京市第十四中学</v>
      </c>
      <c r="B11" s="76"/>
      <c r="C11" s="76"/>
      <c r="D11" s="76"/>
      <c r="E11" s="76"/>
      <c r="F11" s="76"/>
      <c r="G11" s="76"/>
      <c r="H11" s="76"/>
      <c r="I11" s="76"/>
      <c r="J11" s="76"/>
      <c r="K11" s="76"/>
      <c r="L11" s="76"/>
      <c r="M11" s="76"/>
      <c r="N11" s="1"/>
    </row>
    <row r="12" spans="1:14" ht="72" customHeight="1">
      <c r="A12" s="76" t="s">
        <v>404</v>
      </c>
      <c r="B12" s="76"/>
      <c r="C12" s="76"/>
      <c r="D12" s="76"/>
      <c r="E12" s="76"/>
      <c r="F12" s="76"/>
      <c r="G12" s="76"/>
      <c r="H12" s="76"/>
      <c r="I12" s="76"/>
      <c r="J12" s="76"/>
      <c r="K12" s="76"/>
      <c r="L12" s="76"/>
      <c r="M12" s="76"/>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316</v>
      </c>
      <c r="B1" s="42" t="s">
        <v>353</v>
      </c>
      <c r="C1" s="72" t="s">
        <v>354</v>
      </c>
      <c r="D1" s="72" t="s">
        <v>355</v>
      </c>
      <c r="E1" s="42" t="s">
        <v>356</v>
      </c>
      <c r="F1" s="42" t="s">
        <v>357</v>
      </c>
      <c r="G1" s="42" t="s">
        <v>358</v>
      </c>
      <c r="H1" s="42" t="s">
        <v>359</v>
      </c>
      <c r="I1" s="42" t="s">
        <v>360</v>
      </c>
      <c r="J1" s="42" t="s">
        <v>361</v>
      </c>
      <c r="K1" s="42" t="s">
        <v>362</v>
      </c>
      <c r="L1" s="42" t="s">
        <v>363</v>
      </c>
      <c r="M1" s="42" t="s">
        <v>364</v>
      </c>
      <c r="N1" s="42" t="s">
        <v>365</v>
      </c>
      <c r="O1" s="42" t="s">
        <v>366</v>
      </c>
      <c r="P1" s="42" t="s">
        <v>367</v>
      </c>
      <c r="Q1" s="72" t="s">
        <v>368</v>
      </c>
      <c r="R1" s="72" t="s">
        <v>369</v>
      </c>
      <c r="S1" s="73" t="s">
        <v>452</v>
      </c>
      <c r="T1" s="73" t="s">
        <v>453</v>
      </c>
      <c r="U1" s="42" t="s">
        <v>370</v>
      </c>
      <c r="V1" s="42" t="s">
        <v>371</v>
      </c>
      <c r="W1" s="72" t="s">
        <v>372</v>
      </c>
      <c r="X1" s="72" t="s">
        <v>373</v>
      </c>
      <c r="Y1" s="42" t="s">
        <v>374</v>
      </c>
      <c r="Z1" s="42" t="s">
        <v>375</v>
      </c>
      <c r="AA1" s="42" t="s">
        <v>376</v>
      </c>
      <c r="AB1" s="42" t="s">
        <v>377</v>
      </c>
      <c r="AC1" s="72" t="s">
        <v>378</v>
      </c>
      <c r="AD1" s="72" t="s">
        <v>379</v>
      </c>
      <c r="AE1" s="42" t="s">
        <v>380</v>
      </c>
      <c r="AF1" s="42" t="s">
        <v>381</v>
      </c>
      <c r="AG1" s="72" t="s">
        <v>382</v>
      </c>
      <c r="AH1" s="72" t="s">
        <v>383</v>
      </c>
      <c r="AI1" s="42" t="s">
        <v>384</v>
      </c>
      <c r="AJ1" s="42" t="s">
        <v>385</v>
      </c>
      <c r="AK1" s="72" t="s">
        <v>386</v>
      </c>
      <c r="AL1" s="72" t="s">
        <v>387</v>
      </c>
      <c r="AM1" s="42" t="s">
        <v>388</v>
      </c>
      <c r="AN1" s="42" t="s">
        <v>389</v>
      </c>
    </row>
    <row r="2" spans="1:40">
      <c r="A2" s="43">
        <v>255001</v>
      </c>
      <c r="B2" s="44" t="s">
        <v>296</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297</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4">
        <v>255204</v>
      </c>
      <c r="B162" s="75" t="s">
        <v>443</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4">
        <v>255205</v>
      </c>
      <c r="B163" s="75" t="s">
        <v>444</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390</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391</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244</v>
      </c>
      <c r="B1" s="22" t="s">
        <v>245</v>
      </c>
      <c r="C1" s="37" t="s">
        <v>317</v>
      </c>
      <c r="D1" s="37" t="s">
        <v>318</v>
      </c>
      <c r="E1" s="38" t="s">
        <v>319</v>
      </c>
      <c r="F1" s="22" t="s">
        <v>320</v>
      </c>
      <c r="G1" s="22" t="s">
        <v>321</v>
      </c>
      <c r="H1" s="22" t="s">
        <v>322</v>
      </c>
    </row>
    <row r="2" spans="1:8">
      <c r="A2" s="24">
        <v>255001</v>
      </c>
      <c r="B2" s="25" t="s">
        <v>296</v>
      </c>
      <c r="C2" s="39" t="str">
        <f>LEFT(D2,3)</f>
        <v>205</v>
      </c>
      <c r="D2" s="39" t="str">
        <f>LEFT(E2,5)</f>
        <v>20502</v>
      </c>
      <c r="E2" s="39">
        <f>IF(ISNA(VLOOKUP(F2,'2021功能科目'!A:B,2,FALSE)),"",VLOOKUP(F2,'2021功能科目'!A:B,2,FALSE))</f>
        <v>2050201</v>
      </c>
      <c r="F2" s="25" t="s">
        <v>323</v>
      </c>
      <c r="G2" s="26">
        <v>84369469.799999997</v>
      </c>
      <c r="H2" s="26">
        <v>88422700</v>
      </c>
    </row>
    <row r="3" spans="1:8">
      <c r="A3" s="24">
        <v>255001</v>
      </c>
      <c r="B3" s="25" t="s">
        <v>296</v>
      </c>
      <c r="C3" s="39" t="str">
        <f t="shared" ref="C3:C66" si="0">LEFT(D3,3)</f>
        <v>205</v>
      </c>
      <c r="D3" s="39" t="str">
        <f t="shared" ref="D3:D66" si="1">LEFT(E3,5)</f>
        <v>20502</v>
      </c>
      <c r="E3" s="39">
        <f>IF(ISNA(VLOOKUP(F3,'2021功能科目'!A:B,2,FALSE)),"",VLOOKUP(F3,'2021功能科目'!A:B,2,FALSE))</f>
        <v>2050204</v>
      </c>
      <c r="F3" s="25" t="s">
        <v>325</v>
      </c>
      <c r="G3" s="26">
        <v>1817641</v>
      </c>
      <c r="H3" s="26">
        <v>410000</v>
      </c>
    </row>
    <row r="4" spans="1:8">
      <c r="A4" s="24">
        <v>255001</v>
      </c>
      <c r="B4" s="25" t="s">
        <v>296</v>
      </c>
      <c r="C4" s="39" t="str">
        <f t="shared" si="0"/>
        <v>205</v>
      </c>
      <c r="D4" s="39" t="str">
        <f t="shared" si="1"/>
        <v>20502</v>
      </c>
      <c r="E4" s="39">
        <f>IF(ISNA(VLOOKUP(F4,'2021功能科目'!A:B,2,FALSE)),"",VLOOKUP(F4,'2021功能科目'!A:B,2,FALSE))</f>
        <v>2050299</v>
      </c>
      <c r="F4" s="25" t="s">
        <v>326</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339</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325</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326</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327</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329</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330</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331</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332</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334</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335</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336</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337</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338</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339</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325</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326</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327</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329</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330</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331</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332</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334</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335</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336</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337</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338</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339</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325</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326</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327</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329</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330</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331</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332</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334</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335</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336</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337</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338</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339</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325</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326</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327</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329</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330</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331</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332</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334</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335</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336</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337</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338</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339</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325</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326</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327</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329</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330</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331</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332</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333</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334</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335</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336</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337</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338</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339</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325</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326</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327</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329</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330</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331</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332</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334</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335</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336</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337</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338</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339</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325</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326</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327</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329</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330</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331</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332</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334</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335</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336</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337</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338</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325</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326</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327</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329</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330</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331</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332</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334</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335</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336</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337</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338</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339</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325</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326</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327</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328</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329</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330</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331</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332</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334</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335</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336</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337</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338</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325</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326</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327</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329</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330</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331</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332</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334</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335</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336</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337</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338</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339</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325</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326</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327</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328</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329</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330</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331</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332</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334</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335</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336</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337</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338</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339</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325</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326</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327</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330</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331</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332</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334</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335</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336</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337</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338</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339</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325</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326</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327</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329</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330</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331</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332</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334</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335</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336</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337</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338</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339</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326</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327</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330</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331</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332</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334</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335</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336</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337</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338</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325</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327</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330</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331</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332</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334</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336</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337</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338</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339</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325</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326</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327</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329</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330</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331</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332</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334</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335</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336</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337</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338</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339</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325</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326</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327</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329</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330</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331</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332</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334</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335</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336</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337</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338</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339</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325</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326</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327</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329</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330</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331</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332</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334</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335</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336</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337</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338</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325</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326</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327</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329</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330</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331</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332</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334</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335</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336</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337</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338</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339</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326</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327</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329</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330</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331</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332</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334</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335</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336</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337</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338</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339</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325</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326</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327</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329</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330</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331</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332</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334</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335</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336</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337</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338</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339</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326</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327</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330</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331</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332</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334</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335</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336</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337</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338</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339</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326</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327</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329</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330</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331</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332</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334</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335</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336</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337</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338</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340</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327</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330</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331</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332</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333</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334</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335</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336</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337</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338</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325</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326</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340</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327</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342</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330</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331</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332</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334</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335</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336</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337</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338</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323</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324</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339</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325</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326</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327</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328</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329</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330</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331</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332</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334</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335</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336</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337</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338</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324</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326</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327</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330</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331</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332</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334</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335</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336</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337</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338</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324</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326</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327</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328</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330</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331</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332</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334</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336</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337</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338</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324</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326</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327</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329</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330</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331</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332</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334</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336</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337</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338</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324</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326</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327</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328</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329</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330</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331</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332</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334</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336</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337</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338</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324</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326</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327</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328</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329</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330</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331</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332</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334</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336</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337</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338</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324</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326</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327</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328</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330</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331</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332</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334</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336</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337</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338</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324</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326</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327</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329</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330</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331</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332</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334</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336</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337</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338</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324</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326</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327</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328</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329</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330</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331</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332</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334</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336</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337</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338</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324</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326</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327</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328</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329</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330</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331</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332</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334</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335</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336</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337</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338</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324</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326</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327</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329</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330</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331</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332</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334</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336</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337</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338</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324</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326</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327</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328</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329</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330</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331</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332</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334</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335</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336</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337</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338</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324</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326</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327</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328</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330</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331</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332</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334</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336</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337</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338</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324</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326</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327</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329</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330</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331</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332</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334</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335</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336</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337</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338</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324</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326</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327</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328</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329</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330</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331</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332</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334</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335</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336</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337</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338</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324</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326</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327</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328</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329</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330</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331</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332</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334</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336</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337</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338</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324</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326</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327</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329</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330</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331</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332</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334</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335</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336</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337</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338</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324</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326</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327</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328</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329</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330</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331</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332</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334</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336</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337</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338</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324</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326</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327</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328</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329</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330</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331</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332</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334</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336</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337</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338</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324</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326</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327</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329</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330</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331</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332</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334</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336</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337</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338</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324</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326</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327</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328</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329</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330</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331</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332</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334</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335</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336</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337</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338</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324</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326</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327</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329</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330</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331</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332</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334</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336</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337</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338</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324</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326</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327</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328</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329</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330</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331</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332</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333</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334</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335</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336</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337</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338</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324</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326</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327</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328</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330</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331</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332</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334</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336</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337</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338</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324</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326</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327</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328</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329</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343</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330</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331</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332</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334</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336</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337</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338</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324</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326</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327</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328</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329</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330</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331</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332</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334</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335</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336</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337</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338</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324</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326</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327</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328</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329</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330</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331</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332</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334</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335</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336</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337</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338</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324</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326</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327</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329</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330</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331</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332</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334</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335</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336</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337</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338</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324</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326</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327</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329</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330</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331</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332</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334</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335</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336</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337</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338</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324</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326</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327</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329</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330</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331</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332</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334</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335</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336</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337</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338</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324</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326</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327</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329</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330</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331</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332</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334</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335</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336</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337</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338</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324</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326</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327</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330</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331</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332</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334</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336</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337</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338</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324</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326</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327</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328</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329</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330</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331</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332</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334</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335</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336</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337</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338</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324</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326</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327</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330</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331</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332</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334</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335</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336</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337</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338</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323</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327</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343</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330</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331</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332</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334</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335</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336</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337</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338</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323</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327</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343</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330</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331</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332</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334</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335</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336</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337</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338</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323</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327</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343</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330</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331</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332</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334</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335</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336</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337</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338</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323</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327</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343</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330</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331</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332</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334</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336</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337</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338</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323</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327</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343</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330</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331</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332</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334</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336</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337</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338</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323</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327</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343</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330</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331</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332</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334</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335</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336</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337</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338</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323</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327</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343</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330</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331</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332</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334</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336</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337</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338</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323</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327</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343</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330</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331</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332</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334</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336</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337</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338</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330</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337</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323</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325</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326</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344</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327</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343</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330</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331</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332</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334</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336</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337</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338</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323</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339</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325</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326</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344</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327</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329</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330</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331</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332</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334</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336</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337</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338</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326</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346</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327</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330</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331</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332</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334</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336</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337</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338</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326</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327</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330</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331</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332</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334</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335</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336</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337</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338</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326</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327</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343</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347</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330</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331</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332</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334</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335</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336</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337</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338</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326</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327</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343</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330</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331</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332</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334</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336</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337</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338</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326</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327</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343</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330</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331</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332</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334</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336</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337</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338</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326</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327</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343</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330</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331</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332</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334</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336</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337</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338</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326</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327</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330</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331</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332</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334</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336</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337</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338</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326</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327</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330</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331</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332</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334</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336</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337</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338</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348</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327</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343</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330</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331</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332</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334</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335</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336</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337</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338</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326</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327</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330</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331</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332</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334</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336</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337</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338</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326</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327</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343</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330</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331</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332</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334</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336</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337</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338</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348</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327</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330</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331</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332</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334</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336</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337</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338</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326</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327</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330</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331</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332</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334</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336</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337</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338</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326</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327</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330</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331</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332</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334</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336</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337</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338</v>
      </c>
      <c r="G975" s="26">
        <v>279288</v>
      </c>
      <c r="H975" s="26">
        <v>279288</v>
      </c>
    </row>
    <row r="976" spans="1:8">
      <c r="A976" s="24">
        <v>255108</v>
      </c>
      <c r="B976" s="25" t="s">
        <v>303</v>
      </c>
      <c r="C976" s="39" t="str">
        <f t="shared" si="30"/>
        <v>205</v>
      </c>
      <c r="D976" s="39" t="str">
        <f t="shared" si="31"/>
        <v>20502</v>
      </c>
      <c r="E976" s="39">
        <f>IF(ISNA(VLOOKUP(F976,'2021功能科目'!A:B,2,FALSE)),"",VLOOKUP(F976,'2021功能科目'!A:B,2,FALSE))</f>
        <v>2050299</v>
      </c>
      <c r="F976" s="25" t="s">
        <v>326</v>
      </c>
      <c r="G976" s="26">
        <v>2062299.14</v>
      </c>
      <c r="H976" s="26">
        <v>1861343.69</v>
      </c>
    </row>
    <row r="977" spans="1:8">
      <c r="A977" s="24">
        <v>255108</v>
      </c>
      <c r="B977" s="25" t="s">
        <v>303</v>
      </c>
      <c r="C977" s="39" t="str">
        <f t="shared" si="30"/>
        <v>205</v>
      </c>
      <c r="D977" s="39" t="str">
        <f t="shared" si="31"/>
        <v>20508</v>
      </c>
      <c r="E977" s="39">
        <f>IF(ISNA(VLOOKUP(F977,'2021功能科目'!A:B,2,FALSE)),"",VLOOKUP(F977,'2021功能科目'!A:B,2,FALSE))</f>
        <v>2050803</v>
      </c>
      <c r="F977" s="25" t="s">
        <v>327</v>
      </c>
      <c r="G977" s="26">
        <v>0</v>
      </c>
      <c r="H977" s="26">
        <v>6120</v>
      </c>
    </row>
    <row r="978" spans="1:8">
      <c r="A978" s="24">
        <v>255108</v>
      </c>
      <c r="B978" s="25" t="s">
        <v>303</v>
      </c>
      <c r="C978" s="39" t="str">
        <f t="shared" si="30"/>
        <v>208</v>
      </c>
      <c r="D978" s="39" t="str">
        <f t="shared" si="31"/>
        <v>20805</v>
      </c>
      <c r="E978" s="39">
        <f>IF(ISNA(VLOOKUP(F978,'2021功能科目'!A:B,2,FALSE)),"",VLOOKUP(F978,'2021功能科目'!A:B,2,FALSE))</f>
        <v>2080505</v>
      </c>
      <c r="F978" s="25" t="s">
        <v>331</v>
      </c>
      <c r="G978" s="26">
        <v>227009.92000000001</v>
      </c>
      <c r="H978" s="26">
        <v>233242.54</v>
      </c>
    </row>
    <row r="979" spans="1:8">
      <c r="A979" s="24">
        <v>255108</v>
      </c>
      <c r="B979" s="25" t="s">
        <v>303</v>
      </c>
      <c r="C979" s="39" t="str">
        <f t="shared" si="30"/>
        <v>208</v>
      </c>
      <c r="D979" s="39" t="str">
        <f t="shared" si="31"/>
        <v>20805</v>
      </c>
      <c r="E979" s="39">
        <f>IF(ISNA(VLOOKUP(F979,'2021功能科目'!A:B,2,FALSE)),"",VLOOKUP(F979,'2021功能科目'!A:B,2,FALSE))</f>
        <v>2080506</v>
      </c>
      <c r="F979" s="25" t="s">
        <v>332</v>
      </c>
      <c r="G979" s="26">
        <v>113504.96000000001</v>
      </c>
      <c r="H979" s="26">
        <v>116621.27</v>
      </c>
    </row>
    <row r="980" spans="1:8">
      <c r="A980" s="24">
        <v>255108</v>
      </c>
      <c r="B980" s="25" t="s">
        <v>303</v>
      </c>
      <c r="C980" s="39" t="str">
        <f t="shared" si="30"/>
        <v>210</v>
      </c>
      <c r="D980" s="39" t="str">
        <f t="shared" si="31"/>
        <v>21011</v>
      </c>
      <c r="E980" s="39">
        <f>IF(ISNA(VLOOKUP(F980,'2021功能科目'!A:B,2,FALSE)),"",VLOOKUP(F980,'2021功能科目'!A:B,2,FALSE))</f>
        <v>2101102</v>
      </c>
      <c r="F980" s="25" t="s">
        <v>334</v>
      </c>
      <c r="G980" s="26">
        <v>227782.67</v>
      </c>
      <c r="H980" s="26">
        <v>189509.56</v>
      </c>
    </row>
    <row r="981" spans="1:8">
      <c r="A981" s="24">
        <v>255108</v>
      </c>
      <c r="B981" s="25" t="s">
        <v>303</v>
      </c>
      <c r="C981" s="39" t="str">
        <f t="shared" si="30"/>
        <v>221</v>
      </c>
      <c r="D981" s="39" t="str">
        <f t="shared" si="31"/>
        <v>22102</v>
      </c>
      <c r="E981" s="39">
        <f>IF(ISNA(VLOOKUP(F981,'2021功能科目'!A:B,2,FALSE)),"",VLOOKUP(F981,'2021功能科目'!A:B,2,FALSE))</f>
        <v>2210201</v>
      </c>
      <c r="F981" s="25" t="s">
        <v>336</v>
      </c>
      <c r="G981" s="26">
        <v>220664</v>
      </c>
      <c r="H981" s="26">
        <v>194371.91</v>
      </c>
    </row>
    <row r="982" spans="1:8">
      <c r="A982" s="24">
        <v>255108</v>
      </c>
      <c r="B982" s="25" t="s">
        <v>303</v>
      </c>
      <c r="C982" s="39" t="str">
        <f t="shared" si="30"/>
        <v>221</v>
      </c>
      <c r="D982" s="39" t="str">
        <f t="shared" si="31"/>
        <v>22102</v>
      </c>
      <c r="E982" s="39">
        <f>IF(ISNA(VLOOKUP(F982,'2021功能科目'!A:B,2,FALSE)),"",VLOOKUP(F982,'2021功能科目'!A:B,2,FALSE))</f>
        <v>2210203</v>
      </c>
      <c r="F982" s="25" t="s">
        <v>338</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326</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327</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343</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330</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331</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332</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334</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336</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337</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338</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326</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327</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330</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331</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332</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334</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336</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337</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338</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323</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327</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343</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330</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331</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332</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334</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336</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337</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338</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324</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326</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327</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329</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330</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331</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332</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334</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336</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337</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338</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326</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327</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330</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331</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332</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334</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336</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337</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338</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324</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339</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325</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326</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327</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329</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330</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331</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332</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334</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335</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336</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337</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338</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339</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325</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326</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327</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328</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329</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448</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330</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331</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332</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333</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334</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335</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336</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337</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338</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325</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326</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327</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329</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448</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330</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331</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332</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334</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335</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336</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337</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338</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325</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327</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329</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330</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331</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332</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334</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335</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336</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337</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338</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339</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325</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326</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327</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329</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330</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331</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332</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334</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335</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336</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337</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338</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326</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340</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327</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330</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331</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332</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334</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335</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336</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337</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338</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325</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327</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330</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331</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332</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334</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335</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336</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337</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338</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339</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325</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326</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327</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329</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330</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331</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332</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334</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335</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336</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337</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338</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339</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325</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326</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327</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329</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330</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331</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332</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333</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334</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335</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336</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337</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338</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339</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325</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326</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327</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329</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330</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331</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332</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334</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335</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336</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337</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338</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324</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326</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327</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328</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329</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330</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331</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332</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334</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335</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336</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337</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338</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324</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326</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327</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329</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330</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331</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332</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334</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335</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336</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337</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338</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324</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326</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327</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328</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329</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330</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331</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332</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334</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336</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337</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338</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324</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326</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327</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329</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330</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331</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332</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334</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335</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336</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337</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338</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324</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326</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327</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328</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329</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330</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331</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332</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334</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335</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336</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337</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338</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324</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326</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327</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329</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330</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331</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332</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334</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336</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337</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338</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324</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326</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327</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329</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330</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331</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332</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334</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336</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337</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338</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324</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326</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327</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329</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330</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331</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332</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334</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336</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337</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338</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324</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326</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327</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328</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330</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331</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332</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334</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335</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336</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337</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338</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324</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326</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327</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328</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329</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330</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331</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332</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333</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334</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335</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336</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337</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338</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324</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326</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327</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329</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330</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331</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332</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334</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335</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336</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337</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338</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324</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326</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327</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329</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330</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331</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332</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334</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336</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337</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338</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324</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326</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327</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328</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330</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331</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332</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334</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335</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336</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337</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338</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324</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326</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327</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328</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330</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331</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332</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334</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336</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337</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338</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324</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326</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327</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329</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330</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331</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332</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334</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335</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336</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337</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338</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324</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326</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327</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328</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329</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330</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331</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332</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334</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336</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337</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338</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324</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326</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327</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329</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330</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331</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332</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334</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335</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336</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337</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338</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324</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326</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327</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328</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330</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331</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332</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334</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336</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337</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338</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324</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326</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327</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329</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330</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331</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332</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334</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336</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337</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338</v>
      </c>
      <c r="G1384" s="26">
        <v>1027932</v>
      </c>
      <c r="H1384" s="26">
        <v>1027932</v>
      </c>
    </row>
    <row r="1385" spans="1:8">
      <c r="A1385" s="24">
        <v>255154</v>
      </c>
      <c r="B1385" s="25" t="s">
        <v>442</v>
      </c>
      <c r="C1385" s="39" t="str">
        <f t="shared" si="42"/>
        <v>205</v>
      </c>
      <c r="D1385" s="39" t="str">
        <f t="shared" si="43"/>
        <v>20502</v>
      </c>
      <c r="E1385" s="39">
        <f>IF(ISNA(VLOOKUP(F1385,'2021功能科目'!A:B,2,FALSE)),"",VLOOKUP(F1385,'2021功能科目'!A:B,2,FALSE))</f>
        <v>2050202</v>
      </c>
      <c r="F1385" s="25" t="s">
        <v>324</v>
      </c>
      <c r="G1385" s="26">
        <v>20179239.84</v>
      </c>
      <c r="H1385" s="26">
        <v>17536632.91</v>
      </c>
    </row>
    <row r="1386" spans="1:8">
      <c r="A1386" s="24">
        <v>255154</v>
      </c>
      <c r="B1386" s="25" t="s">
        <v>442</v>
      </c>
      <c r="C1386" s="39" t="str">
        <f t="shared" si="42"/>
        <v>205</v>
      </c>
      <c r="D1386" s="39" t="str">
        <f t="shared" si="43"/>
        <v>20502</v>
      </c>
      <c r="E1386" s="39">
        <f>IF(ISNA(VLOOKUP(F1386,'2021功能科目'!A:B,2,FALSE)),"",VLOOKUP(F1386,'2021功能科目'!A:B,2,FALSE))</f>
        <v>2050299</v>
      </c>
      <c r="F1386" s="25" t="s">
        <v>326</v>
      </c>
      <c r="G1386" s="26">
        <v>825091.53</v>
      </c>
      <c r="H1386" s="26">
        <v>797250</v>
      </c>
    </row>
    <row r="1387" spans="1:8">
      <c r="A1387" s="24">
        <v>255154</v>
      </c>
      <c r="B1387" s="25" t="s">
        <v>442</v>
      </c>
      <c r="C1387" s="39" t="str">
        <f t="shared" si="42"/>
        <v>205</v>
      </c>
      <c r="D1387" s="39" t="str">
        <f t="shared" si="43"/>
        <v>20508</v>
      </c>
      <c r="E1387" s="39">
        <f>IF(ISNA(VLOOKUP(F1387,'2021功能科目'!A:B,2,FALSE)),"",VLOOKUP(F1387,'2021功能科目'!A:B,2,FALSE))</f>
        <v>2050803</v>
      </c>
      <c r="F1387" s="25" t="s">
        <v>327</v>
      </c>
      <c r="G1387" s="26">
        <v>42840</v>
      </c>
      <c r="H1387" s="26">
        <v>42840</v>
      </c>
    </row>
    <row r="1388" spans="1:8">
      <c r="A1388" s="24">
        <v>255154</v>
      </c>
      <c r="B1388" s="25" t="s">
        <v>442</v>
      </c>
      <c r="C1388" s="39" t="str">
        <f t="shared" si="42"/>
        <v>205</v>
      </c>
      <c r="D1388" s="39" t="str">
        <f t="shared" si="43"/>
        <v>20509</v>
      </c>
      <c r="E1388" s="39">
        <f>IF(ISNA(VLOOKUP(F1388,'2021功能科目'!A:B,2,FALSE)),"",VLOOKUP(F1388,'2021功能科目'!A:B,2,FALSE))</f>
        <v>2050904</v>
      </c>
      <c r="F1388" s="25" t="s">
        <v>329</v>
      </c>
      <c r="G1388" s="26">
        <v>7282</v>
      </c>
      <c r="H1388" s="26">
        <v>7282</v>
      </c>
    </row>
    <row r="1389" spans="1:8">
      <c r="A1389" s="24">
        <v>255154</v>
      </c>
      <c r="B1389" s="25" t="s">
        <v>442</v>
      </c>
      <c r="C1389" s="39" t="str">
        <f t="shared" si="42"/>
        <v>208</v>
      </c>
      <c r="D1389" s="39" t="str">
        <f t="shared" si="43"/>
        <v>20805</v>
      </c>
      <c r="E1389" s="39">
        <f>IF(ISNA(VLOOKUP(F1389,'2021功能科目'!A:B,2,FALSE)),"",VLOOKUP(F1389,'2021功能科目'!A:B,2,FALSE))</f>
        <v>2080502</v>
      </c>
      <c r="F1389" s="25" t="s">
        <v>330</v>
      </c>
      <c r="G1389" s="26">
        <v>408722.56</v>
      </c>
      <c r="H1389" s="26">
        <v>408726</v>
      </c>
    </row>
    <row r="1390" spans="1:8">
      <c r="A1390" s="24">
        <v>255154</v>
      </c>
      <c r="B1390" s="25" t="s">
        <v>442</v>
      </c>
      <c r="C1390" s="39" t="str">
        <f t="shared" si="42"/>
        <v>208</v>
      </c>
      <c r="D1390" s="39" t="str">
        <f t="shared" si="43"/>
        <v>20805</v>
      </c>
      <c r="E1390" s="39">
        <f>IF(ISNA(VLOOKUP(F1390,'2021功能科目'!A:B,2,FALSE)),"",VLOOKUP(F1390,'2021功能科目'!A:B,2,FALSE))</f>
        <v>2080505</v>
      </c>
      <c r="F1390" s="25" t="s">
        <v>331</v>
      </c>
      <c r="G1390" s="26">
        <v>1909234.88</v>
      </c>
      <c r="H1390" s="26">
        <v>2017116.26</v>
      </c>
    </row>
    <row r="1391" spans="1:8">
      <c r="A1391" s="24">
        <v>255154</v>
      </c>
      <c r="B1391" s="25" t="s">
        <v>442</v>
      </c>
      <c r="C1391" s="39" t="str">
        <f t="shared" si="42"/>
        <v>208</v>
      </c>
      <c r="D1391" s="39" t="str">
        <f t="shared" si="43"/>
        <v>20805</v>
      </c>
      <c r="E1391" s="39">
        <f>IF(ISNA(VLOOKUP(F1391,'2021功能科目'!A:B,2,FALSE)),"",VLOOKUP(F1391,'2021功能科目'!A:B,2,FALSE))</f>
        <v>2080506</v>
      </c>
      <c r="F1391" s="25" t="s">
        <v>332</v>
      </c>
      <c r="G1391" s="26">
        <v>954617.44</v>
      </c>
      <c r="H1391" s="26">
        <v>1008558.13</v>
      </c>
    </row>
    <row r="1392" spans="1:8">
      <c r="A1392" s="24">
        <v>255154</v>
      </c>
      <c r="B1392" s="25" t="s">
        <v>442</v>
      </c>
      <c r="C1392" s="39" t="str">
        <f t="shared" si="42"/>
        <v>210</v>
      </c>
      <c r="D1392" s="39" t="str">
        <f t="shared" si="43"/>
        <v>21011</v>
      </c>
      <c r="E1392" s="39">
        <f>IF(ISNA(VLOOKUP(F1392,'2021功能科目'!A:B,2,FALSE)),"",VLOOKUP(F1392,'2021功能科目'!A:B,2,FALSE))</f>
        <v>2101102</v>
      </c>
      <c r="F1392" s="25" t="s">
        <v>334</v>
      </c>
      <c r="G1392" s="26">
        <v>1645115.15</v>
      </c>
      <c r="H1392" s="26">
        <v>1638906.96</v>
      </c>
    </row>
    <row r="1393" spans="1:8">
      <c r="A1393" s="24">
        <v>255154</v>
      </c>
      <c r="B1393" s="25" t="s">
        <v>442</v>
      </c>
      <c r="C1393" s="39" t="str">
        <f t="shared" si="42"/>
        <v>221</v>
      </c>
      <c r="D1393" s="39" t="str">
        <f t="shared" si="43"/>
        <v>22102</v>
      </c>
      <c r="E1393" s="39">
        <f>IF(ISNA(VLOOKUP(F1393,'2021功能科目'!A:B,2,FALSE)),"",VLOOKUP(F1393,'2021功能科目'!A:B,2,FALSE))</f>
        <v>2210201</v>
      </c>
      <c r="F1393" s="25" t="s">
        <v>336</v>
      </c>
      <c r="G1393" s="26">
        <v>1703381</v>
      </c>
      <c r="H1393" s="26">
        <v>1648917.2</v>
      </c>
    </row>
    <row r="1394" spans="1:8">
      <c r="A1394" s="24">
        <v>255154</v>
      </c>
      <c r="B1394" s="25" t="s">
        <v>442</v>
      </c>
      <c r="C1394" s="39" t="str">
        <f t="shared" si="42"/>
        <v>221</v>
      </c>
      <c r="D1394" s="39" t="str">
        <f t="shared" si="43"/>
        <v>22102</v>
      </c>
      <c r="E1394" s="39">
        <f>IF(ISNA(VLOOKUP(F1394,'2021功能科目'!A:B,2,FALSE)),"",VLOOKUP(F1394,'2021功能科目'!A:B,2,FALSE))</f>
        <v>2210202</v>
      </c>
      <c r="F1394" s="25" t="s">
        <v>337</v>
      </c>
      <c r="G1394" s="26">
        <v>36120</v>
      </c>
      <c r="H1394" s="26">
        <v>36240</v>
      </c>
    </row>
    <row r="1395" spans="1:8">
      <c r="A1395" s="24">
        <v>255154</v>
      </c>
      <c r="B1395" s="25" t="s">
        <v>442</v>
      </c>
      <c r="C1395" s="39" t="str">
        <f t="shared" si="42"/>
        <v>221</v>
      </c>
      <c r="D1395" s="39" t="str">
        <f t="shared" si="43"/>
        <v>22102</v>
      </c>
      <c r="E1395" s="39">
        <f>IF(ISNA(VLOOKUP(F1395,'2021功能科目'!A:B,2,FALSE)),"",VLOOKUP(F1395,'2021功能科目'!A:B,2,FALSE))</f>
        <v>2210203</v>
      </c>
      <c r="F1395" s="25" t="s">
        <v>338</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324</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326</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327</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329</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330</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331</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332</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334</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336</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337</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338</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324</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326</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327</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328</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329</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330</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331</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332</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334</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336</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337</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338</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323</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327</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343</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330</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331</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332</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334</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336</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337</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338</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323</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327</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343</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330</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331</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332</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334</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335</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336</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337</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338</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323</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327</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330</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331</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332</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334</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336</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337</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338</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323</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327</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448</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330</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331</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332</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334</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336</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337</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338</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323</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343</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330</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331</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332</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334</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336</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337</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338</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323</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327</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343</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330</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331</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332</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334</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336</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337</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338</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323</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327</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343</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330</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331</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332</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334</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336</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337</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338</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323</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327</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343</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330</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331</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332</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334</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336</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337</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338</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323</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327</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343</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330</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331</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332</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334</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336</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337</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338</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323</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327</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330</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331</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332</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334</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335</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336</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337</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338</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323</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327</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330</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331</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332</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334</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336</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337</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338</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323</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327</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343</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330</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331</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332</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334</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336</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337</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338</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323</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327</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343</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330</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331</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332</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334</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336</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337</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338</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350</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327</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343</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330</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331</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332</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334</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335</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336</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337</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338</v>
      </c>
      <c r="G1557" s="26">
        <v>1342028</v>
      </c>
      <c r="H1557" s="26">
        <v>1328208</v>
      </c>
    </row>
    <row r="1558" spans="1:8">
      <c r="A1558" s="24">
        <v>255172</v>
      </c>
      <c r="B1558" s="25" t="s">
        <v>304</v>
      </c>
      <c r="C1558" s="39" t="str">
        <f t="shared" si="48"/>
        <v>205</v>
      </c>
      <c r="D1558" s="39" t="str">
        <f t="shared" si="49"/>
        <v>20504</v>
      </c>
      <c r="E1558" s="39">
        <f>IF(ISNA(VLOOKUP(F1558,'2021功能科目'!A:B,2,FALSE)),"",VLOOKUP(F1558,'2021功能科目'!A:B,2,FALSE))</f>
        <v>2050404</v>
      </c>
      <c r="F1558" s="25" t="s">
        <v>351</v>
      </c>
      <c r="G1558" s="26">
        <v>6645811.0700000003</v>
      </c>
      <c r="H1558" s="26">
        <v>6446171.9800000004</v>
      </c>
    </row>
    <row r="1559" spans="1:8">
      <c r="A1559" s="24">
        <v>255172</v>
      </c>
      <c r="B1559" s="25" t="s">
        <v>304</v>
      </c>
      <c r="C1559" s="39" t="str">
        <f t="shared" si="48"/>
        <v>205</v>
      </c>
      <c r="D1559" s="39" t="str">
        <f t="shared" si="49"/>
        <v>20508</v>
      </c>
      <c r="E1559" s="39">
        <f>IF(ISNA(VLOOKUP(F1559,'2021功能科目'!A:B,2,FALSE)),"",VLOOKUP(F1559,'2021功能科目'!A:B,2,FALSE))</f>
        <v>2050803</v>
      </c>
      <c r="F1559" s="25" t="s">
        <v>327</v>
      </c>
      <c r="G1559" s="26">
        <v>5119</v>
      </c>
      <c r="H1559" s="26">
        <v>17000</v>
      </c>
    </row>
    <row r="1560" spans="1:8">
      <c r="A1560" s="24">
        <v>255172</v>
      </c>
      <c r="B1560" s="25" t="s">
        <v>304</v>
      </c>
      <c r="C1560" s="39" t="str">
        <f t="shared" si="48"/>
        <v>208</v>
      </c>
      <c r="D1560" s="39" t="str">
        <f t="shared" si="49"/>
        <v>20805</v>
      </c>
      <c r="E1560" s="39">
        <f>IF(ISNA(VLOOKUP(F1560,'2021功能科目'!A:B,2,FALSE)),"",VLOOKUP(F1560,'2021功能科目'!A:B,2,FALSE))</f>
        <v>2080502</v>
      </c>
      <c r="F1560" s="25" t="s">
        <v>330</v>
      </c>
      <c r="G1560" s="26">
        <v>230917</v>
      </c>
      <c r="H1560" s="26">
        <v>224842</v>
      </c>
    </row>
    <row r="1561" spans="1:8">
      <c r="A1561" s="24">
        <v>255172</v>
      </c>
      <c r="B1561" s="25" t="s">
        <v>304</v>
      </c>
      <c r="C1561" s="39" t="str">
        <f t="shared" si="48"/>
        <v>208</v>
      </c>
      <c r="D1561" s="39" t="str">
        <f t="shared" si="49"/>
        <v>20805</v>
      </c>
      <c r="E1561" s="39">
        <f>IF(ISNA(VLOOKUP(F1561,'2021功能科目'!A:B,2,FALSE)),"",VLOOKUP(F1561,'2021功能科目'!A:B,2,FALSE))</f>
        <v>2080505</v>
      </c>
      <c r="F1561" s="25" t="s">
        <v>331</v>
      </c>
      <c r="G1561" s="26">
        <v>710000</v>
      </c>
      <c r="H1561" s="26">
        <v>728315.2</v>
      </c>
    </row>
    <row r="1562" spans="1:8">
      <c r="A1562" s="24">
        <v>255172</v>
      </c>
      <c r="B1562" s="25" t="s">
        <v>304</v>
      </c>
      <c r="C1562" s="39" t="str">
        <f t="shared" si="48"/>
        <v>208</v>
      </c>
      <c r="D1562" s="39" t="str">
        <f t="shared" si="49"/>
        <v>20805</v>
      </c>
      <c r="E1562" s="39">
        <f>IF(ISNA(VLOOKUP(F1562,'2021功能科目'!A:B,2,FALSE)),"",VLOOKUP(F1562,'2021功能科目'!A:B,2,FALSE))</f>
        <v>2080506</v>
      </c>
      <c r="F1562" s="25" t="s">
        <v>332</v>
      </c>
      <c r="G1562" s="26">
        <v>340000</v>
      </c>
      <c r="H1562" s="26">
        <v>364157.6</v>
      </c>
    </row>
    <row r="1563" spans="1:8">
      <c r="A1563" s="24">
        <v>255172</v>
      </c>
      <c r="B1563" s="25" t="s">
        <v>304</v>
      </c>
      <c r="C1563" s="39" t="str">
        <f t="shared" si="48"/>
        <v>210</v>
      </c>
      <c r="D1563" s="39" t="str">
        <f t="shared" si="49"/>
        <v>21011</v>
      </c>
      <c r="E1563" s="39">
        <f>IF(ISNA(VLOOKUP(F1563,'2021功能科目'!A:B,2,FALSE)),"",VLOOKUP(F1563,'2021功能科目'!A:B,2,FALSE))</f>
        <v>2101102</v>
      </c>
      <c r="F1563" s="25" t="s">
        <v>334</v>
      </c>
      <c r="G1563" s="26">
        <v>550000</v>
      </c>
      <c r="H1563" s="26">
        <v>591756.1</v>
      </c>
    </row>
    <row r="1564" spans="1:8">
      <c r="A1564" s="24">
        <v>255172</v>
      </c>
      <c r="B1564" s="25" t="s">
        <v>304</v>
      </c>
      <c r="C1564" s="39" t="str">
        <f t="shared" si="48"/>
        <v>221</v>
      </c>
      <c r="D1564" s="39" t="str">
        <f t="shared" si="49"/>
        <v>22102</v>
      </c>
      <c r="E1564" s="39">
        <f>IF(ISNA(VLOOKUP(F1564,'2021功能科目'!A:B,2,FALSE)),"",VLOOKUP(F1564,'2021功能科目'!A:B,2,FALSE))</f>
        <v>2210201</v>
      </c>
      <c r="F1564" s="25" t="s">
        <v>336</v>
      </c>
      <c r="G1564" s="26">
        <v>608112.4</v>
      </c>
      <c r="H1564" s="26">
        <v>600236.4</v>
      </c>
    </row>
    <row r="1565" spans="1:8">
      <c r="A1565" s="24">
        <v>255172</v>
      </c>
      <c r="B1565" s="25" t="s">
        <v>304</v>
      </c>
      <c r="C1565" s="39" t="str">
        <f t="shared" si="48"/>
        <v>221</v>
      </c>
      <c r="D1565" s="39" t="str">
        <f t="shared" si="49"/>
        <v>22102</v>
      </c>
      <c r="E1565" s="39">
        <f>IF(ISNA(VLOOKUP(F1565,'2021功能科目'!A:B,2,FALSE)),"",VLOOKUP(F1565,'2021功能科目'!A:B,2,FALSE))</f>
        <v>2210202</v>
      </c>
      <c r="F1565" s="25" t="s">
        <v>337</v>
      </c>
      <c r="G1565" s="26">
        <v>20370</v>
      </c>
      <c r="H1565" s="26">
        <v>19920</v>
      </c>
    </row>
    <row r="1566" spans="1:8">
      <c r="A1566" s="24">
        <v>255172</v>
      </c>
      <c r="B1566" s="25" t="s">
        <v>304</v>
      </c>
      <c r="C1566" s="39" t="str">
        <f t="shared" si="48"/>
        <v>221</v>
      </c>
      <c r="D1566" s="39" t="str">
        <f t="shared" si="49"/>
        <v>22102</v>
      </c>
      <c r="E1566" s="39">
        <f>IF(ISNA(VLOOKUP(F1566,'2021功能科目'!A:B,2,FALSE)),"",VLOOKUP(F1566,'2021功能科目'!A:B,2,FALSE))</f>
        <v>2210203</v>
      </c>
      <c r="F1566" s="25" t="s">
        <v>338</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348</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327</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343</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330</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331</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332</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334</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335</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336</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337</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338</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326</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327</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330</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331</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332</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334</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335</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336</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337</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338</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326</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327</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343</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448</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347</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330</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331</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332</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334</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336</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337</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338</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326</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327</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343</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330</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331</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332</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334</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336</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337</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338</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326</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327</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343</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330</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331</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332</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334</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336</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337</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338</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323</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324</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339</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325</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326</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345</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327</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343</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330</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331</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332</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334</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335</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352</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336</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337</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338</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340</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327</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342</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330</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331</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332</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334</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335</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336</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337</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338</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325</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326</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327</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329</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330</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331</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332</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334</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335</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336</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337</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338</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325</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326</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327</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329</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330</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331</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332</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334</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336</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337</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338</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326</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327</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343</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330</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331</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332</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334</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336</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337</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338</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323</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327</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330</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331</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332</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334</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336</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337</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338</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323</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327</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343</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331</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332</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334</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336</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338</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324</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326</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327</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328</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343</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331</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332</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334</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336</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338</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323</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327</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330</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331</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332</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334</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336</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337</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338</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323</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327</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343</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331</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332</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334</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336</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338</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323</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327</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343</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331</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332</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334</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336</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338</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323</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327</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343</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331</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332</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334</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336</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338</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323</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327</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343</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331</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332</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334</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336</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338</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326</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327</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331</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332</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334</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336</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338</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326</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327</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343</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331</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332</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334</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336</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338</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326</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327</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343</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331</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332</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334</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336</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338</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324</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326</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327</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343</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331</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332</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334</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336</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338</v>
      </c>
      <c r="G1780" s="26">
        <v>106262</v>
      </c>
      <c r="H1780" s="26">
        <v>92328</v>
      </c>
    </row>
    <row r="1781" spans="1:8">
      <c r="A1781" s="24">
        <v>255204</v>
      </c>
      <c r="B1781" s="25" t="s">
        <v>443</v>
      </c>
      <c r="C1781" s="39" t="str">
        <f t="shared" si="54"/>
        <v>205</v>
      </c>
      <c r="D1781" s="39" t="str">
        <f t="shared" si="55"/>
        <v>20502</v>
      </c>
      <c r="E1781" s="39">
        <f>IF(ISNA(VLOOKUP(F1781,'2021功能科目'!A:B,2,FALSE)),"",VLOOKUP(F1781,'2021功能科目'!A:B,2,FALSE))</f>
        <v>2050203</v>
      </c>
      <c r="F1781" s="25" t="s">
        <v>339</v>
      </c>
      <c r="G1781" s="26">
        <v>18918585.870000001</v>
      </c>
      <c r="H1781" s="26">
        <v>0</v>
      </c>
    </row>
    <row r="1782" spans="1:8">
      <c r="A1782" s="24">
        <v>255204</v>
      </c>
      <c r="B1782" s="25" t="s">
        <v>443</v>
      </c>
      <c r="C1782" s="39" t="str">
        <f t="shared" si="54"/>
        <v>205</v>
      </c>
      <c r="D1782" s="39" t="str">
        <f t="shared" si="55"/>
        <v>20508</v>
      </c>
      <c r="E1782" s="39">
        <f>IF(ISNA(VLOOKUP(F1782,'2021功能科目'!A:B,2,FALSE)),"",VLOOKUP(F1782,'2021功能科目'!A:B,2,FALSE))</f>
        <v>2050803</v>
      </c>
      <c r="F1782" s="25" t="s">
        <v>327</v>
      </c>
      <c r="G1782" s="26">
        <v>6667</v>
      </c>
      <c r="H1782" s="26">
        <v>0</v>
      </c>
    </row>
    <row r="1783" spans="1:8">
      <c r="A1783" s="24">
        <v>255204</v>
      </c>
      <c r="B1783" s="25" t="s">
        <v>443</v>
      </c>
      <c r="C1783" s="39" t="str">
        <f t="shared" si="54"/>
        <v>208</v>
      </c>
      <c r="D1783" s="39" t="str">
        <f t="shared" si="55"/>
        <v>20805</v>
      </c>
      <c r="E1783" s="39">
        <f>IF(ISNA(VLOOKUP(F1783,'2021功能科目'!A:B,2,FALSE)),"",VLOOKUP(F1783,'2021功能科目'!A:B,2,FALSE))</f>
        <v>2080505</v>
      </c>
      <c r="F1783" s="25" t="s">
        <v>331</v>
      </c>
      <c r="G1783" s="26">
        <v>206471.84</v>
      </c>
      <c r="H1783" s="26">
        <v>0</v>
      </c>
    </row>
    <row r="1784" spans="1:8">
      <c r="A1784" s="24">
        <v>255204</v>
      </c>
      <c r="B1784" s="25" t="s">
        <v>443</v>
      </c>
      <c r="C1784" s="39" t="str">
        <f t="shared" si="54"/>
        <v>208</v>
      </c>
      <c r="D1784" s="39" t="str">
        <f t="shared" si="55"/>
        <v>20805</v>
      </c>
      <c r="E1784" s="39">
        <f>IF(ISNA(VLOOKUP(F1784,'2021功能科目'!A:B,2,FALSE)),"",VLOOKUP(F1784,'2021功能科目'!A:B,2,FALSE))</f>
        <v>2080506</v>
      </c>
      <c r="F1784" s="25" t="s">
        <v>332</v>
      </c>
      <c r="G1784" s="26">
        <v>103235.92</v>
      </c>
      <c r="H1784" s="26">
        <v>0</v>
      </c>
    </row>
    <row r="1785" spans="1:8">
      <c r="A1785" s="24">
        <v>255204</v>
      </c>
      <c r="B1785" s="25" t="s">
        <v>443</v>
      </c>
      <c r="C1785" s="39" t="str">
        <f t="shared" si="54"/>
        <v>210</v>
      </c>
      <c r="D1785" s="39" t="str">
        <f t="shared" si="55"/>
        <v>21011</v>
      </c>
      <c r="E1785" s="39">
        <f>IF(ISNA(VLOOKUP(F1785,'2021功能科目'!A:B,2,FALSE)),"",VLOOKUP(F1785,'2021功能科目'!A:B,2,FALSE))</f>
        <v>2101102</v>
      </c>
      <c r="F1785" s="25" t="s">
        <v>334</v>
      </c>
      <c r="G1785" s="26">
        <v>180051.17</v>
      </c>
      <c r="H1785" s="26">
        <v>0</v>
      </c>
    </row>
    <row r="1786" spans="1:8">
      <c r="A1786" s="24">
        <v>255204</v>
      </c>
      <c r="B1786" s="25" t="s">
        <v>443</v>
      </c>
      <c r="C1786" s="39" t="str">
        <f t="shared" si="54"/>
        <v>221</v>
      </c>
      <c r="D1786" s="39" t="str">
        <f t="shared" si="55"/>
        <v>22102</v>
      </c>
      <c r="E1786" s="39">
        <f>IF(ISNA(VLOOKUP(F1786,'2021功能科目'!A:B,2,FALSE)),"",VLOOKUP(F1786,'2021功能科目'!A:B,2,FALSE))</f>
        <v>2210201</v>
      </c>
      <c r="F1786" s="25" t="s">
        <v>336</v>
      </c>
      <c r="G1786" s="26">
        <v>210697</v>
      </c>
      <c r="H1786" s="26">
        <v>0</v>
      </c>
    </row>
    <row r="1787" spans="1:8">
      <c r="A1787" s="24">
        <v>255205</v>
      </c>
      <c r="B1787" s="25" t="s">
        <v>444</v>
      </c>
      <c r="C1787" s="39" t="str">
        <f t="shared" si="54"/>
        <v>205</v>
      </c>
      <c r="D1787" s="39" t="str">
        <f t="shared" si="55"/>
        <v>20502</v>
      </c>
      <c r="E1787" s="39">
        <f>IF(ISNA(VLOOKUP(F1787,'2021功能科目'!A:B,2,FALSE)),"",VLOOKUP(F1787,'2021功能科目'!A:B,2,FALSE))</f>
        <v>2050202</v>
      </c>
      <c r="F1787" s="25" t="s">
        <v>324</v>
      </c>
      <c r="G1787" s="26">
        <v>2769500.69</v>
      </c>
      <c r="H1787" s="26">
        <v>0</v>
      </c>
    </row>
    <row r="1788" spans="1:8">
      <c r="A1788" s="24">
        <v>255205</v>
      </c>
      <c r="B1788" s="25" t="s">
        <v>444</v>
      </c>
      <c r="C1788" s="39" t="str">
        <f t="shared" si="54"/>
        <v>205</v>
      </c>
      <c r="D1788" s="39" t="str">
        <f t="shared" si="55"/>
        <v>20508</v>
      </c>
      <c r="E1788" s="39">
        <f>IF(ISNA(VLOOKUP(F1788,'2021功能科目'!A:B,2,FALSE)),"",VLOOKUP(F1788,'2021功能科目'!A:B,2,FALSE))</f>
        <v>2050803</v>
      </c>
      <c r="F1788" s="25" t="s">
        <v>327</v>
      </c>
      <c r="G1788" s="26">
        <v>5300</v>
      </c>
      <c r="H1788" s="26">
        <v>0</v>
      </c>
    </row>
    <row r="1789" spans="1:8">
      <c r="A1789" s="24">
        <v>255205</v>
      </c>
      <c r="B1789" s="25" t="s">
        <v>444</v>
      </c>
      <c r="C1789" s="39" t="str">
        <f t="shared" si="54"/>
        <v>208</v>
      </c>
      <c r="D1789" s="39" t="str">
        <f t="shared" si="55"/>
        <v>20805</v>
      </c>
      <c r="E1789" s="39">
        <f>IF(ISNA(VLOOKUP(F1789,'2021功能科目'!A:B,2,FALSE)),"",VLOOKUP(F1789,'2021功能科目'!A:B,2,FALSE))</f>
        <v>2080505</v>
      </c>
      <c r="F1789" s="25" t="s">
        <v>331</v>
      </c>
      <c r="G1789" s="26">
        <v>258556.79999999999</v>
      </c>
      <c r="H1789" s="26">
        <v>0</v>
      </c>
    </row>
    <row r="1790" spans="1:8">
      <c r="A1790" s="24">
        <v>255205</v>
      </c>
      <c r="B1790" s="25" t="s">
        <v>444</v>
      </c>
      <c r="C1790" s="39" t="str">
        <f t="shared" si="54"/>
        <v>208</v>
      </c>
      <c r="D1790" s="39" t="str">
        <f t="shared" si="55"/>
        <v>20805</v>
      </c>
      <c r="E1790" s="39">
        <f>IF(ISNA(VLOOKUP(F1790,'2021功能科目'!A:B,2,FALSE)),"",VLOOKUP(F1790,'2021功能科目'!A:B,2,FALSE))</f>
        <v>2080506</v>
      </c>
      <c r="F1790" s="25" t="s">
        <v>332</v>
      </c>
      <c r="G1790" s="26">
        <v>103422.72</v>
      </c>
      <c r="H1790" s="26">
        <v>0</v>
      </c>
    </row>
    <row r="1791" spans="1:8">
      <c r="A1791" s="24">
        <v>255205</v>
      </c>
      <c r="B1791" s="25" t="s">
        <v>444</v>
      </c>
      <c r="C1791" s="39" t="str">
        <f t="shared" si="54"/>
        <v>210</v>
      </c>
      <c r="D1791" s="39" t="str">
        <f t="shared" si="55"/>
        <v>21011</v>
      </c>
      <c r="E1791" s="39">
        <f>IF(ISNA(VLOOKUP(F1791,'2021功能科目'!A:B,2,FALSE)),"",VLOOKUP(F1791,'2021功能科目'!A:B,2,FALSE))</f>
        <v>2101102</v>
      </c>
      <c r="F1791" s="25" t="s">
        <v>334</v>
      </c>
      <c r="G1791" s="26">
        <v>168061.92</v>
      </c>
      <c r="H1791" s="26">
        <v>0</v>
      </c>
    </row>
    <row r="1792" spans="1:8">
      <c r="A1792" s="24">
        <v>255205</v>
      </c>
      <c r="B1792" s="25" t="s">
        <v>444</v>
      </c>
      <c r="C1792" s="39" t="str">
        <f t="shared" si="54"/>
        <v>221</v>
      </c>
      <c r="D1792" s="39" t="str">
        <f t="shared" si="55"/>
        <v>22102</v>
      </c>
      <c r="E1792" s="39">
        <f>IF(ISNA(VLOOKUP(F1792,'2021功能科目'!A:B,2,FALSE)),"",VLOOKUP(F1792,'2021功能科目'!A:B,2,FALSE))</f>
        <v>2210201</v>
      </c>
      <c r="F1792" s="25" t="s">
        <v>336</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323</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324</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339</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325</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326</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340</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350</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351</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344</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346</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345</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348</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327</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328</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329</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342</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343</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448</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347</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330</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331</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332</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333</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334</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335</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352</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336</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337</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338</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392</v>
      </c>
      <c r="B1" s="52" t="s">
        <v>393</v>
      </c>
    </row>
    <row r="2" spans="1:6">
      <c r="A2" s="71" t="s">
        <v>394</v>
      </c>
      <c r="B2" s="71">
        <v>2050101</v>
      </c>
      <c r="C2" s="71"/>
      <c r="D2" s="71"/>
      <c r="E2" s="71"/>
      <c r="F2" s="71">
        <v>205</v>
      </c>
    </row>
    <row r="3" spans="1:6">
      <c r="A3" s="71" t="s">
        <v>395</v>
      </c>
      <c r="B3" s="71">
        <v>2050102</v>
      </c>
      <c r="C3" s="71"/>
      <c r="D3" s="71"/>
      <c r="E3" s="71"/>
      <c r="F3" s="71">
        <v>206</v>
      </c>
    </row>
    <row r="4" spans="1:6">
      <c r="A4" s="71" t="s">
        <v>323</v>
      </c>
      <c r="B4" s="71">
        <v>2050201</v>
      </c>
      <c r="C4" s="71"/>
      <c r="D4" s="71"/>
      <c r="E4" s="71"/>
      <c r="F4" s="71">
        <v>208</v>
      </c>
    </row>
    <row r="5" spans="1:6">
      <c r="A5" s="71" t="s">
        <v>324</v>
      </c>
      <c r="B5" s="71">
        <v>2050202</v>
      </c>
      <c r="C5" s="71"/>
      <c r="D5" s="71"/>
      <c r="E5" s="71"/>
      <c r="F5" s="71">
        <v>210</v>
      </c>
    </row>
    <row r="6" spans="1:6">
      <c r="A6" s="71" t="s">
        <v>339</v>
      </c>
      <c r="B6" s="71">
        <v>2050203</v>
      </c>
      <c r="C6" s="71"/>
      <c r="D6" s="71"/>
      <c r="E6" s="71"/>
      <c r="F6" s="71">
        <v>212</v>
      </c>
    </row>
    <row r="7" spans="1:6">
      <c r="A7" s="71" t="s">
        <v>325</v>
      </c>
      <c r="B7" s="71">
        <v>2050204</v>
      </c>
      <c r="C7" s="71"/>
      <c r="D7" s="71"/>
      <c r="E7" s="71"/>
      <c r="F7" s="71">
        <v>221</v>
      </c>
    </row>
    <row r="8" spans="1:6">
      <c r="A8" s="71" t="s">
        <v>326</v>
      </c>
      <c r="B8" s="71">
        <v>2050299</v>
      </c>
      <c r="C8" s="71"/>
      <c r="D8" s="71"/>
      <c r="E8" s="71"/>
      <c r="F8" s="71">
        <v>229</v>
      </c>
    </row>
    <row r="9" spans="1:6">
      <c r="A9" s="71" t="s">
        <v>340</v>
      </c>
      <c r="B9" s="71">
        <v>2050302</v>
      </c>
      <c r="C9" s="71"/>
      <c r="D9" s="71"/>
      <c r="E9" s="71"/>
      <c r="F9" s="71">
        <v>234</v>
      </c>
    </row>
    <row r="10" spans="1:6">
      <c r="A10" s="71" t="s">
        <v>396</v>
      </c>
      <c r="B10" s="71">
        <v>2050304</v>
      </c>
      <c r="C10" s="71"/>
      <c r="D10" s="71"/>
      <c r="E10" s="71"/>
      <c r="F10" s="71">
        <v>213</v>
      </c>
    </row>
    <row r="11" spans="1:6">
      <c r="A11" s="71" t="s">
        <v>341</v>
      </c>
      <c r="B11" s="71">
        <v>2050399</v>
      </c>
      <c r="C11" s="71"/>
      <c r="D11" s="71"/>
      <c r="E11" s="71"/>
      <c r="F11" s="71"/>
    </row>
    <row r="12" spans="1:6">
      <c r="A12" s="71" t="s">
        <v>350</v>
      </c>
      <c r="B12" s="71">
        <v>2050403</v>
      </c>
      <c r="C12" s="71"/>
      <c r="D12" s="71"/>
      <c r="E12" s="71"/>
      <c r="F12" s="71"/>
    </row>
    <row r="13" spans="1:6">
      <c r="A13" s="71" t="s">
        <v>351</v>
      </c>
      <c r="B13" s="71">
        <v>2050404</v>
      </c>
      <c r="C13" s="71"/>
      <c r="D13" s="71"/>
      <c r="E13" s="71"/>
      <c r="F13" s="71"/>
    </row>
    <row r="14" spans="1:6">
      <c r="A14" s="71" t="s">
        <v>344</v>
      </c>
      <c r="B14" s="71">
        <v>2050701</v>
      </c>
      <c r="C14" s="71"/>
      <c r="D14" s="71"/>
      <c r="E14" s="71"/>
      <c r="F14" s="71"/>
    </row>
    <row r="15" spans="1:6">
      <c r="A15" s="71" t="s">
        <v>346</v>
      </c>
      <c r="B15" s="71">
        <v>2050702</v>
      </c>
      <c r="C15" s="71"/>
      <c r="D15" s="71"/>
      <c r="E15" s="71"/>
      <c r="F15" s="71"/>
    </row>
    <row r="16" spans="1:6">
      <c r="A16" s="71" t="s">
        <v>345</v>
      </c>
      <c r="B16" s="71">
        <v>2050799</v>
      </c>
      <c r="C16" s="71"/>
      <c r="D16" s="71"/>
      <c r="E16" s="71"/>
      <c r="F16" s="71"/>
    </row>
    <row r="17" spans="1:6">
      <c r="A17" s="71" t="s">
        <v>348</v>
      </c>
      <c r="B17" s="71">
        <v>2050801</v>
      </c>
      <c r="C17" s="71"/>
      <c r="D17" s="71"/>
      <c r="E17" s="71"/>
      <c r="F17" s="71"/>
    </row>
    <row r="18" spans="1:6">
      <c r="A18" s="71" t="s">
        <v>327</v>
      </c>
      <c r="B18" s="71">
        <v>2050803</v>
      </c>
      <c r="C18" s="71"/>
      <c r="D18" s="71"/>
      <c r="E18" s="71"/>
      <c r="F18" s="71"/>
    </row>
    <row r="19" spans="1:6">
      <c r="A19" s="71" t="s">
        <v>328</v>
      </c>
      <c r="B19" s="71">
        <v>2050903</v>
      </c>
      <c r="C19" s="71"/>
      <c r="D19" s="71"/>
      <c r="E19" s="71"/>
      <c r="F19" s="71"/>
    </row>
    <row r="20" spans="1:6">
      <c r="A20" s="71" t="s">
        <v>329</v>
      </c>
      <c r="B20" s="71">
        <v>2050904</v>
      </c>
      <c r="C20" s="71"/>
      <c r="D20" s="71"/>
      <c r="E20" s="71"/>
      <c r="F20" s="71"/>
    </row>
    <row r="21" spans="1:6">
      <c r="A21" s="71" t="s">
        <v>342</v>
      </c>
      <c r="B21" s="71">
        <v>2050905</v>
      </c>
      <c r="C21" s="71"/>
      <c r="D21" s="71"/>
      <c r="E21" s="71"/>
      <c r="F21" s="71"/>
    </row>
    <row r="22" spans="1:6">
      <c r="A22" s="71" t="s">
        <v>343</v>
      </c>
      <c r="B22" s="71">
        <v>2050999</v>
      </c>
      <c r="C22" s="71"/>
      <c r="D22" s="71"/>
      <c r="E22" s="71"/>
      <c r="F22" s="71"/>
    </row>
    <row r="23" spans="1:6">
      <c r="A23" s="71" t="s">
        <v>448</v>
      </c>
      <c r="B23" s="71">
        <v>2060499</v>
      </c>
      <c r="C23" s="71" t="s">
        <v>449</v>
      </c>
      <c r="D23" s="71"/>
      <c r="E23" s="71"/>
      <c r="F23" s="71"/>
    </row>
    <row r="24" spans="1:6">
      <c r="A24" s="71" t="s">
        <v>347</v>
      </c>
      <c r="B24" s="71">
        <v>2060702</v>
      </c>
      <c r="C24" s="71"/>
      <c r="D24" s="71"/>
      <c r="E24" s="71"/>
      <c r="F24" s="71"/>
    </row>
    <row r="25" spans="1:6">
      <c r="A25" s="71" t="s">
        <v>397</v>
      </c>
      <c r="B25" s="71">
        <v>2080501</v>
      </c>
      <c r="C25" s="71"/>
      <c r="D25" s="71"/>
      <c r="E25" s="71"/>
      <c r="F25" s="71"/>
    </row>
    <row r="26" spans="1:6">
      <c r="A26" s="71" t="s">
        <v>330</v>
      </c>
      <c r="B26" s="71">
        <v>2080502</v>
      </c>
      <c r="C26" s="71"/>
      <c r="D26" s="71"/>
      <c r="E26" s="71"/>
      <c r="F26" s="71"/>
    </row>
    <row r="27" spans="1:6">
      <c r="A27" s="71" t="s">
        <v>331</v>
      </c>
      <c r="B27" s="71">
        <v>2080505</v>
      </c>
      <c r="C27" s="71"/>
      <c r="D27" s="71"/>
      <c r="E27" s="71"/>
      <c r="F27" s="71"/>
    </row>
    <row r="28" spans="1:6">
      <c r="A28" s="71" t="s">
        <v>332</v>
      </c>
      <c r="B28" s="71">
        <v>2080506</v>
      </c>
      <c r="C28" s="71"/>
      <c r="D28" s="71"/>
      <c r="E28" s="71"/>
      <c r="F28" s="71"/>
    </row>
    <row r="29" spans="1:6">
      <c r="A29" s="71" t="s">
        <v>333</v>
      </c>
      <c r="B29" s="71">
        <v>2080801</v>
      </c>
      <c r="C29" s="71"/>
      <c r="D29" s="71"/>
      <c r="E29" s="71"/>
      <c r="F29" s="71"/>
    </row>
    <row r="30" spans="1:6">
      <c r="A30" s="71" t="s">
        <v>398</v>
      </c>
      <c r="B30" s="71">
        <v>2101101</v>
      </c>
      <c r="C30" s="71"/>
      <c r="D30" s="71"/>
      <c r="E30" s="71"/>
      <c r="F30" s="71"/>
    </row>
    <row r="31" spans="1:6">
      <c r="A31" s="71" t="s">
        <v>334</v>
      </c>
      <c r="B31" s="71">
        <v>2101102</v>
      </c>
      <c r="C31" s="71"/>
      <c r="D31" s="71"/>
      <c r="E31" s="71"/>
      <c r="F31" s="71"/>
    </row>
    <row r="32" spans="1:6">
      <c r="A32" s="71" t="s">
        <v>335</v>
      </c>
      <c r="B32" s="71">
        <v>2101199</v>
      </c>
      <c r="C32" s="71"/>
      <c r="D32" s="71"/>
      <c r="E32" s="71"/>
      <c r="F32" s="71"/>
    </row>
    <row r="33" spans="1:6">
      <c r="A33" s="71" t="s">
        <v>352</v>
      </c>
      <c r="B33" s="71">
        <v>2120399</v>
      </c>
      <c r="C33" s="71"/>
      <c r="D33" s="71"/>
      <c r="E33" s="71"/>
      <c r="F33" s="71"/>
    </row>
    <row r="34" spans="1:6">
      <c r="A34" s="71" t="s">
        <v>450</v>
      </c>
      <c r="B34" s="71">
        <v>2120801</v>
      </c>
      <c r="C34" s="71" t="s">
        <v>449</v>
      </c>
      <c r="D34" s="71" t="s">
        <v>451</v>
      </c>
      <c r="E34" s="71"/>
      <c r="F34" s="71"/>
    </row>
    <row r="35" spans="1:6">
      <c r="A35" s="71" t="s">
        <v>349</v>
      </c>
      <c r="B35" s="71">
        <v>2130506</v>
      </c>
      <c r="C35" s="71">
        <v>2020</v>
      </c>
      <c r="D35" s="71"/>
      <c r="E35" s="71"/>
      <c r="F35" s="71"/>
    </row>
    <row r="36" spans="1:6">
      <c r="A36" s="71" t="s">
        <v>336</v>
      </c>
      <c r="B36" s="71">
        <v>2210201</v>
      </c>
      <c r="C36" s="71"/>
      <c r="D36" s="71"/>
      <c r="E36" s="71"/>
      <c r="F36" s="71"/>
    </row>
    <row r="37" spans="1:6">
      <c r="A37" s="71" t="s">
        <v>337</v>
      </c>
      <c r="B37" s="71">
        <v>2210202</v>
      </c>
      <c r="C37" s="71"/>
      <c r="D37" s="71"/>
      <c r="E37" s="71"/>
      <c r="F37" s="71"/>
    </row>
    <row r="38" spans="1:6">
      <c r="A38" s="71" t="s">
        <v>338</v>
      </c>
      <c r="B38" s="71">
        <v>2210203</v>
      </c>
      <c r="C38" s="71"/>
      <c r="D38" s="71"/>
      <c r="E38" s="71"/>
      <c r="F38" s="71"/>
    </row>
    <row r="39" spans="1:6">
      <c r="A39" s="71" t="s">
        <v>399</v>
      </c>
      <c r="B39" s="71">
        <v>2296003</v>
      </c>
      <c r="C39" s="71"/>
      <c r="D39" s="71"/>
      <c r="E39" s="71"/>
      <c r="F39" s="71"/>
    </row>
    <row r="40" spans="1:6">
      <c r="A40" s="71" t="s">
        <v>400</v>
      </c>
      <c r="B40" s="71">
        <v>2340201</v>
      </c>
      <c r="C40" s="71"/>
      <c r="D40" s="71"/>
      <c r="E40" s="71"/>
      <c r="F40" s="71"/>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7" t="s">
        <v>173</v>
      </c>
      <c r="B1" s="77"/>
      <c r="C1" s="77"/>
      <c r="D1" s="77"/>
      <c r="E1" s="77"/>
      <c r="F1" s="77"/>
      <c r="G1" s="77"/>
      <c r="H1" s="77"/>
      <c r="I1" s="77"/>
      <c r="J1" s="77"/>
      <c r="K1" s="77"/>
      <c r="L1" s="77"/>
      <c r="M1" s="77"/>
      <c r="N1" s="77"/>
    </row>
    <row r="2" spans="1:14" ht="30" customHeight="1">
      <c r="C2" s="4" t="s">
        <v>405</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406</v>
      </c>
    </row>
    <row r="16" spans="1:14" ht="30" customHeight="1">
      <c r="C16" s="4" t="s">
        <v>407</v>
      </c>
    </row>
    <row r="17" spans="3:3" ht="30" customHeight="1">
      <c r="C17" s="4" t="s">
        <v>408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78" t="s">
        <v>409</v>
      </c>
      <c r="B10" s="78"/>
      <c r="C10" s="78"/>
      <c r="D10" s="78"/>
      <c r="E10" s="78"/>
      <c r="F10" s="78"/>
      <c r="G10" s="78"/>
      <c r="H10" s="78"/>
      <c r="I10" s="78"/>
      <c r="J10" s="78"/>
      <c r="K10" s="78"/>
      <c r="L10" s="78"/>
      <c r="M10" s="78"/>
      <c r="N10" s="78"/>
    </row>
    <row r="11" spans="1:14" ht="78" customHeight="1">
      <c r="A11" s="79" t="s">
        <v>456</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1"/>
  <sheetViews>
    <sheetView zoomScaleNormal="100" workbookViewId="0">
      <selection activeCell="B32" sqref="B32:L32"/>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406</v>
      </c>
      <c r="B1" s="78"/>
      <c r="C1" s="78"/>
      <c r="D1" s="78"/>
      <c r="E1" s="78"/>
      <c r="F1" s="78"/>
      <c r="G1" s="78"/>
      <c r="H1" s="78"/>
      <c r="I1" s="78"/>
      <c r="J1" s="78"/>
      <c r="K1" s="78"/>
      <c r="L1" s="78"/>
      <c r="M1" s="78"/>
      <c r="N1" s="56"/>
    </row>
    <row r="2" spans="1:14" ht="18" customHeight="1">
      <c r="A2" s="6" t="s">
        <v>174</v>
      </c>
    </row>
    <row r="3" spans="1:14" ht="18" customHeight="1">
      <c r="A3" s="7" t="s">
        <v>175</v>
      </c>
    </row>
    <row r="4" spans="1:14" ht="135" customHeight="1">
      <c r="A4" s="81" t="s">
        <v>461</v>
      </c>
      <c r="B4" s="81"/>
      <c r="C4" s="81"/>
      <c r="D4" s="81"/>
      <c r="E4" s="81"/>
      <c r="F4" s="81"/>
      <c r="G4" s="81"/>
      <c r="H4" s="81"/>
      <c r="I4" s="81"/>
      <c r="J4" s="81"/>
      <c r="K4" s="81"/>
      <c r="L4" s="81"/>
      <c r="M4" s="81"/>
      <c r="N4" s="19"/>
    </row>
    <row r="5" spans="1:14" ht="18" customHeight="1">
      <c r="A5" s="7" t="s">
        <v>176</v>
      </c>
    </row>
    <row r="6" spans="1:14" ht="18" customHeight="1">
      <c r="A6" s="85" t="s">
        <v>239</v>
      </c>
      <c r="B6" s="85"/>
      <c r="C6" s="10">
        <v>316</v>
      </c>
      <c r="D6" s="10" t="s">
        <v>241</v>
      </c>
      <c r="E6" s="8">
        <f>_xlfn.IFNA(VLOOKUP(封面!B1,'2021决算导出'!A:C,3,FALSE),"")</f>
        <v>300</v>
      </c>
      <c r="F6" s="10" t="s">
        <v>242</v>
      </c>
      <c r="G6" s="10"/>
      <c r="H6" s="10"/>
      <c r="I6" s="10"/>
      <c r="J6" s="10"/>
      <c r="K6" s="10"/>
      <c r="L6" s="10"/>
      <c r="M6" s="10"/>
      <c r="N6" s="10"/>
    </row>
    <row r="7" spans="1:14" ht="18" customHeight="1">
      <c r="A7" s="6" t="s">
        <v>177</v>
      </c>
    </row>
    <row r="8" spans="1:14" ht="18" customHeight="1">
      <c r="A8" s="85" t="s">
        <v>410</v>
      </c>
      <c r="B8" s="85"/>
      <c r="C8" s="85"/>
      <c r="D8" s="14">
        <f>_xlfn.IFNA(VLOOKUP(封面!B1,'2021决算导出'!A:D,4,FALSE),"")</f>
        <v>141967763.47999999</v>
      </c>
      <c r="E8" s="7" t="s">
        <v>179</v>
      </c>
      <c r="F8" s="20" t="s">
        <v>243</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13482563.51000002</v>
      </c>
      <c r="I8" s="16" t="s">
        <v>179</v>
      </c>
      <c r="J8" s="30" t="str">
        <f>IF(ISNA(VLOOKUP(封面!B1,'2020决算导出'!A:D,4,FALSE)),"",IF(D8-VLOOKUP(封面!B1,'2020决算导出'!A:D,4,FALSE)&gt;0,"增长","下降"))</f>
        <v>下降</v>
      </c>
      <c r="K8" s="31">
        <f>IF(ISNA(VLOOKUP(封面!B1,'2020决算导出'!A:D,4,FALSE)),"",H8/VLOOKUP(封面!B1,'2020决算导出'!A:D,4,FALSE))</f>
        <v>8.6732294303037027E-2</v>
      </c>
      <c r="L8" s="7" t="s">
        <v>307</v>
      </c>
    </row>
    <row r="9" spans="1:14" ht="18" customHeight="1">
      <c r="A9" s="7" t="s">
        <v>180</v>
      </c>
      <c r="G9" s="32"/>
      <c r="H9" s="32"/>
      <c r="I9" s="32"/>
      <c r="J9" s="32"/>
      <c r="K9" s="32"/>
    </row>
    <row r="10" spans="1:14" ht="18" customHeight="1">
      <c r="A10" s="85" t="s">
        <v>411</v>
      </c>
      <c r="B10" s="85"/>
      <c r="C10" s="85"/>
      <c r="D10" s="14">
        <f>_xlfn.IFNA(VLOOKUP(封面!B1,'2021决算导出'!A:E,5,FALSE),"")</f>
        <v>141845849.68000001</v>
      </c>
      <c r="E10" s="7" t="s">
        <v>179</v>
      </c>
      <c r="F10" s="20" t="s">
        <v>243</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12231703.449999988</v>
      </c>
      <c r="I10" s="16" t="s">
        <v>179</v>
      </c>
      <c r="J10" s="30" t="str">
        <f>IF(ISNA(VLOOKUP(封面!B1,'2020决算导出'!A:E,5,FALSE)),"",IF(D10-VLOOKUP(封面!B1,'2020决算导出'!A:E,5,FALSE)&gt;0,"增长","下降"))</f>
        <v>下降</v>
      </c>
      <c r="K10" s="31">
        <f>IF(ISNA(VLOOKUP(封面!B1,'2020决算导出'!A:E,5,FALSE)),"",H10/VLOOKUP(封面!B1,'2020决算导出'!A:E,5,FALSE))</f>
        <v>7.9386667308246534E-2</v>
      </c>
      <c r="L10" s="7" t="s">
        <v>308</v>
      </c>
    </row>
    <row r="11" spans="1:14" ht="18" customHeight="1">
      <c r="A11" s="85" t="s">
        <v>181</v>
      </c>
      <c r="B11" s="85"/>
      <c r="C11" s="85"/>
      <c r="D11" s="14">
        <f>_xlfn.IFNA(VLOOKUP(封面!B1,'2021决算导出'!A:F,6,FALSE),"")</f>
        <v>140626649.68000001</v>
      </c>
      <c r="E11" s="7" t="s">
        <v>179</v>
      </c>
      <c r="F11" s="85" t="s">
        <v>182</v>
      </c>
      <c r="G11" s="85"/>
      <c r="H11" s="29">
        <f>D11/$D$10</f>
        <v>0.99140475380315685</v>
      </c>
      <c r="I11" s="7" t="s">
        <v>309</v>
      </c>
    </row>
    <row r="12" spans="1:14" ht="18" customHeight="1">
      <c r="A12" s="85" t="s">
        <v>184</v>
      </c>
      <c r="B12" s="85"/>
      <c r="C12" s="85"/>
      <c r="D12" s="14">
        <f>_xlfn.IFNA(VLOOKUP(封面!B1,'2021决算导出'!A:G,7,FALSE),"")</f>
        <v>1219200</v>
      </c>
      <c r="E12" s="7" t="s">
        <v>179</v>
      </c>
      <c r="F12" s="85" t="s">
        <v>182</v>
      </c>
      <c r="G12" s="85"/>
      <c r="H12" s="29">
        <f t="shared" ref="H12" si="0">D12/$D$10</f>
        <v>8.5952461968431138E-3</v>
      </c>
      <c r="I12" s="7" t="s">
        <v>309</v>
      </c>
    </row>
    <row r="13" spans="1:14" ht="18" customHeight="1">
      <c r="A13" s="7" t="s">
        <v>185</v>
      </c>
    </row>
    <row r="14" spans="1:14" ht="18" customHeight="1">
      <c r="A14" s="85" t="s">
        <v>412</v>
      </c>
      <c r="B14" s="85"/>
      <c r="C14" s="85"/>
      <c r="D14" s="14">
        <f>_xlfn.IFNA(VLOOKUP(封面!B1,'2021决算导出'!A:K,11,FALSE),"")</f>
        <v>141680440.11000001</v>
      </c>
      <c r="E14" s="7" t="s">
        <v>179</v>
      </c>
      <c r="F14" s="20" t="s">
        <v>243</v>
      </c>
      <c r="G14" s="30" t="str">
        <f>IF(ISNA(VLOOKUP(封面!B1,'2020决算导出'!A:K,11,FALSE)),"",IF(D14-VLOOKUP(封面!B1,'2020决算导出'!A:K,11,FALSE)&gt;0,"增加","减少"))</f>
        <v>减少</v>
      </c>
      <c r="H14" s="33">
        <f>IF(ISNA(VLOOKUP(封面!B1,'2020决算导出'!A:K,11,FALSE)),"",IF(D14-VLOOKUP(封面!B1,'2020决算导出'!A:K,11,FALSE)&gt;0,D14-VLOOKUP(封面!B1,'2020决算导出'!A:K,11,FALSE),VLOOKUP(封面!B1,'2020决算导出'!A:K,11,FALSE)-D14))</f>
        <v>13647973.069999993</v>
      </c>
      <c r="I14" s="7" t="s">
        <v>179</v>
      </c>
      <c r="J14" s="30" t="str">
        <f>IF(ISNA(VLOOKUP(封面!B1,'2020决算导出'!A:K,11,FALSE)),"",IF(D14-VLOOKUP(封面!B1,'2020决算导出'!A:K,11,FALSE)&gt;0,"增长","下降"))</f>
        <v>下降</v>
      </c>
      <c r="K14" s="31">
        <f>IF(ISNA(VLOOKUP(封面!B1,'2020决算导出'!A:K,11,FALSE)),"",H14/VLOOKUP(封面!B1,'2020决算导出'!A:K,11,FALSE))</f>
        <v>8.786527069058668E-2</v>
      </c>
      <c r="L14" s="7" t="s">
        <v>311</v>
      </c>
    </row>
    <row r="15" spans="1:14" ht="18" customHeight="1">
      <c r="A15" s="85" t="s">
        <v>186</v>
      </c>
      <c r="B15" s="85"/>
      <c r="C15" s="85"/>
      <c r="D15" s="14">
        <f>_xlfn.IFNA(VLOOKUP(封面!B1,'2021决算导出'!A:L,12,FALSE),"")</f>
        <v>126058973.52</v>
      </c>
      <c r="E15" s="7" t="s">
        <v>179</v>
      </c>
      <c r="F15" s="85" t="s">
        <v>187</v>
      </c>
      <c r="G15" s="85"/>
      <c r="H15" s="29">
        <f>D15/$D$14</f>
        <v>0.88974154387245274</v>
      </c>
      <c r="I15" s="7" t="s">
        <v>309</v>
      </c>
    </row>
    <row r="16" spans="1:14" ht="18" customHeight="1">
      <c r="A16" s="85" t="s">
        <v>188</v>
      </c>
      <c r="B16" s="85"/>
      <c r="C16" s="85"/>
      <c r="D16" s="14">
        <f>_xlfn.IFNA(VLOOKUP(封面!B1,'2021决算导出'!A:M,13,FALSE),"")</f>
        <v>15621466.59</v>
      </c>
      <c r="E16" s="7" t="s">
        <v>179</v>
      </c>
      <c r="F16" s="85" t="s">
        <v>187</v>
      </c>
      <c r="G16" s="85"/>
      <c r="H16" s="29">
        <f t="shared" ref="H16" si="1">D16/$D$14</f>
        <v>0.11025845612754709</v>
      </c>
      <c r="I16" s="7" t="s">
        <v>309</v>
      </c>
    </row>
    <row r="17" spans="1:13" ht="18" customHeight="1">
      <c r="A17" s="6" t="s">
        <v>189</v>
      </c>
    </row>
    <row r="18" spans="1:13" ht="18" customHeight="1">
      <c r="A18" s="85" t="s">
        <v>413</v>
      </c>
      <c r="B18" s="85"/>
      <c r="C18" s="85"/>
      <c r="D18" s="85"/>
      <c r="E18" s="80">
        <f>_xlfn.IFNA(VLOOKUP(封面!B1,'2021决算导出'!A:O,15,FALSE),"")</f>
        <v>140748563.47999999</v>
      </c>
      <c r="F18" s="80"/>
      <c r="G18" s="15" t="s">
        <v>243</v>
      </c>
      <c r="H18" s="30" t="str">
        <f>IF(ISNA(VLOOKUP(封面!B1,'2020决算导出'!A:O,15,FALSE)),"",IF(E18-VLOOKUP(封面!B1,'2020决算导出'!A:O,15,FALSE)&gt;0,"增加","减少"))</f>
        <v>减少</v>
      </c>
      <c r="I18" s="33">
        <f>IF(ISNA(VLOOKUP(封面!B1,'2020决算导出'!A:O,15,FALSE)),"",IF(E18-VLOOKUP(封面!B1,'2020决算导出'!A:O,15,FALSE)&gt;0,E18-VLOOKUP(封面!B1,'2020决算导出'!A:O,15,FALSE),VLOOKUP(封面!B1,'2020决算导出'!A:O,15,FALSE)-E18))</f>
        <v>13620513.51000002</v>
      </c>
      <c r="J18" s="7" t="s">
        <v>179</v>
      </c>
      <c r="K18" s="30" t="str">
        <f>IF(ISNA(VLOOKUP(封面!B1,'2020决算导出'!A:O,15,FALSE)),"",IF(E18-VLOOKUP(封面!B1,'2020决算导出'!A:O,15,FALSE)&gt;0,"增长","下降"))</f>
        <v>下降</v>
      </c>
      <c r="L18" s="31">
        <f>IF(ISNA(VLOOKUP(封面!B1,'2020决算导出'!A:O,15,FALSE)),"",I18/VLOOKUP(封面!B1,'2020决算导出'!A:O,15,FALSE))</f>
        <v>8.8233432340094606E-2</v>
      </c>
      <c r="M18" s="7" t="s">
        <v>307</v>
      </c>
    </row>
    <row r="19" spans="1:13" ht="105.75" customHeight="1">
      <c r="B19" s="87" t="s">
        <v>469</v>
      </c>
      <c r="C19" s="87"/>
      <c r="D19" s="87"/>
      <c r="E19" s="87"/>
      <c r="F19" s="87"/>
      <c r="G19" s="87"/>
      <c r="H19" s="87"/>
      <c r="I19" s="87"/>
      <c r="J19" s="87"/>
      <c r="K19" s="87"/>
      <c r="L19" s="87"/>
      <c r="M19" s="87"/>
    </row>
    <row r="20" spans="1:13" ht="18" customHeight="1">
      <c r="A20" s="6" t="s">
        <v>190</v>
      </c>
    </row>
    <row r="21" spans="1:13" ht="18" customHeight="1">
      <c r="A21" s="7" t="s">
        <v>191</v>
      </c>
    </row>
    <row r="22" spans="1:13" ht="18" customHeight="1">
      <c r="A22" s="85" t="s">
        <v>414</v>
      </c>
      <c r="B22" s="85"/>
      <c r="C22" s="85"/>
      <c r="D22" s="85"/>
      <c r="E22" s="85"/>
      <c r="F22" s="80">
        <f>_xlfn.IFNA(VLOOKUP(封面!B1,'2021决算导出'!A:P,16,FALSE),"")</f>
        <v>140461226.31</v>
      </c>
      <c r="G22" s="80"/>
      <c r="H22" s="7" t="s">
        <v>179</v>
      </c>
      <c r="I22" s="10" t="s">
        <v>192</v>
      </c>
      <c r="J22" s="10"/>
      <c r="K22" s="10"/>
      <c r="L22" s="10"/>
      <c r="M22" s="10"/>
    </row>
    <row r="23" spans="1:13" ht="18" customHeight="1">
      <c r="A23" s="85" t="s">
        <v>195</v>
      </c>
      <c r="B23" s="85"/>
      <c r="C23" s="85"/>
      <c r="D23" s="80">
        <f>_xlfn.IFNA(VLOOKUP(封面!B1,'2021决算导出'!A:Q,17,FALSE),"")</f>
        <v>94214365.700000003</v>
      </c>
      <c r="E23" s="80"/>
      <c r="F23" s="7" t="s">
        <v>179</v>
      </c>
      <c r="G23" s="83" t="s">
        <v>194</v>
      </c>
      <c r="H23" s="83"/>
      <c r="I23" s="29">
        <f>D23/$F$22</f>
        <v>0.67074998684738452</v>
      </c>
      <c r="J23" s="7" t="s">
        <v>309</v>
      </c>
      <c r="K23" s="9"/>
      <c r="L23" s="9"/>
      <c r="M23" s="9"/>
    </row>
    <row r="24" spans="1:13" ht="18" customHeight="1">
      <c r="A24" s="85" t="s">
        <v>193</v>
      </c>
      <c r="B24" s="85"/>
      <c r="C24" s="85"/>
      <c r="D24" s="80">
        <f>_xlfn.IFNA(VLOOKUP(封面!B1,'2021决算导出'!A:S,19,FALSE),"")</f>
        <v>21541703.239999998</v>
      </c>
      <c r="E24" s="80"/>
      <c r="F24" s="7" t="s">
        <v>179</v>
      </c>
      <c r="G24" s="83" t="s">
        <v>194</v>
      </c>
      <c r="H24" s="83"/>
      <c r="I24" s="29">
        <f t="shared" ref="I24:I26" si="2">D24/$F$22</f>
        <v>0.15336405502011738</v>
      </c>
      <c r="J24" s="7" t="s">
        <v>309</v>
      </c>
    </row>
    <row r="25" spans="1:13" ht="18" customHeight="1">
      <c r="A25" s="85" t="s">
        <v>196</v>
      </c>
      <c r="B25" s="85"/>
      <c r="C25" s="85"/>
      <c r="D25" s="80">
        <f>_xlfn.IFNA(VLOOKUP(封面!B1,'2021决算导出'!A:T,20,FALSE),"")</f>
        <v>8364064.3700000001</v>
      </c>
      <c r="E25" s="80"/>
      <c r="F25" s="7" t="s">
        <v>179</v>
      </c>
      <c r="G25" s="83" t="s">
        <v>194</v>
      </c>
      <c r="H25" s="83"/>
      <c r="I25" s="29">
        <f t="shared" si="2"/>
        <v>5.9547140443871584E-2</v>
      </c>
      <c r="J25" s="7" t="s">
        <v>309</v>
      </c>
    </row>
    <row r="26" spans="1:13" ht="18" customHeight="1">
      <c r="A26" s="85" t="s">
        <v>197</v>
      </c>
      <c r="B26" s="85"/>
      <c r="C26" s="85"/>
      <c r="D26" s="80">
        <f>_xlfn.IFNA(VLOOKUP(封面!B1,'2021决算导出'!A:V,22,FALSE),"")</f>
        <v>16341093</v>
      </c>
      <c r="E26" s="80"/>
      <c r="F26" s="7" t="s">
        <v>179</v>
      </c>
      <c r="G26" s="83" t="s">
        <v>194</v>
      </c>
      <c r="H26" s="83"/>
      <c r="I26" s="29">
        <f t="shared" si="2"/>
        <v>0.11633881768862651</v>
      </c>
      <c r="J26" s="7" t="s">
        <v>309</v>
      </c>
    </row>
    <row r="27" spans="1:13" ht="18" customHeight="1">
      <c r="A27" s="7" t="s">
        <v>198</v>
      </c>
    </row>
    <row r="28" spans="1:13" ht="18" customHeight="1">
      <c r="A28" s="82" t="s">
        <v>415</v>
      </c>
      <c r="B28" s="82"/>
      <c r="C28" s="82"/>
      <c r="D28" s="82"/>
      <c r="E28" s="80">
        <f>_xlfn.IFNA(VLOOKUP(封面!B1,一般公共预算财政拨款支出决算具体情况!A:C,3,FALSE),"")</f>
        <v>94214365.700000003</v>
      </c>
      <c r="F28" s="80"/>
      <c r="G28" s="7" t="s">
        <v>179</v>
      </c>
      <c r="H28" s="83" t="s">
        <v>416</v>
      </c>
      <c r="I28" s="83"/>
      <c r="J28" s="80">
        <f>_xlfn.IFNA(VLOOKUP(封面!B1,一般公共预算财政拨款支出决算具体情况!A:D,4,FALSE),"")</f>
        <v>87626028.200000003</v>
      </c>
      <c r="K28" s="80"/>
      <c r="L28" s="11" t="s">
        <v>178</v>
      </c>
    </row>
    <row r="29" spans="1:13" ht="18" customHeight="1">
      <c r="B29" s="15" t="str">
        <f>IF(E28&gt;J28,"增加","减少")</f>
        <v>增加</v>
      </c>
      <c r="C29" s="80">
        <f>ABS(E28-J28)</f>
        <v>6588337.5</v>
      </c>
      <c r="D29" s="80"/>
      <c r="E29" s="7" t="s">
        <v>179</v>
      </c>
      <c r="F29" s="15" t="str">
        <f>IF(E28&gt;J28,"增长","下降")</f>
        <v>增长</v>
      </c>
      <c r="G29" s="34">
        <f>IF(J28=0,IF(E28&gt;0,1,""),C29/J28)</f>
        <v>7.5186992213804343E-2</v>
      </c>
      <c r="H29" s="7" t="s">
        <v>310</v>
      </c>
      <c r="I29" s="11" t="s">
        <v>199</v>
      </c>
    </row>
    <row r="30" spans="1:13" ht="18" customHeight="1">
      <c r="A30" s="85" t="s">
        <v>417</v>
      </c>
      <c r="B30" s="85"/>
      <c r="C30" s="85"/>
      <c r="D30" s="85"/>
      <c r="E30" s="80">
        <f>_xlfn.IFNA(VLOOKUP(封面!B1,一般公共预算财政拨款支出决算具体情况!A:E,5,FALSE),"")</f>
        <v>88826009.219999999</v>
      </c>
      <c r="F30" s="80"/>
      <c r="G30" s="7" t="s">
        <v>179</v>
      </c>
      <c r="H30" s="83" t="s">
        <v>416</v>
      </c>
      <c r="I30" s="83"/>
      <c r="J30" s="80">
        <f>_xlfn.IFNA(VLOOKUP(封面!B1,一般公共预算财政拨款支出决算具体情况!A:F,6,FALSE),"")</f>
        <v>82070801.200000003</v>
      </c>
      <c r="K30" s="80"/>
      <c r="L30" s="11" t="s">
        <v>178</v>
      </c>
    </row>
    <row r="31" spans="1:13" ht="18" customHeight="1">
      <c r="A31" s="15"/>
      <c r="B31" s="15" t="str">
        <f>IF(E30&gt;J30,"增加","减少")</f>
        <v>增加</v>
      </c>
      <c r="C31" s="80">
        <f>ABS(E30-J30)</f>
        <v>6755208.0199999958</v>
      </c>
      <c r="D31" s="80"/>
      <c r="E31" s="7" t="s">
        <v>179</v>
      </c>
      <c r="F31" s="15" t="str">
        <f>IF(E30&gt;J30,"增长","下降")</f>
        <v>增长</v>
      </c>
      <c r="G31" s="34">
        <f>IF(J30=0,IF(E30&gt;0,1,""),C31/J30)</f>
        <v>8.2309517163577969E-2</v>
      </c>
      <c r="H31" s="7" t="s">
        <v>310</v>
      </c>
    </row>
    <row r="32" spans="1:13" ht="68.25" customHeight="1">
      <c r="B32" s="81" t="s">
        <v>470</v>
      </c>
      <c r="C32" s="81"/>
      <c r="D32" s="81"/>
      <c r="E32" s="81"/>
      <c r="F32" s="81"/>
      <c r="G32" s="81"/>
      <c r="H32" s="81"/>
      <c r="I32" s="81"/>
      <c r="J32" s="81"/>
      <c r="K32" s="81"/>
      <c r="L32" s="81"/>
    </row>
    <row r="33" spans="1:12" ht="18" customHeight="1">
      <c r="A33" s="85" t="s">
        <v>418</v>
      </c>
      <c r="B33" s="85"/>
      <c r="C33" s="85"/>
      <c r="D33" s="85"/>
      <c r="E33" s="80">
        <f>_xlfn.IFNA(VLOOKUP(封面!B1,一般公共预算财政拨款支出决算具体情况!A:M,13,FALSE),"")</f>
        <v>55572.480000000003</v>
      </c>
      <c r="F33" s="80"/>
      <c r="G33" s="7" t="s">
        <v>179</v>
      </c>
      <c r="H33" s="83" t="s">
        <v>416</v>
      </c>
      <c r="I33" s="83"/>
      <c r="J33" s="80">
        <f>_xlfn.IFNA(VLOOKUP(封面!B1,一般公共预算财政拨款支出决算具体情况!A:N,14,FALSE),"")</f>
        <v>193800</v>
      </c>
      <c r="K33" s="80"/>
      <c r="L33" s="11" t="s">
        <v>178</v>
      </c>
    </row>
    <row r="34" spans="1:12" ht="18" customHeight="1">
      <c r="A34" s="15"/>
      <c r="B34" s="15" t="str">
        <f>IF(E33&gt;J33,"增加","减少")</f>
        <v>减少</v>
      </c>
      <c r="C34" s="80">
        <f>ABS(E33-J33)</f>
        <v>138227.51999999999</v>
      </c>
      <c r="D34" s="80"/>
      <c r="E34" s="7" t="s">
        <v>179</v>
      </c>
      <c r="F34" s="15" t="str">
        <f>IF(E33&gt;J33,"增长","下降")</f>
        <v>下降</v>
      </c>
      <c r="G34" s="34">
        <f>IF(J33=0,IF(E33&gt;0,1,""),C34/J33)</f>
        <v>0.71324829721362226</v>
      </c>
      <c r="H34" s="7" t="s">
        <v>310</v>
      </c>
    </row>
    <row r="35" spans="1:12" ht="36" customHeight="1">
      <c r="B35" s="81" t="s">
        <v>459</v>
      </c>
      <c r="C35" s="81"/>
      <c r="D35" s="81"/>
      <c r="E35" s="81"/>
      <c r="F35" s="81"/>
      <c r="G35" s="81"/>
      <c r="H35" s="81"/>
      <c r="I35" s="81"/>
      <c r="J35" s="81"/>
      <c r="K35" s="81"/>
      <c r="L35" s="81"/>
    </row>
    <row r="36" spans="1:12" ht="18" customHeight="1">
      <c r="A36" s="84" t="s">
        <v>419</v>
      </c>
      <c r="B36" s="84"/>
      <c r="C36" s="84"/>
      <c r="D36" s="84"/>
      <c r="E36" s="80">
        <f>_xlfn.IFNA(VLOOKUP(封面!B1,一般公共预算财政拨款支出决算具体情况!A:O,15,FALSE),"")</f>
        <v>5332784</v>
      </c>
      <c r="F36" s="80"/>
      <c r="G36" s="7" t="s">
        <v>179</v>
      </c>
      <c r="H36" s="83" t="s">
        <v>416</v>
      </c>
      <c r="I36" s="83"/>
      <c r="J36" s="80">
        <f>_xlfn.IFNA(VLOOKUP(封面!B1,一般公共预算财政拨款支出决算具体情况!A:P,16,FALSE),"")</f>
        <v>5361427</v>
      </c>
      <c r="K36" s="80"/>
      <c r="L36" s="11" t="s">
        <v>178</v>
      </c>
    </row>
    <row r="37" spans="1:12" ht="18" customHeight="1">
      <c r="A37" s="15"/>
      <c r="B37" s="15" t="str">
        <f>IF(E36&gt;J36,"增加","减少")</f>
        <v>减少</v>
      </c>
      <c r="C37" s="80">
        <f>ABS(E36-J36)</f>
        <v>28643</v>
      </c>
      <c r="D37" s="80"/>
      <c r="E37" s="7" t="s">
        <v>179</v>
      </c>
      <c r="F37" s="15" t="str">
        <f>IF(E36&gt;J36,"增长","下降")</f>
        <v>下降</v>
      </c>
      <c r="G37" s="34">
        <f>IF(J36=0,IF(E36&gt;0,1,""),C37/J36)</f>
        <v>5.342420963672545E-3</v>
      </c>
      <c r="H37" s="7" t="s">
        <v>310</v>
      </c>
    </row>
    <row r="38" spans="1:12" ht="36" customHeight="1">
      <c r="B38" s="81" t="s">
        <v>460</v>
      </c>
      <c r="C38" s="81"/>
      <c r="D38" s="81"/>
      <c r="E38" s="81"/>
      <c r="F38" s="81"/>
      <c r="G38" s="81"/>
      <c r="H38" s="81"/>
      <c r="I38" s="81"/>
      <c r="J38" s="81"/>
      <c r="K38" s="81"/>
      <c r="L38" s="81"/>
    </row>
    <row r="39" spans="1:12" ht="18" customHeight="1">
      <c r="A39" s="86" t="s">
        <v>420</v>
      </c>
      <c r="B39" s="86"/>
      <c r="C39" s="86"/>
      <c r="D39" s="86"/>
      <c r="E39" s="80">
        <f>_xlfn.IFNA(VLOOKUP(封面!B1,一般公共预算财政拨款支出决算具体情况!A:W,23,FALSE),"")</f>
        <v>21541703.239999998</v>
      </c>
      <c r="F39" s="80"/>
      <c r="G39" s="7" t="s">
        <v>179</v>
      </c>
      <c r="H39" s="83" t="s">
        <v>416</v>
      </c>
      <c r="I39" s="83"/>
      <c r="J39" s="80">
        <f>_xlfn.IFNA(VLOOKUP(封面!B1,一般公共预算财政拨款支出决算具体情况!A:X,24,FALSE),"")</f>
        <v>20517137.23</v>
      </c>
      <c r="K39" s="80"/>
      <c r="L39" s="11" t="s">
        <v>178</v>
      </c>
    </row>
    <row r="40" spans="1:12" ht="18" customHeight="1">
      <c r="B40" s="15" t="str">
        <f>IF(E39&gt;J39,"增加","减少")</f>
        <v>增加</v>
      </c>
      <c r="C40" s="80">
        <f>ABS(E39-J39)</f>
        <v>1024566.0099999979</v>
      </c>
      <c r="D40" s="80"/>
      <c r="E40" s="7" t="s">
        <v>179</v>
      </c>
      <c r="F40" s="15" t="str">
        <f>IF(E39&gt;J39,"增长","下降")</f>
        <v>增长</v>
      </c>
      <c r="G40" s="34">
        <f>IF(J39=0,IF(E39&gt;0,1,""),C40/J39)</f>
        <v>4.993708422936731E-2</v>
      </c>
      <c r="H40" s="7" t="s">
        <v>310</v>
      </c>
      <c r="I40" s="11" t="s">
        <v>199</v>
      </c>
    </row>
    <row r="41" spans="1:12" ht="18" customHeight="1">
      <c r="A41" s="84" t="s">
        <v>421</v>
      </c>
      <c r="B41" s="84"/>
      <c r="C41" s="84"/>
      <c r="D41" s="84"/>
      <c r="E41" s="80">
        <f>_xlfn.IFNA(VLOOKUP(封面!B1,一般公共预算财政拨款支出决算具体情况!A:Y,25,FALSE),"")</f>
        <v>21541703.239999998</v>
      </c>
      <c r="F41" s="80"/>
      <c r="G41" s="7" t="s">
        <v>179</v>
      </c>
      <c r="H41" s="83" t="s">
        <v>416</v>
      </c>
      <c r="I41" s="83"/>
      <c r="J41" s="80">
        <f>_xlfn.IFNA(VLOOKUP(封面!B1,一般公共预算财政拨款支出决算具体情况!A:Z,26,FALSE),"")</f>
        <v>20517137.23</v>
      </c>
      <c r="K41" s="80"/>
      <c r="L41" s="11" t="s">
        <v>178</v>
      </c>
    </row>
    <row r="42" spans="1:12" ht="18" customHeight="1">
      <c r="A42" s="15"/>
      <c r="B42" s="15" t="str">
        <f>IF(E41&gt;J41,"增加","减少")</f>
        <v>增加</v>
      </c>
      <c r="C42" s="80">
        <f>ABS(E41-J41)</f>
        <v>1024566.0099999979</v>
      </c>
      <c r="D42" s="80"/>
      <c r="E42" s="7" t="s">
        <v>179</v>
      </c>
      <c r="F42" s="15" t="str">
        <f>IF(E41&gt;J41,"增长","下降")</f>
        <v>增长</v>
      </c>
      <c r="G42" s="34">
        <f>IF(J41=0,IF(E41&gt;0,1,""),C42/J41)</f>
        <v>4.993708422936731E-2</v>
      </c>
      <c r="H42" s="7" t="s">
        <v>310</v>
      </c>
    </row>
    <row r="43" spans="1:12" ht="36" customHeight="1">
      <c r="B43" s="81" t="s">
        <v>462</v>
      </c>
      <c r="C43" s="81"/>
      <c r="D43" s="81"/>
      <c r="E43" s="81"/>
      <c r="F43" s="81"/>
      <c r="G43" s="81"/>
      <c r="H43" s="81"/>
      <c r="I43" s="81"/>
      <c r="J43" s="81"/>
      <c r="K43" s="81"/>
      <c r="L43" s="81"/>
    </row>
    <row r="44" spans="1:12" ht="18" customHeight="1">
      <c r="A44" s="86" t="s">
        <v>422</v>
      </c>
      <c r="B44" s="86"/>
      <c r="C44" s="86"/>
      <c r="D44" s="86"/>
      <c r="E44" s="80">
        <f>_xlfn.IFNA(VLOOKUP(封面!B1,一般公共预算财政拨款支出决算具体情况!A:AC,29,FALSE),"")</f>
        <v>8364064.3700000001</v>
      </c>
      <c r="F44" s="80"/>
      <c r="G44" s="7" t="s">
        <v>179</v>
      </c>
      <c r="H44" s="83" t="s">
        <v>416</v>
      </c>
      <c r="I44" s="83"/>
      <c r="J44" s="80">
        <f>_xlfn.IFNA(VLOOKUP(封面!B1,一般公共预算财政拨款支出决算具体情况!A:AD,30,FALSE),"")</f>
        <v>8135925.04</v>
      </c>
      <c r="K44" s="80"/>
      <c r="L44" s="11" t="s">
        <v>178</v>
      </c>
    </row>
    <row r="45" spans="1:12" ht="18" customHeight="1">
      <c r="B45" s="15" t="str">
        <f>IF(E44&gt;J44,"增加","减少")</f>
        <v>增加</v>
      </c>
      <c r="C45" s="80">
        <f>ABS(E44-J44)</f>
        <v>228139.33000000007</v>
      </c>
      <c r="D45" s="80"/>
      <c r="E45" s="7" t="s">
        <v>179</v>
      </c>
      <c r="F45" s="15" t="str">
        <f>IF(E44&gt;J44,"增长","下降")</f>
        <v>增长</v>
      </c>
      <c r="G45" s="34">
        <f>IF(J44=0,IF(E44&gt;0,1,""),C45/J44)</f>
        <v>2.8040982294989296E-2</v>
      </c>
      <c r="H45" s="7" t="s">
        <v>310</v>
      </c>
      <c r="I45" s="11" t="s">
        <v>199</v>
      </c>
    </row>
    <row r="46" spans="1:12" ht="18" customHeight="1">
      <c r="A46" s="84" t="s">
        <v>463</v>
      </c>
      <c r="B46" s="84"/>
      <c r="C46" s="84"/>
      <c r="D46" s="84"/>
      <c r="E46" s="80">
        <f>_xlfn.IFNA(VLOOKUP(封面!B1,一般公共预算财政拨款支出决算具体情况!A:AE,31,FALSE),"")</f>
        <v>8364064.3700000001</v>
      </c>
      <c r="F46" s="80"/>
      <c r="G46" s="7" t="s">
        <v>179</v>
      </c>
      <c r="H46" s="83" t="s">
        <v>416</v>
      </c>
      <c r="I46" s="83"/>
      <c r="J46" s="80">
        <f>_xlfn.IFNA(VLOOKUP(封面!B1,一般公共预算财政拨款支出决算具体情况!A:AF,32,FALSE),"")</f>
        <v>8135925.04</v>
      </c>
      <c r="K46" s="80"/>
      <c r="L46" s="11" t="s">
        <v>178</v>
      </c>
    </row>
    <row r="47" spans="1:12" ht="18" customHeight="1">
      <c r="A47" s="15"/>
      <c r="B47" s="15" t="str">
        <f>IF(E46&gt;J46,"增加","减少")</f>
        <v>增加</v>
      </c>
      <c r="C47" s="80">
        <f>ABS(E46-J46)</f>
        <v>228139.33000000007</v>
      </c>
      <c r="D47" s="80"/>
      <c r="E47" s="7" t="s">
        <v>179</v>
      </c>
      <c r="F47" s="15" t="str">
        <f>IF(E46&gt;J46,"增长","下降")</f>
        <v>增长</v>
      </c>
      <c r="G47" s="34">
        <f>IF(J46=0,IF(E46&gt;0,1,""),C47/J46)</f>
        <v>2.8040982294989296E-2</v>
      </c>
      <c r="H47" s="7" t="s">
        <v>310</v>
      </c>
    </row>
    <row r="48" spans="1:12" ht="36" customHeight="1">
      <c r="B48" s="81" t="s">
        <v>464</v>
      </c>
      <c r="C48" s="81"/>
      <c r="D48" s="81"/>
      <c r="E48" s="81"/>
      <c r="F48" s="81"/>
      <c r="G48" s="81"/>
      <c r="H48" s="81"/>
      <c r="I48" s="81"/>
      <c r="J48" s="81"/>
      <c r="K48" s="81"/>
      <c r="L48" s="81"/>
    </row>
    <row r="49" spans="1:13" ht="18" customHeight="1">
      <c r="A49" s="86" t="s">
        <v>454</v>
      </c>
      <c r="B49" s="86"/>
      <c r="C49" s="86"/>
      <c r="D49" s="86"/>
      <c r="E49" s="80">
        <f>_xlfn.IFNA(VLOOKUP(封面!B1,一般公共预算财政拨款支出决算具体情况!A:AK,37,FALSE),"")</f>
        <v>16341093</v>
      </c>
      <c r="F49" s="80"/>
      <c r="G49" s="7" t="s">
        <v>179</v>
      </c>
      <c r="H49" s="83" t="s">
        <v>416</v>
      </c>
      <c r="I49" s="83"/>
      <c r="J49" s="80">
        <f>_xlfn.IFNA(VLOOKUP(封面!B1,一般公共预算财政拨款支出决算具体情况!A:AL,38,FALSE),"")</f>
        <v>15071831.109999999</v>
      </c>
      <c r="K49" s="80"/>
      <c r="L49" s="11" t="s">
        <v>178</v>
      </c>
    </row>
    <row r="50" spans="1:13" ht="18" customHeight="1">
      <c r="B50" s="15" t="str">
        <f>IF(E49&gt;J49,"增加","减少")</f>
        <v>增加</v>
      </c>
      <c r="C50" s="80">
        <f>ABS(E49-J49)</f>
        <v>1269261.8900000006</v>
      </c>
      <c r="D50" s="80"/>
      <c r="E50" s="7" t="s">
        <v>179</v>
      </c>
      <c r="F50" s="15" t="str">
        <f>IF(E49&gt;J49,"增长","下降")</f>
        <v>增长</v>
      </c>
      <c r="G50" s="34">
        <f>IF(J49=0,IF(E49&gt;0,1,""),C50/J49)</f>
        <v>8.4214179467407835E-2</v>
      </c>
      <c r="H50" s="7" t="s">
        <v>310</v>
      </c>
      <c r="I50" s="11" t="s">
        <v>199</v>
      </c>
    </row>
    <row r="51" spans="1:13" ht="18" customHeight="1">
      <c r="A51" s="84" t="s">
        <v>465</v>
      </c>
      <c r="B51" s="84"/>
      <c r="C51" s="84"/>
      <c r="D51" s="84"/>
      <c r="E51" s="80">
        <f>_xlfn.IFNA(VLOOKUP(封面!B1,一般公共预算财政拨款支出决算具体情况!A:AM,39,FALSE),"")</f>
        <v>16341093</v>
      </c>
      <c r="F51" s="80"/>
      <c r="G51" s="7" t="s">
        <v>179</v>
      </c>
      <c r="H51" s="83" t="s">
        <v>416</v>
      </c>
      <c r="I51" s="83"/>
      <c r="J51" s="80">
        <f>_xlfn.IFNA(VLOOKUP(封面!B1,一般公共预算财政拨款支出决算具体情况!A:AN,40,FALSE),"")</f>
        <v>15071831.109999999</v>
      </c>
      <c r="K51" s="80"/>
      <c r="L51" s="11" t="s">
        <v>178</v>
      </c>
    </row>
    <row r="52" spans="1:13" ht="18" customHeight="1">
      <c r="A52" s="15"/>
      <c r="B52" s="15" t="str">
        <f>IF(E51&gt;J51,"增加","减少")</f>
        <v>增加</v>
      </c>
      <c r="C52" s="80">
        <f>ABS(E51-J51)</f>
        <v>1269261.8900000006</v>
      </c>
      <c r="D52" s="80"/>
      <c r="E52" s="7" t="s">
        <v>179</v>
      </c>
      <c r="F52" s="15" t="str">
        <f>IF(E51&gt;J51,"增长","下降")</f>
        <v>增长</v>
      </c>
      <c r="G52" s="34">
        <f>IF(J51=0,IF(E51&gt;0,1,""),C52/J51)</f>
        <v>8.4214179467407835E-2</v>
      </c>
      <c r="H52" s="7" t="s">
        <v>310</v>
      </c>
    </row>
    <row r="53" spans="1:13" ht="36" customHeight="1">
      <c r="B53" s="81" t="s">
        <v>466</v>
      </c>
      <c r="C53" s="81"/>
      <c r="D53" s="81"/>
      <c r="E53" s="81"/>
      <c r="F53" s="81"/>
      <c r="G53" s="81"/>
      <c r="H53" s="81"/>
      <c r="I53" s="81"/>
      <c r="J53" s="81"/>
      <c r="K53" s="81"/>
      <c r="L53" s="81"/>
    </row>
    <row r="54" spans="1:13" ht="18" customHeight="1">
      <c r="A54" s="6" t="s">
        <v>200</v>
      </c>
    </row>
    <row r="55" spans="1:13" ht="18" customHeight="1">
      <c r="A55" s="7" t="str">
        <f>IF(_xlfn.IFNA(VLOOKUP(封面!B1,'2021决算导出'!A:W,23,FALSE),"")=0,"本年度无此项支出。","")</f>
        <v/>
      </c>
    </row>
    <row r="56" spans="1:13" ht="18" customHeight="1">
      <c r="A56" s="7" t="s">
        <v>201</v>
      </c>
    </row>
    <row r="57" spans="1:13" ht="18" customHeight="1">
      <c r="A57" s="85" t="s">
        <v>423</v>
      </c>
      <c r="B57" s="85"/>
      <c r="C57" s="85"/>
      <c r="D57" s="85"/>
      <c r="E57" s="85"/>
      <c r="F57" s="80">
        <f>_xlfn.IFNA(VLOOKUP(封面!B1,'2021决算导出'!A:W,23,FALSE),"")</f>
        <v>13.8</v>
      </c>
      <c r="G57" s="80"/>
      <c r="H57" s="7" t="s">
        <v>179</v>
      </c>
      <c r="I57" s="82" t="s">
        <v>192</v>
      </c>
      <c r="J57" s="82"/>
      <c r="K57" s="82"/>
      <c r="L57" s="82"/>
      <c r="M57" s="82"/>
    </row>
    <row r="58" spans="1:13" ht="18" customHeight="1">
      <c r="A58" s="85" t="s">
        <v>202</v>
      </c>
      <c r="B58" s="85"/>
      <c r="C58" s="85"/>
      <c r="D58" s="80">
        <f>_xlfn.IFNA(VLOOKUP(封面!B1,'2021决算导出'!A:Y,25,FALSE),"")</f>
        <v>13.8</v>
      </c>
      <c r="E58" s="80"/>
      <c r="F58" s="7" t="s">
        <v>179</v>
      </c>
      <c r="G58" s="83" t="s">
        <v>194</v>
      </c>
      <c r="H58" s="83"/>
      <c r="I58" s="13">
        <v>100</v>
      </c>
      <c r="J58" s="7" t="s">
        <v>183</v>
      </c>
      <c r="K58" s="9"/>
      <c r="L58" s="9"/>
      <c r="M58" s="9"/>
    </row>
    <row r="59" spans="1:13" ht="18" customHeight="1">
      <c r="A59" s="7" t="s">
        <v>203</v>
      </c>
    </row>
    <row r="60" spans="1:13" ht="18" customHeight="1">
      <c r="A60" s="82" t="s">
        <v>424</v>
      </c>
      <c r="B60" s="82"/>
      <c r="C60" s="82"/>
      <c r="D60" s="82"/>
      <c r="E60" s="80">
        <f>_xlfn.IFNA(VLOOKUP(封面!B1,'2021决算导出'!A:Y,25,FALSE),"")</f>
        <v>13.8</v>
      </c>
      <c r="F60" s="80"/>
      <c r="G60" s="7" t="s">
        <v>179</v>
      </c>
      <c r="H60" s="83" t="s">
        <v>416</v>
      </c>
      <c r="I60" s="83"/>
      <c r="J60" s="80">
        <f>_xlfn.IFNA(VLOOKUP(封面!B1,'2021决算导出'!A:Z,26,FALSE),"")</f>
        <v>13.81</v>
      </c>
      <c r="K60" s="80"/>
      <c r="L60" s="11" t="s">
        <v>178</v>
      </c>
    </row>
    <row r="61" spans="1:13" ht="18" customHeight="1">
      <c r="B61" s="15" t="str">
        <f>IF(E60&gt;J60,"增加","减少")</f>
        <v>减少</v>
      </c>
      <c r="C61" s="80">
        <f>ABS(E60-J60)</f>
        <v>9.9999999999997868E-3</v>
      </c>
      <c r="D61" s="80"/>
      <c r="E61" s="7" t="s">
        <v>179</v>
      </c>
      <c r="F61" s="15" t="str">
        <f>IF(E60&gt;J60,"增长","下降")</f>
        <v>下降</v>
      </c>
      <c r="G61" s="34">
        <f>IF(J60=0,IF(E60&gt;0,1,""),C61/J60)</f>
        <v>7.2411296162199759E-4</v>
      </c>
      <c r="H61" s="7" t="s">
        <v>310</v>
      </c>
      <c r="I61" s="11" t="s">
        <v>199</v>
      </c>
    </row>
    <row r="62" spans="1:13" ht="18" customHeight="1">
      <c r="A62" s="84" t="s">
        <v>425</v>
      </c>
      <c r="B62" s="84"/>
      <c r="C62" s="84"/>
      <c r="D62" s="84"/>
      <c r="E62" s="80">
        <f>E60</f>
        <v>13.8</v>
      </c>
      <c r="F62" s="80"/>
      <c r="G62" s="7" t="s">
        <v>179</v>
      </c>
      <c r="H62" s="83" t="s">
        <v>416</v>
      </c>
      <c r="I62" s="83"/>
      <c r="J62" s="80">
        <f>J60</f>
        <v>13.81</v>
      </c>
      <c r="K62" s="80"/>
      <c r="L62" s="11" t="s">
        <v>178</v>
      </c>
    </row>
    <row r="63" spans="1:13" ht="18" customHeight="1">
      <c r="A63" s="15"/>
      <c r="B63" s="15" t="str">
        <f>B61</f>
        <v>减少</v>
      </c>
      <c r="C63" s="80">
        <f>C61</f>
        <v>9.9999999999997868E-3</v>
      </c>
      <c r="D63" s="80"/>
      <c r="E63" s="7" t="s">
        <v>179</v>
      </c>
      <c r="F63" s="15" t="str">
        <f>F61</f>
        <v>下降</v>
      </c>
      <c r="G63" s="34">
        <f>IF(J62=0,IF(E62&gt;0,1,""),C63/J62)</f>
        <v>7.2411296162199759E-4</v>
      </c>
      <c r="H63" s="7" t="s">
        <v>310</v>
      </c>
    </row>
    <row r="64" spans="1:13" ht="36" customHeight="1">
      <c r="B64" s="81" t="s">
        <v>467</v>
      </c>
      <c r="C64" s="81"/>
      <c r="D64" s="81"/>
      <c r="E64" s="81"/>
      <c r="F64" s="81"/>
      <c r="G64" s="81"/>
      <c r="H64" s="81"/>
      <c r="I64" s="81"/>
      <c r="J64" s="81"/>
      <c r="K64" s="81"/>
      <c r="L64" s="81"/>
    </row>
    <row r="65" spans="1:13" ht="18" customHeight="1">
      <c r="A65" s="6" t="s">
        <v>204</v>
      </c>
    </row>
    <row r="66" spans="1:13" ht="18" customHeight="1">
      <c r="A66" s="7" t="s">
        <v>205</v>
      </c>
    </row>
    <row r="67" spans="1:13" ht="18" customHeight="1">
      <c r="A67" s="6" t="s">
        <v>206</v>
      </c>
    </row>
    <row r="68" spans="1:13" ht="18" customHeight="1">
      <c r="A68" s="7" t="s">
        <v>426</v>
      </c>
      <c r="G68" s="80">
        <f>_xlfn.IFNA(VLOOKUP(封面!B1,'2021决算导出'!A:AA,27,FALSE),"")</f>
        <v>126058973.52</v>
      </c>
      <c r="H68" s="80"/>
      <c r="I68" s="11" t="s">
        <v>179</v>
      </c>
    </row>
    <row r="69" spans="1:13" ht="130.15" customHeight="1">
      <c r="A69" s="81" t="s">
        <v>207</v>
      </c>
      <c r="B69" s="81"/>
      <c r="C69" s="81"/>
      <c r="D69" s="81"/>
      <c r="E69" s="81"/>
      <c r="F69" s="81"/>
      <c r="G69" s="81"/>
      <c r="H69" s="81"/>
      <c r="I69" s="81"/>
      <c r="J69" s="81"/>
      <c r="K69" s="81"/>
      <c r="L69" s="81"/>
      <c r="M69" s="81"/>
    </row>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sheetData>
  <mergeCells count="106">
    <mergeCell ref="A6:B6"/>
    <mergeCell ref="A14:C14"/>
    <mergeCell ref="A1:M1"/>
    <mergeCell ref="A39:D39"/>
    <mergeCell ref="E39:F39"/>
    <mergeCell ref="H39:I39"/>
    <mergeCell ref="J39:K39"/>
    <mergeCell ref="C40:D40"/>
    <mergeCell ref="A41:D41"/>
    <mergeCell ref="A15:C15"/>
    <mergeCell ref="F15:G15"/>
    <mergeCell ref="B19:M19"/>
    <mergeCell ref="A10:C10"/>
    <mergeCell ref="A11:C11"/>
    <mergeCell ref="F11:G11"/>
    <mergeCell ref="A12:C12"/>
    <mergeCell ref="F12:G12"/>
    <mergeCell ref="A8:C8"/>
    <mergeCell ref="A22:E22"/>
    <mergeCell ref="F22:G22"/>
    <mergeCell ref="A16:C16"/>
    <mergeCell ref="F16:G16"/>
    <mergeCell ref="A18:D18"/>
    <mergeCell ref="E18:F18"/>
    <mergeCell ref="A25:C25"/>
    <mergeCell ref="D25:E25"/>
    <mergeCell ref="G25:H25"/>
    <mergeCell ref="D26:E26"/>
    <mergeCell ref="G26:H26"/>
    <mergeCell ref="A26:C26"/>
    <mergeCell ref="G24:H24"/>
    <mergeCell ref="D23:E23"/>
    <mergeCell ref="G23:H23"/>
    <mergeCell ref="A24:C24"/>
    <mergeCell ref="A23:C23"/>
    <mergeCell ref="D24:E24"/>
    <mergeCell ref="B32:L32"/>
    <mergeCell ref="C29:D29"/>
    <mergeCell ref="C31:D31"/>
    <mergeCell ref="A30:D30"/>
    <mergeCell ref="E30:F30"/>
    <mergeCell ref="H30:I30"/>
    <mergeCell ref="J30:K30"/>
    <mergeCell ref="A28:D28"/>
    <mergeCell ref="E28:F28"/>
    <mergeCell ref="H28:I28"/>
    <mergeCell ref="J28:K28"/>
    <mergeCell ref="C37:D37"/>
    <mergeCell ref="B38:L38"/>
    <mergeCell ref="C34:D34"/>
    <mergeCell ref="B35:L35"/>
    <mergeCell ref="A36:D36"/>
    <mergeCell ref="E36:F36"/>
    <mergeCell ref="H36:I36"/>
    <mergeCell ref="J36:K36"/>
    <mergeCell ref="A33:D33"/>
    <mergeCell ref="E33:F33"/>
    <mergeCell ref="H33:I33"/>
    <mergeCell ref="J33:K33"/>
    <mergeCell ref="C52:D52"/>
    <mergeCell ref="A49:D49"/>
    <mergeCell ref="E49:F49"/>
    <mergeCell ref="H49:I49"/>
    <mergeCell ref="J49:K49"/>
    <mergeCell ref="C63:D63"/>
    <mergeCell ref="B64:L64"/>
    <mergeCell ref="E41:F41"/>
    <mergeCell ref="H41:I41"/>
    <mergeCell ref="J41:K41"/>
    <mergeCell ref="C42:D42"/>
    <mergeCell ref="A44:D44"/>
    <mergeCell ref="E44:F44"/>
    <mergeCell ref="H44:I44"/>
    <mergeCell ref="J44:K44"/>
    <mergeCell ref="C45:D45"/>
    <mergeCell ref="B43:L43"/>
    <mergeCell ref="A46:D46"/>
    <mergeCell ref="E46:F46"/>
    <mergeCell ref="H46:I46"/>
    <mergeCell ref="J46:K46"/>
    <mergeCell ref="C47:D47"/>
    <mergeCell ref="B48:L48"/>
    <mergeCell ref="G68:H68"/>
    <mergeCell ref="A69:M69"/>
    <mergeCell ref="A4:M4"/>
    <mergeCell ref="A60:D60"/>
    <mergeCell ref="E60:F60"/>
    <mergeCell ref="H60:I60"/>
    <mergeCell ref="J60:K60"/>
    <mergeCell ref="C61:D61"/>
    <mergeCell ref="A62:D62"/>
    <mergeCell ref="E62:F62"/>
    <mergeCell ref="H62:I62"/>
    <mergeCell ref="J62:K62"/>
    <mergeCell ref="B53:L53"/>
    <mergeCell ref="A57:E57"/>
    <mergeCell ref="F57:G57"/>
    <mergeCell ref="I57:M57"/>
    <mergeCell ref="A58:C58"/>
    <mergeCell ref="D58:E58"/>
    <mergeCell ref="G58:H58"/>
    <mergeCell ref="C50:D50"/>
    <mergeCell ref="A51:D51"/>
    <mergeCell ref="E51:F51"/>
    <mergeCell ref="H51:I51"/>
    <mergeCell ref="J51:K5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workbookViewId="0">
      <selection activeCell="A36" sqref="A36:N36"/>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8" t="s">
        <v>407</v>
      </c>
      <c r="B1" s="78"/>
      <c r="C1" s="78"/>
      <c r="D1" s="78"/>
      <c r="E1" s="78"/>
      <c r="F1" s="78"/>
      <c r="G1" s="78"/>
      <c r="H1" s="78"/>
      <c r="I1" s="78"/>
      <c r="J1" s="78"/>
      <c r="K1" s="78"/>
      <c r="L1" s="78"/>
      <c r="M1" s="78"/>
      <c r="N1" s="78"/>
    </row>
    <row r="2" spans="1:14" ht="18" customHeight="1">
      <c r="A2" s="6" t="s">
        <v>208</v>
      </c>
    </row>
    <row r="3" spans="1:14" ht="18" customHeight="1">
      <c r="A3" s="16" t="str">
        <f>IF(_xlfn.IFNA(VLOOKUP(封面!B1,'2021决算导出'!A:AB,28,FALSE),"")=0,"本年度无此项支出。","")</f>
        <v/>
      </c>
    </row>
    <row r="4" spans="1:14" ht="18" customHeight="1">
      <c r="A4" s="7" t="s">
        <v>427</v>
      </c>
      <c r="F4" s="80">
        <f>_xlfn.IFNA(VLOOKUP(封面!B1,'2021决算导出'!A:AB,28,FALSE),"")</f>
        <v>17395.04</v>
      </c>
      <c r="G4" s="80"/>
      <c r="H4" s="7" t="s">
        <v>179</v>
      </c>
      <c r="I4" s="7" t="s">
        <v>428</v>
      </c>
    </row>
    <row r="5" spans="1:14" ht="18" customHeight="1">
      <c r="A5" s="88">
        <f>_xlfn.IFNA(VLOOKUP(封面!B1,'2021决算导出'!A:AC,29,FALSE),"")</f>
        <v>54000</v>
      </c>
      <c r="B5" s="88"/>
      <c r="C5" s="7" t="s">
        <v>178</v>
      </c>
      <c r="D5" s="30" t="str">
        <f>IF(F4&gt;A5,"增加","减少")</f>
        <v>减少</v>
      </c>
      <c r="E5" s="88">
        <f>ABS(F4-A5)</f>
        <v>36604.959999999999</v>
      </c>
      <c r="F5" s="88"/>
      <c r="G5" s="7" t="s">
        <v>210</v>
      </c>
    </row>
    <row r="6" spans="1:14" ht="18" customHeight="1">
      <c r="A6" s="7" t="s">
        <v>211</v>
      </c>
    </row>
    <row r="7" spans="1:14" ht="18" customHeight="1">
      <c r="A7" s="55" t="s">
        <v>429</v>
      </c>
      <c r="B7" s="19"/>
      <c r="C7" s="19"/>
      <c r="D7" s="19"/>
      <c r="E7" s="19"/>
      <c r="F7" s="19"/>
      <c r="G7" s="19"/>
      <c r="H7" s="19"/>
      <c r="I7" s="19"/>
      <c r="J7" s="19"/>
      <c r="K7" s="19"/>
      <c r="L7" s="19"/>
      <c r="M7" s="19"/>
      <c r="N7" s="19"/>
    </row>
    <row r="8" spans="1:14" ht="18" customHeight="1">
      <c r="A8" s="7" t="s">
        <v>212</v>
      </c>
    </row>
    <row r="9" spans="1:14" ht="39" customHeight="1">
      <c r="A9" s="89" t="s">
        <v>430</v>
      </c>
      <c r="B9" s="89"/>
      <c r="C9" s="89"/>
      <c r="D9" s="89"/>
      <c r="E9" s="89"/>
      <c r="F9" s="89"/>
      <c r="G9" s="89"/>
      <c r="H9" s="89"/>
      <c r="I9" s="89"/>
      <c r="J9" s="89"/>
      <c r="K9" s="89"/>
      <c r="L9" s="89"/>
      <c r="M9" s="89"/>
      <c r="N9" s="89"/>
    </row>
    <row r="10" spans="1:14" ht="18" customHeight="1">
      <c r="A10" s="7" t="s">
        <v>213</v>
      </c>
    </row>
    <row r="11" spans="1:14" ht="18" customHeight="1">
      <c r="A11" s="85" t="s">
        <v>431</v>
      </c>
      <c r="B11" s="85"/>
      <c r="C11" s="35">
        <f>_xlfn.IFNA(VLOOKUP(封面!B1,'2021决算导出'!A:AI,35,FALSE),"")</f>
        <v>17395.04</v>
      </c>
      <c r="D11" s="7" t="s">
        <v>179</v>
      </c>
      <c r="E11" s="85" t="s">
        <v>432</v>
      </c>
      <c r="F11" s="85"/>
      <c r="G11" s="85"/>
      <c r="H11" s="88">
        <f>_xlfn.IFNA(VLOOKUP(封面!B1,'2021决算导出'!A:AJ,36,FALSE),"")</f>
        <v>54000</v>
      </c>
      <c r="I11" s="88"/>
      <c r="J11" s="16" t="s">
        <v>178</v>
      </c>
      <c r="K11" s="30" t="str">
        <f>IF(C11&gt;H11,"增加","减少")</f>
        <v>减少</v>
      </c>
      <c r="L11" s="88">
        <f>ABS(C11-H11)</f>
        <v>36604.959999999999</v>
      </c>
      <c r="M11" s="88"/>
      <c r="N11" s="7" t="s">
        <v>209</v>
      </c>
    </row>
    <row r="12" spans="1:14" ht="18" customHeight="1">
      <c r="A12" s="85" t="s">
        <v>433</v>
      </c>
      <c r="B12" s="85"/>
      <c r="C12" s="85"/>
      <c r="D12" s="85"/>
      <c r="E12" s="85"/>
      <c r="F12" s="88">
        <f>_xlfn.IFNA(VLOOKUP(封面!B1,'2021决算导出'!A:AK,37,FALSE),"")</f>
        <v>0</v>
      </c>
      <c r="G12" s="88"/>
      <c r="H12" s="17" t="s">
        <v>179</v>
      </c>
      <c r="I12" s="85" t="s">
        <v>432</v>
      </c>
      <c r="J12" s="85"/>
      <c r="K12" s="85"/>
      <c r="L12" s="88">
        <f>_xlfn.IFNA(VLOOKUP(封面!B1,'2021决算导出'!A:AL,38,FALSE),"")</f>
        <v>0</v>
      </c>
      <c r="M12" s="88"/>
      <c r="N12" s="7" t="s">
        <v>178</v>
      </c>
    </row>
    <row r="13" spans="1:14" ht="18" customHeight="1">
      <c r="A13" s="15" t="str">
        <f>IF(F12&gt;L12,"增加","减少")</f>
        <v>减少</v>
      </c>
      <c r="B13" s="88">
        <f>ABS(F12-L12)</f>
        <v>0</v>
      </c>
      <c r="C13" s="88"/>
      <c r="D13" s="7" t="s">
        <v>209</v>
      </c>
      <c r="H13" s="88"/>
      <c r="I13" s="88"/>
      <c r="J13" s="16"/>
    </row>
    <row r="14" spans="1:14" ht="36" customHeight="1">
      <c r="A14" s="81" t="s">
        <v>468</v>
      </c>
      <c r="B14" s="81"/>
      <c r="C14" s="81"/>
      <c r="D14" s="81"/>
      <c r="E14" s="81"/>
      <c r="F14" s="81"/>
      <c r="G14" s="81"/>
      <c r="H14" s="81"/>
      <c r="I14" s="81"/>
      <c r="J14" s="81"/>
      <c r="K14" s="81"/>
      <c r="L14" s="81"/>
      <c r="M14" s="81"/>
      <c r="N14" s="81"/>
    </row>
    <row r="15" spans="1:14" ht="18" customHeight="1">
      <c r="A15" s="85" t="s">
        <v>434</v>
      </c>
      <c r="B15" s="85"/>
      <c r="C15" s="85"/>
      <c r="D15" s="8">
        <f>_xlfn.IFNA(VLOOKUP(封面!B1,'2021决算导出'!A:AM,39,FALSE),"")</f>
        <v>0</v>
      </c>
      <c r="E15" s="7" t="s">
        <v>214</v>
      </c>
      <c r="F15" s="85" t="s">
        <v>215</v>
      </c>
      <c r="G15" s="85"/>
      <c r="H15" s="88">
        <f>IF(D15=0,0,F12/D15)</f>
        <v>0</v>
      </c>
      <c r="I15" s="88"/>
      <c r="J15" s="7" t="s">
        <v>209</v>
      </c>
    </row>
    <row r="16" spans="1:14" ht="18" customHeight="1">
      <c r="A16" s="83" t="s">
        <v>435</v>
      </c>
      <c r="B16" s="83"/>
      <c r="C16" s="83"/>
      <c r="D16" s="83"/>
      <c r="E16" s="83"/>
      <c r="F16" s="88">
        <f>_xlfn.IFNA(VLOOKUP(封面!B1,'2021决算导出'!A:AO,41,FALSE),"")</f>
        <v>17395.04</v>
      </c>
      <c r="G16" s="88" t="s">
        <v>179</v>
      </c>
      <c r="H16" s="7" t="s">
        <v>179</v>
      </c>
      <c r="I16" s="7" t="s">
        <v>432</v>
      </c>
      <c r="L16" s="88">
        <f>_xlfn.IFNA(VLOOKUP(封面!B1,'2021决算导出'!A:AP,42,FALSE),"")</f>
        <v>54000</v>
      </c>
      <c r="M16" s="88" t="s">
        <v>179</v>
      </c>
      <c r="N16" s="7" t="s">
        <v>179</v>
      </c>
    </row>
    <row r="17" spans="1:14" ht="18" customHeight="1">
      <c r="A17" s="15" t="str">
        <f>IF(F16&gt;L16,"增加","减少")</f>
        <v>减少</v>
      </c>
      <c r="B17" s="88">
        <f>ABS(F16-L16)</f>
        <v>36604.959999999999</v>
      </c>
      <c r="C17" s="88"/>
      <c r="D17" s="7" t="s">
        <v>209</v>
      </c>
    </row>
    <row r="18" spans="1:14" ht="36" customHeight="1">
      <c r="A18" s="81" t="s">
        <v>216</v>
      </c>
      <c r="B18" s="81"/>
      <c r="C18" s="81"/>
      <c r="D18" s="81"/>
      <c r="E18" s="81"/>
      <c r="F18" s="81"/>
      <c r="G18" s="81"/>
      <c r="H18" s="81"/>
      <c r="I18" s="81"/>
      <c r="J18" s="81"/>
      <c r="K18" s="81"/>
      <c r="L18" s="81"/>
      <c r="M18" s="81"/>
      <c r="N18" s="81"/>
    </row>
    <row r="19" spans="1:14" ht="18" customHeight="1">
      <c r="A19" s="85" t="s">
        <v>436</v>
      </c>
      <c r="B19" s="85"/>
      <c r="C19" s="85"/>
      <c r="D19" s="85"/>
      <c r="E19" s="85"/>
      <c r="F19" s="85"/>
      <c r="G19" s="88">
        <f>_xlfn.IFNA(VLOOKUP(封面!B1,'2021决算导出'!A:AQ,43,FALSE),"")</f>
        <v>0</v>
      </c>
      <c r="H19" s="88" t="s">
        <v>179</v>
      </c>
      <c r="I19" s="7" t="s">
        <v>179</v>
      </c>
      <c r="J19" s="7" t="s">
        <v>217</v>
      </c>
      <c r="L19" s="88">
        <f>_xlfn.IFNA(VLOOKUP(封面!B1,'2021决算导出'!A:AR,44,FALSE),"")</f>
        <v>5503.5</v>
      </c>
      <c r="M19" s="88" t="s">
        <v>179</v>
      </c>
      <c r="N19" s="7" t="s">
        <v>179</v>
      </c>
    </row>
    <row r="20" spans="1:14" ht="18" customHeight="1">
      <c r="A20" s="85" t="s">
        <v>218</v>
      </c>
      <c r="B20" s="85"/>
      <c r="C20" s="88">
        <f>_xlfn.IFNA(VLOOKUP(封面!B1,'2021决算导出'!A:AS,45,FALSE),"")</f>
        <v>11275.04</v>
      </c>
      <c r="D20" s="88" t="s">
        <v>179</v>
      </c>
      <c r="E20" s="7" t="s">
        <v>179</v>
      </c>
      <c r="F20" s="85" t="s">
        <v>219</v>
      </c>
      <c r="G20" s="85"/>
      <c r="H20" s="85"/>
      <c r="I20" s="88">
        <f>_xlfn.IFNA(VLOOKUP(封面!B1,'2021决算导出'!A:AT,46,FALSE),"")</f>
        <v>616.5</v>
      </c>
      <c r="J20" s="88" t="s">
        <v>179</v>
      </c>
      <c r="K20" s="7" t="s">
        <v>209</v>
      </c>
    </row>
    <row r="21" spans="1:14" ht="18" customHeight="1">
      <c r="A21" s="85" t="s">
        <v>437</v>
      </c>
      <c r="B21" s="85"/>
      <c r="C21" s="85"/>
      <c r="D21" s="8">
        <f>_xlfn.IFNA(VLOOKUP(封面!B1,'2021决算导出'!A:AU,47,FALSE),"")</f>
        <v>2</v>
      </c>
      <c r="E21" s="82" t="s">
        <v>401</v>
      </c>
      <c r="F21" s="82"/>
      <c r="G21" s="82"/>
      <c r="H21" s="82"/>
      <c r="I21" s="82"/>
      <c r="J21" s="82"/>
      <c r="K21" s="82"/>
      <c r="L21" s="82"/>
      <c r="M21" s="54">
        <f>F16/D21</f>
        <v>8697.52</v>
      </c>
      <c r="N21" s="7" t="s">
        <v>209</v>
      </c>
    </row>
    <row r="22" spans="1:14" ht="18" customHeight="1">
      <c r="A22" s="6" t="s">
        <v>220</v>
      </c>
    </row>
    <row r="23" spans="1:14" ht="18" customHeight="1">
      <c r="A23" s="7" t="s">
        <v>221</v>
      </c>
    </row>
    <row r="24" spans="1:14" ht="18" customHeight="1">
      <c r="A24" s="6" t="s">
        <v>222</v>
      </c>
    </row>
    <row r="25" spans="1:14" ht="18" customHeight="1">
      <c r="A25" s="85" t="s">
        <v>438</v>
      </c>
      <c r="B25" s="85"/>
      <c r="C25" s="85"/>
      <c r="D25" s="85"/>
      <c r="E25" s="80">
        <f>_xlfn.IFNA(VLOOKUP(封面!B1,'2021决算导出'!A:AW,49,FALSE),"")</f>
        <v>5850651</v>
      </c>
      <c r="F25" s="80"/>
      <c r="G25" s="7" t="s">
        <v>179</v>
      </c>
      <c r="H25" s="85" t="s">
        <v>223</v>
      </c>
      <c r="I25" s="85"/>
      <c r="J25" s="85"/>
      <c r="K25" s="85"/>
      <c r="L25" s="80">
        <f>_xlfn.IFNA(VLOOKUP(封面!B1,'2021决算导出'!A:AX,50,FALSE),"")</f>
        <v>4154695</v>
      </c>
      <c r="M25" s="80" t="s">
        <v>179</v>
      </c>
      <c r="N25" s="7" t="s">
        <v>179</v>
      </c>
    </row>
    <row r="26" spans="1:14" ht="18" customHeight="1">
      <c r="A26" s="85" t="s">
        <v>224</v>
      </c>
      <c r="B26" s="85"/>
      <c r="C26" s="85"/>
      <c r="D26" s="80">
        <f>_xlfn.IFNA(VLOOKUP(封面!B1,'2021决算导出'!A:AY,51,FALSE),"")</f>
        <v>0</v>
      </c>
      <c r="E26" s="80" t="s">
        <v>179</v>
      </c>
      <c r="F26" s="7" t="s">
        <v>179</v>
      </c>
      <c r="G26" s="85" t="s">
        <v>225</v>
      </c>
      <c r="H26" s="85"/>
      <c r="I26" s="85"/>
      <c r="J26" s="80">
        <f>_xlfn.IFNA(VLOOKUP(封面!B1,'2021决算导出'!A:AZ,52,FALSE),"")</f>
        <v>1695956</v>
      </c>
      <c r="K26" s="80" t="s">
        <v>179</v>
      </c>
      <c r="L26" s="7" t="s">
        <v>209</v>
      </c>
    </row>
    <row r="27" spans="1:14" ht="18" customHeight="1">
      <c r="A27" s="85" t="s">
        <v>226</v>
      </c>
      <c r="B27" s="85"/>
      <c r="C27" s="85"/>
      <c r="D27" s="85"/>
      <c r="E27" s="80">
        <f>_xlfn.IFNA(VLOOKUP(封面!B1,'2021决算导出'!A:BA,53,FALSE),"")</f>
        <v>4641051</v>
      </c>
      <c r="F27" s="80" t="s">
        <v>179</v>
      </c>
      <c r="G27" s="7" t="s">
        <v>179</v>
      </c>
      <c r="H27" s="83" t="s">
        <v>227</v>
      </c>
      <c r="I27" s="83"/>
      <c r="J27" s="83"/>
      <c r="K27" s="29">
        <f>E27/$E$25</f>
        <v>0.79325377637462913</v>
      </c>
      <c r="L27" s="18" t="s">
        <v>308</v>
      </c>
      <c r="M27" s="7" t="s">
        <v>402</v>
      </c>
    </row>
    <row r="28" spans="1:14" ht="18" customHeight="1">
      <c r="A28" s="85" t="s">
        <v>228</v>
      </c>
      <c r="B28" s="85"/>
      <c r="C28" s="85"/>
      <c r="D28" s="85"/>
      <c r="E28" s="80">
        <f>_xlfn.IFNA(VLOOKUP(封面!B1,'2021决算导出'!A:BB,54,FALSE),"")</f>
        <v>3753851</v>
      </c>
      <c r="F28" s="80" t="s">
        <v>179</v>
      </c>
      <c r="G28" s="7" t="s">
        <v>179</v>
      </c>
      <c r="H28" s="83" t="s">
        <v>227</v>
      </c>
      <c r="I28" s="83"/>
      <c r="J28" s="83"/>
      <c r="K28" s="29">
        <f>E28/$E$25</f>
        <v>0.64161253166527965</v>
      </c>
      <c r="L28" s="18" t="s">
        <v>310</v>
      </c>
    </row>
    <row r="29" spans="1:14" ht="18" customHeight="1">
      <c r="A29" s="6" t="s">
        <v>229</v>
      </c>
    </row>
    <row r="30" spans="1:14" ht="18" customHeight="1">
      <c r="A30" s="85" t="s">
        <v>439</v>
      </c>
      <c r="B30" s="85"/>
      <c r="C30" s="8">
        <f>_xlfn.IFNA(VLOOKUP(封面!B1,'2021决算导出'!A:BC,55,FALSE),"")</f>
        <v>2</v>
      </c>
      <c r="D30" s="7" t="s">
        <v>230</v>
      </c>
      <c r="M30" s="88">
        <f>_xlfn.IFNA(VLOOKUP(封面!B1,'2021决算导出'!A:BD,56,FALSE),"")</f>
        <v>427487.99</v>
      </c>
      <c r="N30" s="88" t="s">
        <v>179</v>
      </c>
    </row>
    <row r="31" spans="1:14" ht="18" customHeight="1">
      <c r="A31" s="12" t="s">
        <v>231</v>
      </c>
      <c r="B31" s="85" t="s">
        <v>232</v>
      </c>
      <c r="C31" s="85"/>
      <c r="D31" s="85"/>
      <c r="E31" s="85"/>
      <c r="F31" s="85"/>
      <c r="G31" s="8">
        <f>_xlfn.IFNA(VLOOKUP(封面!B1,'2021决算导出'!A:BE,57,FALSE),"")</f>
        <v>5</v>
      </c>
      <c r="H31" s="7" t="s">
        <v>233</v>
      </c>
      <c r="J31" s="7" t="s">
        <v>234</v>
      </c>
    </row>
    <row r="32" spans="1:14" ht="18" customHeight="1">
      <c r="A32" s="12">
        <f>_xlfn.IFNA(VLOOKUP(封面!B1,'2021决算导出'!A:BF,58,FALSE),"")</f>
        <v>0</v>
      </c>
      <c r="B32" s="7" t="s">
        <v>235</v>
      </c>
    </row>
    <row r="33" spans="1:14" ht="18" customHeight="1">
      <c r="A33" s="6" t="s">
        <v>236</v>
      </c>
    </row>
    <row r="34" spans="1:14" ht="18" customHeight="1">
      <c r="A34" s="7" t="s">
        <v>237</v>
      </c>
    </row>
    <row r="35" spans="1:14" ht="18" customHeight="1">
      <c r="A35" s="6" t="s">
        <v>238</v>
      </c>
    </row>
    <row r="36" spans="1:14" ht="375.6" customHeight="1">
      <c r="A36" s="81" t="s">
        <v>455</v>
      </c>
      <c r="B36" s="81"/>
      <c r="C36" s="81"/>
      <c r="D36" s="81"/>
      <c r="E36" s="81"/>
      <c r="F36" s="81"/>
      <c r="G36" s="81"/>
      <c r="H36" s="81"/>
      <c r="I36" s="81"/>
      <c r="J36" s="81"/>
      <c r="K36" s="81"/>
      <c r="L36" s="81"/>
      <c r="M36" s="81"/>
      <c r="N36" s="81"/>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78" t="s">
        <v>457</v>
      </c>
      <c r="B10" s="78"/>
      <c r="C10" s="78"/>
      <c r="D10" s="78"/>
      <c r="E10" s="78"/>
      <c r="F10" s="78"/>
      <c r="G10" s="78"/>
      <c r="H10" s="78"/>
      <c r="I10" s="78"/>
      <c r="J10" s="78"/>
      <c r="K10" s="78"/>
      <c r="L10" s="78"/>
      <c r="M10" s="78"/>
      <c r="N10" s="78"/>
    </row>
    <row r="11" spans="1:14" ht="78" customHeight="1">
      <c r="A11" s="79" t="s">
        <v>458</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6" customWidth="1"/>
    <col min="2" max="2" width="15.5" style="58" customWidth="1"/>
    <col min="3" max="3" width="5.875" style="58" customWidth="1"/>
    <col min="4" max="6" width="13.375" style="58" customWidth="1"/>
    <col min="7" max="8" width="12.5" style="58" customWidth="1"/>
    <col min="9" max="9" width="9" style="58" customWidth="1"/>
    <col min="10" max="10" width="12.25" style="58" customWidth="1"/>
    <col min="11" max="13" width="13.375" style="58" customWidth="1"/>
    <col min="14" max="14" width="12.625" style="58" customWidth="1"/>
    <col min="15" max="20" width="13.375" style="58" customWidth="1"/>
    <col min="21" max="21" width="11.5" style="58" customWidth="1"/>
    <col min="22" max="22" width="13.375" style="58" customWidth="1"/>
    <col min="23" max="23" width="11" style="58" customWidth="1"/>
    <col min="24" max="24" width="11.625" style="67" customWidth="1"/>
    <col min="25" max="25" width="10.5" style="58" customWidth="1"/>
    <col min="26" max="26" width="10.375" style="58" customWidth="1"/>
    <col min="27" max="27" width="13.375" style="58" customWidth="1"/>
    <col min="28" max="28" width="11" style="58" customWidth="1"/>
    <col min="29" max="29" width="10.875" style="58" customWidth="1"/>
    <col min="30" max="34" width="7.5" style="58" customWidth="1"/>
    <col min="35" max="35" width="13.375" style="58" customWidth="1"/>
    <col min="36" max="36" width="11.25" style="58" customWidth="1"/>
    <col min="37" max="40" width="6.875" style="58" customWidth="1"/>
    <col min="41" max="41" width="12.5" style="58" customWidth="1"/>
    <col min="42" max="42" width="11.75" style="58" customWidth="1"/>
    <col min="43" max="46" width="11.125" style="58" customWidth="1"/>
    <col min="47" max="47" width="8.5" style="58" customWidth="1"/>
    <col min="48" max="51" width="13.375" style="58" customWidth="1"/>
    <col min="52" max="52" width="12.375" style="58" customWidth="1"/>
    <col min="53" max="53" width="12" style="58" customWidth="1"/>
    <col min="54" max="54" width="13.375" style="58" customWidth="1"/>
    <col min="55" max="55" width="10" style="58" customWidth="1"/>
    <col min="56" max="56" width="13.375" style="58" customWidth="1"/>
    <col min="57" max="57" width="9" style="58" customWidth="1"/>
    <col min="58" max="58" width="9.5" style="58" customWidth="1"/>
    <col min="59" max="16384" width="8.875" style="58"/>
  </cols>
  <sheetData>
    <row r="1" spans="1:58" ht="60" customHeight="1">
      <c r="A1" s="21" t="s">
        <v>440</v>
      </c>
      <c r="B1" s="22" t="s">
        <v>245</v>
      </c>
      <c r="C1" s="22" t="s">
        <v>240</v>
      </c>
      <c r="D1" s="22" t="s">
        <v>246</v>
      </c>
      <c r="E1" s="22" t="s">
        <v>247</v>
      </c>
      <c r="F1" s="22" t="s">
        <v>248</v>
      </c>
      <c r="G1" s="22" t="s">
        <v>249</v>
      </c>
      <c r="H1" s="22" t="s">
        <v>250</v>
      </c>
      <c r="I1" s="22" t="s">
        <v>251</v>
      </c>
      <c r="J1" s="22" t="s">
        <v>252</v>
      </c>
      <c r="K1" s="22" t="s">
        <v>253</v>
      </c>
      <c r="L1" s="22" t="s">
        <v>254</v>
      </c>
      <c r="M1" s="22" t="s">
        <v>255</v>
      </c>
      <c r="N1" s="22" t="s">
        <v>256</v>
      </c>
      <c r="O1" s="22" t="s">
        <v>257</v>
      </c>
      <c r="P1" s="22" t="s">
        <v>258</v>
      </c>
      <c r="Q1" s="22" t="s">
        <v>259</v>
      </c>
      <c r="R1" s="22" t="s">
        <v>260</v>
      </c>
      <c r="S1" s="22" t="s">
        <v>261</v>
      </c>
      <c r="T1" s="22" t="s">
        <v>262</v>
      </c>
      <c r="U1" s="22" t="s">
        <v>263</v>
      </c>
      <c r="V1" s="22" t="s">
        <v>265</v>
      </c>
      <c r="W1" s="22" t="s">
        <v>445</v>
      </c>
      <c r="X1" s="57" t="s">
        <v>446</v>
      </c>
      <c r="Y1" s="22" t="s">
        <v>447</v>
      </c>
      <c r="Z1" s="22" t="s">
        <v>441</v>
      </c>
      <c r="AA1" s="22" t="s">
        <v>268</v>
      </c>
      <c r="AB1" s="22" t="s">
        <v>269</v>
      </c>
      <c r="AC1" s="22" t="s">
        <v>270</v>
      </c>
      <c r="AD1" s="22" t="s">
        <v>271</v>
      </c>
      <c r="AE1" s="22" t="s">
        <v>272</v>
      </c>
      <c r="AF1" s="22" t="s">
        <v>273</v>
      </c>
      <c r="AG1" s="22" t="s">
        <v>274</v>
      </c>
      <c r="AH1" s="22" t="s">
        <v>275</v>
      </c>
      <c r="AI1" s="22" t="s">
        <v>276</v>
      </c>
      <c r="AJ1" s="22" t="s">
        <v>277</v>
      </c>
      <c r="AK1" s="22" t="s">
        <v>278</v>
      </c>
      <c r="AL1" s="22" t="s">
        <v>279</v>
      </c>
      <c r="AM1" s="22" t="s">
        <v>313</v>
      </c>
      <c r="AN1" s="22" t="s">
        <v>314</v>
      </c>
      <c r="AO1" s="22" t="s">
        <v>280</v>
      </c>
      <c r="AP1" s="22" t="s">
        <v>281</v>
      </c>
      <c r="AQ1" s="22" t="s">
        <v>282</v>
      </c>
      <c r="AR1" s="22" t="s">
        <v>283</v>
      </c>
      <c r="AS1" s="22" t="s">
        <v>284</v>
      </c>
      <c r="AT1" s="22" t="s">
        <v>285</v>
      </c>
      <c r="AU1" s="22" t="s">
        <v>286</v>
      </c>
      <c r="AV1" s="22" t="s">
        <v>315</v>
      </c>
      <c r="AW1" s="22" t="s">
        <v>287</v>
      </c>
      <c r="AX1" s="22" t="s">
        <v>288</v>
      </c>
      <c r="AY1" s="22" t="s">
        <v>289</v>
      </c>
      <c r="AZ1" s="22" t="s">
        <v>290</v>
      </c>
      <c r="BA1" s="22" t="s">
        <v>291</v>
      </c>
      <c r="BB1" s="22" t="s">
        <v>292</v>
      </c>
      <c r="BC1" s="22" t="s">
        <v>293</v>
      </c>
      <c r="BD1" s="22" t="s">
        <v>403</v>
      </c>
      <c r="BE1" s="22" t="s">
        <v>294</v>
      </c>
      <c r="BF1" s="22" t="s">
        <v>295</v>
      </c>
    </row>
    <row r="2" spans="1:58" ht="11.65" customHeight="1">
      <c r="A2" s="59">
        <v>255001</v>
      </c>
      <c r="B2" s="25" t="s">
        <v>296</v>
      </c>
      <c r="C2" s="60">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1">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0">
        <v>0</v>
      </c>
      <c r="AV2" s="26">
        <v>0</v>
      </c>
      <c r="AW2" s="26">
        <v>1984485.61</v>
      </c>
      <c r="AX2" s="26">
        <v>0</v>
      </c>
      <c r="AY2" s="26">
        <v>0</v>
      </c>
      <c r="AZ2" s="60">
        <v>1984486</v>
      </c>
      <c r="BA2" s="60">
        <v>0</v>
      </c>
      <c r="BB2" s="26">
        <v>0</v>
      </c>
      <c r="BC2" s="60">
        <v>0</v>
      </c>
      <c r="BD2" s="26">
        <v>0</v>
      </c>
      <c r="BE2" s="60">
        <v>0</v>
      </c>
      <c r="BF2" s="60">
        <v>0</v>
      </c>
    </row>
    <row r="3" spans="1:58" ht="11.65" customHeight="1">
      <c r="A3" s="59">
        <v>255002</v>
      </c>
      <c r="B3" s="25" t="s">
        <v>2</v>
      </c>
      <c r="C3" s="60">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1">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0">
        <v>1</v>
      </c>
      <c r="AV3" s="26">
        <v>6193.88</v>
      </c>
      <c r="AW3" s="26">
        <v>220862.5</v>
      </c>
      <c r="AX3" s="26">
        <v>220862.5</v>
      </c>
      <c r="AY3" s="26">
        <v>0</v>
      </c>
      <c r="AZ3" s="60">
        <v>0</v>
      </c>
      <c r="BA3" s="60">
        <v>0</v>
      </c>
      <c r="BB3" s="26">
        <v>0</v>
      </c>
      <c r="BC3" s="60">
        <v>1</v>
      </c>
      <c r="BD3" s="26">
        <v>119239</v>
      </c>
      <c r="BE3" s="60">
        <v>0</v>
      </c>
      <c r="BF3" s="60">
        <v>0</v>
      </c>
    </row>
    <row r="4" spans="1:58" ht="11.65" customHeight="1">
      <c r="A4" s="59">
        <v>255003</v>
      </c>
      <c r="B4" s="25" t="s">
        <v>3</v>
      </c>
      <c r="C4" s="60">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1">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0">
        <v>2</v>
      </c>
      <c r="AV4" s="26">
        <v>5465.39</v>
      </c>
      <c r="AW4" s="26">
        <v>4680912.5</v>
      </c>
      <c r="AX4" s="26">
        <v>2780112.5</v>
      </c>
      <c r="AY4" s="26">
        <v>0</v>
      </c>
      <c r="AZ4" s="60">
        <v>1900800</v>
      </c>
      <c r="BA4" s="60">
        <v>0</v>
      </c>
      <c r="BB4" s="26">
        <v>0</v>
      </c>
      <c r="BC4" s="60">
        <v>2</v>
      </c>
      <c r="BD4" s="26">
        <v>443941</v>
      </c>
      <c r="BE4" s="60">
        <v>3</v>
      </c>
      <c r="BF4" s="60">
        <v>0</v>
      </c>
    </row>
    <row r="5" spans="1:58" ht="11.65" customHeight="1">
      <c r="A5" s="59">
        <v>255004</v>
      </c>
      <c r="B5" s="25" t="s">
        <v>4</v>
      </c>
      <c r="C5" s="60">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1">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0">
        <v>1</v>
      </c>
      <c r="AV5" s="26">
        <v>15479.36</v>
      </c>
      <c r="AW5" s="26">
        <v>524063</v>
      </c>
      <c r="AX5" s="26">
        <v>200063</v>
      </c>
      <c r="AY5" s="26">
        <v>0</v>
      </c>
      <c r="AZ5" s="60">
        <v>324000</v>
      </c>
      <c r="BA5" s="60">
        <v>0</v>
      </c>
      <c r="BB5" s="26">
        <v>0</v>
      </c>
      <c r="BC5" s="60">
        <v>1</v>
      </c>
      <c r="BD5" s="26">
        <v>207876</v>
      </c>
      <c r="BE5" s="60">
        <v>0</v>
      </c>
      <c r="BF5" s="60">
        <v>0</v>
      </c>
    </row>
    <row r="6" spans="1:58" ht="11.65" customHeight="1">
      <c r="A6" s="59">
        <v>255005</v>
      </c>
      <c r="B6" s="25" t="s">
        <v>5</v>
      </c>
      <c r="C6" s="60">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1">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0">
        <v>2</v>
      </c>
      <c r="AV6" s="26">
        <v>16906.060000000001</v>
      </c>
      <c r="AW6" s="26">
        <v>11924789.189999999</v>
      </c>
      <c r="AX6" s="26">
        <v>3495623</v>
      </c>
      <c r="AY6" s="26">
        <v>0</v>
      </c>
      <c r="AZ6" s="60">
        <v>8429166</v>
      </c>
      <c r="BA6" s="60">
        <v>11924789</v>
      </c>
      <c r="BB6" s="26">
        <v>0</v>
      </c>
      <c r="BC6" s="60">
        <v>2</v>
      </c>
      <c r="BD6" s="26">
        <v>308359.21999999997</v>
      </c>
      <c r="BE6" s="60">
        <v>5</v>
      </c>
      <c r="BF6" s="60">
        <v>0</v>
      </c>
    </row>
    <row r="7" spans="1:58" ht="11.65" customHeight="1">
      <c r="A7" s="59">
        <v>255006</v>
      </c>
      <c r="B7" s="25" t="s">
        <v>6</v>
      </c>
      <c r="C7" s="60">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1">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0">
        <v>1</v>
      </c>
      <c r="AV7" s="26">
        <v>15985.28</v>
      </c>
      <c r="AW7" s="26">
        <v>1718072.58</v>
      </c>
      <c r="AX7" s="26">
        <v>466686.18</v>
      </c>
      <c r="AY7" s="26">
        <v>0</v>
      </c>
      <c r="AZ7" s="60">
        <v>1251386</v>
      </c>
      <c r="BA7" s="60">
        <v>0</v>
      </c>
      <c r="BB7" s="26">
        <v>0</v>
      </c>
      <c r="BC7" s="60">
        <v>1</v>
      </c>
      <c r="BD7" s="26">
        <v>188000</v>
      </c>
      <c r="BE7" s="60">
        <v>0</v>
      </c>
      <c r="BF7" s="60">
        <v>0</v>
      </c>
    </row>
    <row r="8" spans="1:58" ht="11.65" customHeight="1">
      <c r="A8" s="59">
        <v>255007</v>
      </c>
      <c r="B8" s="25" t="s">
        <v>7</v>
      </c>
      <c r="C8" s="60">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1">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0">
        <v>1</v>
      </c>
      <c r="AV8" s="26">
        <v>5783.8</v>
      </c>
      <c r="AW8" s="26">
        <v>499585.1</v>
      </c>
      <c r="AX8" s="26">
        <v>176585.1</v>
      </c>
      <c r="AY8" s="26">
        <v>0</v>
      </c>
      <c r="AZ8" s="60">
        <v>323000</v>
      </c>
      <c r="BA8" s="60">
        <v>0</v>
      </c>
      <c r="BB8" s="26">
        <v>0</v>
      </c>
      <c r="BC8" s="60">
        <v>1</v>
      </c>
      <c r="BD8" s="26">
        <v>166244.74</v>
      </c>
      <c r="BE8" s="60">
        <v>0</v>
      </c>
      <c r="BF8" s="60">
        <v>0</v>
      </c>
    </row>
    <row r="9" spans="1:58" ht="11.65" customHeight="1">
      <c r="A9" s="59">
        <v>255009</v>
      </c>
      <c r="B9" s="25" t="s">
        <v>8</v>
      </c>
      <c r="C9" s="60">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1">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0">
        <v>2</v>
      </c>
      <c r="AV9" s="26">
        <v>27000</v>
      </c>
      <c r="AW9" s="26">
        <v>2904210.51</v>
      </c>
      <c r="AX9" s="26">
        <v>1201000</v>
      </c>
      <c r="AY9" s="26">
        <v>1703210.51</v>
      </c>
      <c r="AZ9" s="60">
        <v>0</v>
      </c>
      <c r="BA9" s="60">
        <v>0</v>
      </c>
      <c r="BB9" s="26">
        <v>0</v>
      </c>
      <c r="BC9" s="60">
        <v>2</v>
      </c>
      <c r="BD9" s="26">
        <v>738932.99</v>
      </c>
      <c r="BE9" s="60">
        <v>8</v>
      </c>
      <c r="BF9" s="60">
        <v>2</v>
      </c>
    </row>
    <row r="10" spans="1:58" ht="11.65" customHeight="1">
      <c r="A10" s="59">
        <v>255010</v>
      </c>
      <c r="B10" s="25" t="s">
        <v>9</v>
      </c>
      <c r="C10" s="60">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1">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0">
        <v>1</v>
      </c>
      <c r="AV10" s="26">
        <v>5293.99</v>
      </c>
      <c r="AW10" s="26">
        <v>429504.99</v>
      </c>
      <c r="AX10" s="26">
        <v>99504.99</v>
      </c>
      <c r="AY10" s="26">
        <v>0</v>
      </c>
      <c r="AZ10" s="60">
        <v>330000</v>
      </c>
      <c r="BA10" s="60">
        <v>0</v>
      </c>
      <c r="BB10" s="26">
        <v>0</v>
      </c>
      <c r="BC10" s="60">
        <v>1</v>
      </c>
      <c r="BD10" s="26">
        <v>149220</v>
      </c>
      <c r="BE10" s="60">
        <v>1</v>
      </c>
      <c r="BF10" s="60">
        <v>0</v>
      </c>
    </row>
    <row r="11" spans="1:58" ht="11.65" customHeight="1">
      <c r="A11" s="59">
        <v>255012</v>
      </c>
      <c r="B11" s="25" t="s">
        <v>10</v>
      </c>
      <c r="C11" s="60">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1">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0">
        <v>1</v>
      </c>
      <c r="AV11" s="26">
        <v>4111.97</v>
      </c>
      <c r="AW11" s="26">
        <v>5061365.4000000004</v>
      </c>
      <c r="AX11" s="26">
        <v>376308.5</v>
      </c>
      <c r="AY11" s="26">
        <v>4185856.9</v>
      </c>
      <c r="AZ11" s="60">
        <v>499200</v>
      </c>
      <c r="BA11" s="60">
        <v>875509</v>
      </c>
      <c r="BB11" s="26">
        <v>875508.5</v>
      </c>
      <c r="BC11" s="60">
        <v>1</v>
      </c>
      <c r="BD11" s="26">
        <v>195400</v>
      </c>
      <c r="BE11" s="60">
        <v>1</v>
      </c>
      <c r="BF11" s="60">
        <v>0</v>
      </c>
    </row>
    <row r="12" spans="1:58" ht="11.65" customHeight="1">
      <c r="A12" s="59">
        <v>255013</v>
      </c>
      <c r="B12" s="25" t="s">
        <v>11</v>
      </c>
      <c r="C12" s="60">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1">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0">
        <v>1</v>
      </c>
      <c r="AV12" s="26">
        <v>24682.73</v>
      </c>
      <c r="AW12" s="26">
        <v>285000</v>
      </c>
      <c r="AX12" s="26">
        <v>0</v>
      </c>
      <c r="AY12" s="26">
        <v>0</v>
      </c>
      <c r="AZ12" s="60">
        <v>285000</v>
      </c>
      <c r="BA12" s="60">
        <v>0</v>
      </c>
      <c r="BB12" s="26">
        <v>0</v>
      </c>
      <c r="BC12" s="60">
        <v>1</v>
      </c>
      <c r="BD12" s="26">
        <v>169582.99</v>
      </c>
      <c r="BE12" s="60">
        <v>1</v>
      </c>
      <c r="BF12" s="60">
        <v>0</v>
      </c>
    </row>
    <row r="13" spans="1:58" ht="11.65" customHeight="1">
      <c r="A13" s="59">
        <v>255015</v>
      </c>
      <c r="B13" s="25" t="s">
        <v>12</v>
      </c>
      <c r="C13" s="60">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1">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0">
        <v>1</v>
      </c>
      <c r="AV13" s="26">
        <v>27000</v>
      </c>
      <c r="AW13" s="26">
        <v>2159827.42</v>
      </c>
      <c r="AX13" s="26">
        <v>1014861.15</v>
      </c>
      <c r="AY13" s="26">
        <v>374966.27</v>
      </c>
      <c r="AZ13" s="60">
        <v>770000</v>
      </c>
      <c r="BA13" s="60">
        <v>1171792</v>
      </c>
      <c r="BB13" s="26">
        <v>0</v>
      </c>
      <c r="BC13" s="60">
        <v>1</v>
      </c>
      <c r="BD13" s="26">
        <v>191190</v>
      </c>
      <c r="BE13" s="60">
        <v>5</v>
      </c>
      <c r="BF13" s="60">
        <v>0</v>
      </c>
    </row>
    <row r="14" spans="1:58" ht="11.65" customHeight="1">
      <c r="A14" s="59">
        <v>255016</v>
      </c>
      <c r="B14" s="25" t="s">
        <v>13</v>
      </c>
      <c r="C14" s="60">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1">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0">
        <v>1</v>
      </c>
      <c r="AV14" s="26">
        <v>8872.59</v>
      </c>
      <c r="AW14" s="26">
        <v>1824711.54</v>
      </c>
      <c r="AX14" s="26">
        <v>226800</v>
      </c>
      <c r="AY14" s="26">
        <v>0</v>
      </c>
      <c r="AZ14" s="60">
        <v>1597912</v>
      </c>
      <c r="BA14" s="60">
        <v>1824712</v>
      </c>
      <c r="BB14" s="26">
        <v>0</v>
      </c>
      <c r="BC14" s="60">
        <v>1</v>
      </c>
      <c r="BD14" s="26">
        <v>169582.99</v>
      </c>
      <c r="BE14" s="60">
        <v>0</v>
      </c>
      <c r="BF14" s="60">
        <v>0</v>
      </c>
    </row>
    <row r="15" spans="1:58" ht="11.65" customHeight="1">
      <c r="A15" s="59">
        <v>255017</v>
      </c>
      <c r="B15" s="25" t="s">
        <v>14</v>
      </c>
      <c r="C15" s="60">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1">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0">
        <v>2</v>
      </c>
      <c r="AV15" s="26">
        <v>9475.33</v>
      </c>
      <c r="AW15" s="26">
        <v>3699593.97</v>
      </c>
      <c r="AX15" s="26">
        <v>694678</v>
      </c>
      <c r="AY15" s="26">
        <v>0</v>
      </c>
      <c r="AZ15" s="60">
        <v>3004916</v>
      </c>
      <c r="BA15" s="60">
        <v>0</v>
      </c>
      <c r="BB15" s="26">
        <v>0</v>
      </c>
      <c r="BC15" s="60">
        <v>2</v>
      </c>
      <c r="BD15" s="26">
        <v>344382.99</v>
      </c>
      <c r="BE15" s="60">
        <v>3</v>
      </c>
      <c r="BF15" s="60">
        <v>0</v>
      </c>
    </row>
    <row r="16" spans="1:58" ht="11.65" customHeight="1">
      <c r="A16" s="59">
        <v>255018</v>
      </c>
      <c r="B16" s="25" t="s">
        <v>15</v>
      </c>
      <c r="C16" s="60">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1">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0">
        <v>1</v>
      </c>
      <c r="AV16" s="26">
        <v>6463</v>
      </c>
      <c r="AW16" s="26">
        <v>554460</v>
      </c>
      <c r="AX16" s="26">
        <v>0</v>
      </c>
      <c r="AY16" s="26">
        <v>0</v>
      </c>
      <c r="AZ16" s="60">
        <v>554460</v>
      </c>
      <c r="BA16" s="60">
        <v>554460</v>
      </c>
      <c r="BB16" s="26">
        <v>554460</v>
      </c>
      <c r="BC16" s="60">
        <v>1</v>
      </c>
      <c r="BD16" s="26">
        <v>195190</v>
      </c>
      <c r="BE16" s="60">
        <v>1</v>
      </c>
      <c r="BF16" s="60">
        <v>0</v>
      </c>
    </row>
    <row r="17" spans="1:58" ht="11.65" customHeight="1">
      <c r="A17" s="59">
        <v>255019</v>
      </c>
      <c r="B17" s="25" t="s">
        <v>16</v>
      </c>
      <c r="C17" s="60">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1">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0">
        <v>1</v>
      </c>
      <c r="AV17" s="26">
        <v>2414.71</v>
      </c>
      <c r="AW17" s="26">
        <v>823800</v>
      </c>
      <c r="AX17" s="26">
        <v>0</v>
      </c>
      <c r="AY17" s="26">
        <v>0</v>
      </c>
      <c r="AZ17" s="60">
        <v>823800</v>
      </c>
      <c r="BA17" s="60">
        <v>0</v>
      </c>
      <c r="BB17" s="26">
        <v>0</v>
      </c>
      <c r="BC17" s="60">
        <v>1</v>
      </c>
      <c r="BD17" s="26">
        <v>125800</v>
      </c>
      <c r="BE17" s="60">
        <v>1</v>
      </c>
      <c r="BF17" s="60">
        <v>0</v>
      </c>
    </row>
    <row r="18" spans="1:58" ht="11.65" customHeight="1">
      <c r="A18" s="59">
        <v>255020</v>
      </c>
      <c r="B18" s="25" t="s">
        <v>17</v>
      </c>
      <c r="C18" s="60">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1">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0">
        <v>1</v>
      </c>
      <c r="AV18" s="26">
        <v>7021.43</v>
      </c>
      <c r="AW18" s="26">
        <v>264600</v>
      </c>
      <c r="AX18" s="26">
        <v>0</v>
      </c>
      <c r="AY18" s="26">
        <v>0</v>
      </c>
      <c r="AZ18" s="60">
        <v>264600</v>
      </c>
      <c r="BA18" s="60">
        <v>0</v>
      </c>
      <c r="BB18" s="26">
        <v>0</v>
      </c>
      <c r="BC18" s="60">
        <v>1</v>
      </c>
      <c r="BD18" s="26">
        <v>257905</v>
      </c>
      <c r="BE18" s="60">
        <v>0</v>
      </c>
      <c r="BF18" s="60">
        <v>0</v>
      </c>
    </row>
    <row r="19" spans="1:58" ht="11.65" customHeight="1">
      <c r="A19" s="59">
        <v>255021</v>
      </c>
      <c r="B19" s="25" t="s">
        <v>18</v>
      </c>
      <c r="C19" s="60">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1">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0">
        <v>1</v>
      </c>
      <c r="AV19" s="26">
        <v>15434.64</v>
      </c>
      <c r="AW19" s="26">
        <v>531557</v>
      </c>
      <c r="AX19" s="26">
        <v>25557</v>
      </c>
      <c r="AY19" s="26">
        <v>0</v>
      </c>
      <c r="AZ19" s="60">
        <v>506000</v>
      </c>
      <c r="BA19" s="60">
        <v>0</v>
      </c>
      <c r="BB19" s="26">
        <v>0</v>
      </c>
      <c r="BC19" s="60">
        <v>1</v>
      </c>
      <c r="BD19" s="26">
        <v>257905</v>
      </c>
      <c r="BE19" s="60">
        <v>1</v>
      </c>
      <c r="BF19" s="60">
        <v>0</v>
      </c>
    </row>
    <row r="20" spans="1:58" ht="11.65" customHeight="1">
      <c r="A20" s="59">
        <v>255022</v>
      </c>
      <c r="B20" s="25" t="s">
        <v>19</v>
      </c>
      <c r="C20" s="60">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1">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0">
        <v>1</v>
      </c>
      <c r="AV20" s="26">
        <v>27000</v>
      </c>
      <c r="AW20" s="26">
        <v>236450</v>
      </c>
      <c r="AX20" s="26">
        <v>0</v>
      </c>
      <c r="AY20" s="26">
        <v>0</v>
      </c>
      <c r="AZ20" s="60">
        <v>236450</v>
      </c>
      <c r="BA20" s="60">
        <v>236450</v>
      </c>
      <c r="BB20" s="26">
        <v>0</v>
      </c>
      <c r="BC20" s="60">
        <v>1</v>
      </c>
      <c r="BD20" s="26">
        <v>240835.09</v>
      </c>
      <c r="BE20" s="60">
        <v>0</v>
      </c>
      <c r="BF20" s="60">
        <v>0</v>
      </c>
    </row>
    <row r="21" spans="1:58" ht="11.65" customHeight="1">
      <c r="A21" s="59">
        <v>255025</v>
      </c>
      <c r="B21" s="25" t="s">
        <v>20</v>
      </c>
      <c r="C21" s="60">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1">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0">
        <v>1</v>
      </c>
      <c r="AV21" s="26">
        <v>18837.919999999998</v>
      </c>
      <c r="AW21" s="26">
        <v>420819.7</v>
      </c>
      <c r="AX21" s="26">
        <v>420819.7</v>
      </c>
      <c r="AY21" s="26">
        <v>0</v>
      </c>
      <c r="AZ21" s="60">
        <v>0</v>
      </c>
      <c r="BA21" s="60">
        <v>420820</v>
      </c>
      <c r="BB21" s="26">
        <v>420819.7</v>
      </c>
      <c r="BC21" s="60">
        <v>1</v>
      </c>
      <c r="BD21" s="26">
        <v>195400</v>
      </c>
      <c r="BE21" s="60">
        <v>1</v>
      </c>
      <c r="BF21" s="60">
        <v>0</v>
      </c>
    </row>
    <row r="22" spans="1:58" ht="11.65" customHeight="1">
      <c r="A22" s="59">
        <v>255026</v>
      </c>
      <c r="B22" s="25" t="s">
        <v>21</v>
      </c>
      <c r="C22" s="60">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1">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0">
        <v>1</v>
      </c>
      <c r="AV22" s="26">
        <v>5488.03</v>
      </c>
      <c r="AW22" s="26">
        <v>806840</v>
      </c>
      <c r="AX22" s="26">
        <v>60960</v>
      </c>
      <c r="AY22" s="26">
        <v>0</v>
      </c>
      <c r="AZ22" s="60">
        <v>745880</v>
      </c>
      <c r="BA22" s="60">
        <v>0</v>
      </c>
      <c r="BB22" s="26">
        <v>0</v>
      </c>
      <c r="BC22" s="60">
        <v>1</v>
      </c>
      <c r="BD22" s="26">
        <v>257905</v>
      </c>
      <c r="BE22" s="60">
        <v>2</v>
      </c>
      <c r="BF22" s="60">
        <v>0</v>
      </c>
    </row>
    <row r="23" spans="1:58" ht="11.65" customHeight="1">
      <c r="A23" s="59">
        <v>255027</v>
      </c>
      <c r="B23" s="25" t="s">
        <v>22</v>
      </c>
      <c r="C23" s="60">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1">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0">
        <v>2</v>
      </c>
      <c r="AV23" s="26">
        <v>15832.19</v>
      </c>
      <c r="AW23" s="26">
        <v>3073928.16</v>
      </c>
      <c r="AX23" s="26">
        <v>1501970.31</v>
      </c>
      <c r="AY23" s="26">
        <v>0</v>
      </c>
      <c r="AZ23" s="60">
        <v>1571958</v>
      </c>
      <c r="BA23" s="60">
        <v>1501970</v>
      </c>
      <c r="BB23" s="26">
        <v>1501970.31</v>
      </c>
      <c r="BC23" s="60">
        <v>2</v>
      </c>
      <c r="BD23" s="26">
        <v>598343.42000000004</v>
      </c>
      <c r="BE23" s="60">
        <v>3</v>
      </c>
      <c r="BF23" s="60">
        <v>0</v>
      </c>
    </row>
    <row r="24" spans="1:58" ht="11.65" customHeight="1">
      <c r="A24" s="59">
        <v>255028</v>
      </c>
      <c r="B24" s="25" t="s">
        <v>23</v>
      </c>
      <c r="C24" s="60">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1">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0">
        <v>0</v>
      </c>
      <c r="AV24" s="26">
        <v>0</v>
      </c>
      <c r="AW24" s="26">
        <v>2170768.1</v>
      </c>
      <c r="AX24" s="26">
        <v>0</v>
      </c>
      <c r="AY24" s="26">
        <v>0</v>
      </c>
      <c r="AZ24" s="60">
        <v>2170768</v>
      </c>
      <c r="BA24" s="60">
        <v>0</v>
      </c>
      <c r="BB24" s="26">
        <v>0</v>
      </c>
      <c r="BC24" s="60">
        <v>0</v>
      </c>
      <c r="BD24" s="26">
        <v>0</v>
      </c>
      <c r="BE24" s="60">
        <v>0</v>
      </c>
      <c r="BF24" s="60">
        <v>0</v>
      </c>
    </row>
    <row r="25" spans="1:58" ht="11.65" customHeight="1">
      <c r="A25" s="59">
        <v>255029</v>
      </c>
      <c r="B25" s="25" t="s">
        <v>24</v>
      </c>
      <c r="C25" s="60">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1">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0">
        <v>1</v>
      </c>
      <c r="AV25" s="26">
        <v>6114.86</v>
      </c>
      <c r="AW25" s="26">
        <v>473009.2</v>
      </c>
      <c r="AX25" s="26">
        <v>473009.2</v>
      </c>
      <c r="AY25" s="26">
        <v>0</v>
      </c>
      <c r="AZ25" s="60">
        <v>0</v>
      </c>
      <c r="BA25" s="60">
        <v>0</v>
      </c>
      <c r="BB25" s="26">
        <v>0</v>
      </c>
      <c r="BC25" s="60">
        <v>1</v>
      </c>
      <c r="BD25" s="26">
        <v>156230</v>
      </c>
      <c r="BE25" s="60">
        <v>2</v>
      </c>
      <c r="BF25" s="60">
        <v>0</v>
      </c>
    </row>
    <row r="26" spans="1:58" ht="11.65" customHeight="1">
      <c r="A26" s="59">
        <v>255030</v>
      </c>
      <c r="B26" s="25" t="s">
        <v>25</v>
      </c>
      <c r="C26" s="60">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1">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0">
        <v>1</v>
      </c>
      <c r="AV26" s="26">
        <v>10000</v>
      </c>
      <c r="AW26" s="26">
        <v>3361874</v>
      </c>
      <c r="AX26" s="26">
        <v>2885000</v>
      </c>
      <c r="AY26" s="26">
        <v>0</v>
      </c>
      <c r="AZ26" s="60">
        <v>476874</v>
      </c>
      <c r="BA26" s="60">
        <v>3361874</v>
      </c>
      <c r="BB26" s="26">
        <v>3361874</v>
      </c>
      <c r="BC26" s="60">
        <v>1</v>
      </c>
      <c r="BD26" s="26">
        <v>170766</v>
      </c>
      <c r="BE26" s="60">
        <v>9</v>
      </c>
      <c r="BF26" s="60">
        <v>0</v>
      </c>
    </row>
    <row r="27" spans="1:58" ht="11.65" customHeight="1">
      <c r="A27" s="59">
        <v>255031</v>
      </c>
      <c r="B27" s="25" t="s">
        <v>26</v>
      </c>
      <c r="C27" s="60">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1">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0">
        <v>1</v>
      </c>
      <c r="AV27" s="26">
        <v>7691.65</v>
      </c>
      <c r="AW27" s="26">
        <v>2072000</v>
      </c>
      <c r="AX27" s="26">
        <v>340400</v>
      </c>
      <c r="AY27" s="26">
        <v>0</v>
      </c>
      <c r="AZ27" s="60">
        <v>1731600</v>
      </c>
      <c r="BA27" s="60">
        <v>2072000</v>
      </c>
      <c r="BB27" s="26">
        <v>0</v>
      </c>
      <c r="BC27" s="60">
        <v>1</v>
      </c>
      <c r="BD27" s="26">
        <v>124524</v>
      </c>
      <c r="BE27" s="60">
        <v>10</v>
      </c>
      <c r="BF27" s="60">
        <v>0</v>
      </c>
    </row>
    <row r="28" spans="1:58" ht="11.65" customHeight="1">
      <c r="A28" s="59">
        <v>255033</v>
      </c>
      <c r="B28" s="25" t="s">
        <v>27</v>
      </c>
      <c r="C28" s="60">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1">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0">
        <v>1</v>
      </c>
      <c r="AV28" s="26">
        <v>4753.46</v>
      </c>
      <c r="AW28" s="26">
        <v>1368697</v>
      </c>
      <c r="AX28" s="26">
        <v>552697</v>
      </c>
      <c r="AY28" s="26">
        <v>0</v>
      </c>
      <c r="AZ28" s="60">
        <v>816000</v>
      </c>
      <c r="BA28" s="60">
        <v>1368697</v>
      </c>
      <c r="BB28" s="26">
        <v>934085</v>
      </c>
      <c r="BC28" s="60">
        <v>1</v>
      </c>
      <c r="BD28" s="26">
        <v>203876</v>
      </c>
      <c r="BE28" s="60">
        <v>0</v>
      </c>
      <c r="BF28" s="60">
        <v>0</v>
      </c>
    </row>
    <row r="29" spans="1:58" ht="11.65" customHeight="1">
      <c r="A29" s="59">
        <v>255034</v>
      </c>
      <c r="B29" s="25" t="s">
        <v>28</v>
      </c>
      <c r="C29" s="60">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1">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0">
        <v>0</v>
      </c>
      <c r="AV29" s="26">
        <v>0</v>
      </c>
      <c r="AW29" s="26">
        <v>871985</v>
      </c>
      <c r="AX29" s="26">
        <v>364385</v>
      </c>
      <c r="AY29" s="26">
        <v>0</v>
      </c>
      <c r="AZ29" s="60">
        <v>507600</v>
      </c>
      <c r="BA29" s="60">
        <v>871985</v>
      </c>
      <c r="BB29" s="26">
        <v>871985</v>
      </c>
      <c r="BC29" s="60">
        <v>0</v>
      </c>
      <c r="BD29" s="26">
        <v>0</v>
      </c>
      <c r="BE29" s="60">
        <v>0</v>
      </c>
      <c r="BF29" s="60">
        <v>0</v>
      </c>
    </row>
    <row r="30" spans="1:58" ht="11.65" customHeight="1">
      <c r="A30" s="59">
        <v>255035</v>
      </c>
      <c r="B30" s="25" t="s">
        <v>29</v>
      </c>
      <c r="C30" s="60">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1">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0">
        <v>0</v>
      </c>
      <c r="AV30" s="26">
        <v>0</v>
      </c>
      <c r="AW30" s="26">
        <v>572428.35</v>
      </c>
      <c r="AX30" s="26">
        <v>104050.51</v>
      </c>
      <c r="AY30" s="26">
        <v>292097.84000000003</v>
      </c>
      <c r="AZ30" s="60">
        <v>176280</v>
      </c>
      <c r="BA30" s="60">
        <v>104051</v>
      </c>
      <c r="BB30" s="26">
        <v>104050.51</v>
      </c>
      <c r="BC30" s="60">
        <v>1</v>
      </c>
      <c r="BD30" s="26">
        <v>156665.9</v>
      </c>
      <c r="BE30" s="60">
        <v>0</v>
      </c>
      <c r="BF30" s="60">
        <v>0</v>
      </c>
    </row>
    <row r="31" spans="1:58" ht="11.65" customHeight="1">
      <c r="A31" s="59">
        <v>255036</v>
      </c>
      <c r="B31" s="25" t="s">
        <v>30</v>
      </c>
      <c r="C31" s="60">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1">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0">
        <v>0</v>
      </c>
      <c r="AV31" s="26">
        <v>0</v>
      </c>
      <c r="AW31" s="26">
        <v>305475.34000000003</v>
      </c>
      <c r="AX31" s="26">
        <v>60165</v>
      </c>
      <c r="AY31" s="26">
        <v>0</v>
      </c>
      <c r="AZ31" s="60">
        <v>245310</v>
      </c>
      <c r="BA31" s="60">
        <v>0</v>
      </c>
      <c r="BB31" s="26">
        <v>0</v>
      </c>
      <c r="BC31" s="60">
        <v>0</v>
      </c>
      <c r="BD31" s="26">
        <v>0</v>
      </c>
      <c r="BE31" s="60">
        <v>0</v>
      </c>
      <c r="BF31" s="60">
        <v>0</v>
      </c>
    </row>
    <row r="32" spans="1:58" ht="11.65" customHeight="1">
      <c r="A32" s="59">
        <v>255038</v>
      </c>
      <c r="B32" s="25" t="s">
        <v>31</v>
      </c>
      <c r="C32" s="60">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1">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0">
        <v>0</v>
      </c>
      <c r="AV32" s="26">
        <v>0</v>
      </c>
      <c r="AW32" s="26">
        <v>369000</v>
      </c>
      <c r="AX32" s="26">
        <v>369000</v>
      </c>
      <c r="AY32" s="26">
        <v>0</v>
      </c>
      <c r="AZ32" s="60">
        <v>0</v>
      </c>
      <c r="BA32" s="60">
        <v>0</v>
      </c>
      <c r="BB32" s="26">
        <v>0</v>
      </c>
      <c r="BC32" s="60">
        <v>0</v>
      </c>
      <c r="BD32" s="26">
        <v>0</v>
      </c>
      <c r="BE32" s="60">
        <v>0</v>
      </c>
      <c r="BF32" s="60">
        <v>0</v>
      </c>
    </row>
    <row r="33" spans="1:58" ht="11.65" customHeight="1">
      <c r="A33" s="59">
        <v>255039</v>
      </c>
      <c r="B33" s="25" t="s">
        <v>32</v>
      </c>
      <c r="C33" s="60">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1">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0">
        <v>0</v>
      </c>
      <c r="AV33" s="26">
        <v>0</v>
      </c>
      <c r="AW33" s="26">
        <v>1141683.1100000001</v>
      </c>
      <c r="AX33" s="26">
        <v>896135</v>
      </c>
      <c r="AY33" s="26">
        <v>0</v>
      </c>
      <c r="AZ33" s="60">
        <v>245548</v>
      </c>
      <c r="BA33" s="60">
        <v>0</v>
      </c>
      <c r="BB33" s="26">
        <v>0</v>
      </c>
      <c r="BC33" s="60">
        <v>0</v>
      </c>
      <c r="BD33" s="26">
        <v>0</v>
      </c>
      <c r="BE33" s="60">
        <v>0</v>
      </c>
      <c r="BF33" s="60">
        <v>0</v>
      </c>
    </row>
    <row r="34" spans="1:58" ht="11.65" customHeight="1">
      <c r="A34" s="59">
        <v>255040</v>
      </c>
      <c r="B34" s="25" t="s">
        <v>33</v>
      </c>
      <c r="C34" s="60">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1">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0">
        <v>0</v>
      </c>
      <c r="AV34" s="26">
        <v>0</v>
      </c>
      <c r="AW34" s="26">
        <v>97699</v>
      </c>
      <c r="AX34" s="26">
        <v>25660</v>
      </c>
      <c r="AY34" s="26">
        <v>0</v>
      </c>
      <c r="AZ34" s="60">
        <v>72039</v>
      </c>
      <c r="BA34" s="60">
        <v>0</v>
      </c>
      <c r="BB34" s="26">
        <v>0</v>
      </c>
      <c r="BC34" s="60">
        <v>0</v>
      </c>
      <c r="BD34" s="26">
        <v>0</v>
      </c>
      <c r="BE34" s="60">
        <v>0</v>
      </c>
      <c r="BF34" s="60">
        <v>0</v>
      </c>
    </row>
    <row r="35" spans="1:58" ht="11.65" customHeight="1">
      <c r="A35" s="59">
        <v>255042</v>
      </c>
      <c r="B35" s="25" t="s">
        <v>34</v>
      </c>
      <c r="C35" s="60">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1">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0">
        <v>1</v>
      </c>
      <c r="AV35" s="26">
        <v>21706.54</v>
      </c>
      <c r="AW35" s="26">
        <v>7408278.79</v>
      </c>
      <c r="AX35" s="26">
        <v>4600940</v>
      </c>
      <c r="AY35" s="26">
        <v>0</v>
      </c>
      <c r="AZ35" s="60">
        <v>2807339</v>
      </c>
      <c r="BA35" s="60">
        <v>0</v>
      </c>
      <c r="BB35" s="26">
        <v>0</v>
      </c>
      <c r="BC35" s="60">
        <v>2</v>
      </c>
      <c r="BD35" s="26">
        <v>247952</v>
      </c>
      <c r="BE35" s="60">
        <v>2</v>
      </c>
      <c r="BF35" s="60">
        <v>0</v>
      </c>
    </row>
    <row r="36" spans="1:58" ht="11.65" customHeight="1">
      <c r="A36" s="59">
        <v>255043</v>
      </c>
      <c r="B36" s="25" t="s">
        <v>35</v>
      </c>
      <c r="C36" s="60">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1">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0">
        <v>0</v>
      </c>
      <c r="AV36" s="26">
        <v>0</v>
      </c>
      <c r="AW36" s="26">
        <v>538064</v>
      </c>
      <c r="AX36" s="26">
        <v>454064</v>
      </c>
      <c r="AY36" s="26">
        <v>0</v>
      </c>
      <c r="AZ36" s="60">
        <v>84000</v>
      </c>
      <c r="BA36" s="60">
        <v>338464</v>
      </c>
      <c r="BB36" s="26">
        <v>338464</v>
      </c>
      <c r="BC36" s="60">
        <v>0</v>
      </c>
      <c r="BD36" s="26">
        <v>0</v>
      </c>
      <c r="BE36" s="60">
        <v>0</v>
      </c>
      <c r="BF36" s="60">
        <v>0</v>
      </c>
    </row>
    <row r="37" spans="1:58" ht="11.65" customHeight="1">
      <c r="A37" s="59">
        <v>255044</v>
      </c>
      <c r="B37" s="25" t="s">
        <v>36</v>
      </c>
      <c r="C37" s="60">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1">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0">
        <v>0</v>
      </c>
      <c r="AV37" s="26">
        <v>0</v>
      </c>
      <c r="AW37" s="26">
        <v>714150</v>
      </c>
      <c r="AX37" s="26">
        <v>402150</v>
      </c>
      <c r="AY37" s="26">
        <v>0</v>
      </c>
      <c r="AZ37" s="60">
        <v>312000</v>
      </c>
      <c r="BA37" s="60">
        <v>714150</v>
      </c>
      <c r="BB37" s="26">
        <v>714150</v>
      </c>
      <c r="BC37" s="60">
        <v>0</v>
      </c>
      <c r="BD37" s="26">
        <v>0</v>
      </c>
      <c r="BE37" s="60">
        <v>0</v>
      </c>
      <c r="BF37" s="60">
        <v>0</v>
      </c>
    </row>
    <row r="38" spans="1:58" ht="11.65" customHeight="1">
      <c r="A38" s="59">
        <v>255047</v>
      </c>
      <c r="B38" s="25" t="s">
        <v>37</v>
      </c>
      <c r="C38" s="60">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1">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0">
        <v>0</v>
      </c>
      <c r="AV38" s="26">
        <v>0</v>
      </c>
      <c r="AW38" s="26">
        <v>5540550</v>
      </c>
      <c r="AX38" s="26">
        <v>4007450</v>
      </c>
      <c r="AY38" s="26">
        <v>0</v>
      </c>
      <c r="AZ38" s="60">
        <v>1533100</v>
      </c>
      <c r="BA38" s="60">
        <v>0</v>
      </c>
      <c r="BB38" s="26">
        <v>0</v>
      </c>
      <c r="BC38" s="60">
        <v>0</v>
      </c>
      <c r="BD38" s="26">
        <v>0</v>
      </c>
      <c r="BE38" s="60">
        <v>0</v>
      </c>
      <c r="BF38" s="60">
        <v>0</v>
      </c>
    </row>
    <row r="39" spans="1:58" ht="11.65" customHeight="1">
      <c r="A39" s="59">
        <v>255048</v>
      </c>
      <c r="B39" s="25" t="s">
        <v>38</v>
      </c>
      <c r="C39" s="60">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1">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0">
        <v>0</v>
      </c>
      <c r="AV39" s="26">
        <v>0</v>
      </c>
      <c r="AW39" s="26">
        <v>10519099.779999999</v>
      </c>
      <c r="AX39" s="26">
        <v>3414348.48</v>
      </c>
      <c r="AY39" s="26">
        <v>4671511.3</v>
      </c>
      <c r="AZ39" s="60">
        <v>2433240</v>
      </c>
      <c r="BA39" s="60">
        <v>5847588</v>
      </c>
      <c r="BB39" s="26">
        <v>4811868.4800000004</v>
      </c>
      <c r="BC39" s="60">
        <v>0</v>
      </c>
      <c r="BD39" s="26">
        <v>0</v>
      </c>
      <c r="BE39" s="60">
        <v>0</v>
      </c>
      <c r="BF39" s="60">
        <v>0</v>
      </c>
    </row>
    <row r="40" spans="1:58" ht="11.65" customHeight="1">
      <c r="A40" s="59">
        <v>255049</v>
      </c>
      <c r="B40" s="25" t="s">
        <v>39</v>
      </c>
      <c r="C40" s="60">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1">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0">
        <v>0</v>
      </c>
      <c r="AV40" s="26">
        <v>0</v>
      </c>
      <c r="AW40" s="26">
        <v>259290</v>
      </c>
      <c r="AX40" s="26">
        <v>9690</v>
      </c>
      <c r="AY40" s="26">
        <v>249600</v>
      </c>
      <c r="AZ40" s="60">
        <v>0</v>
      </c>
      <c r="BA40" s="60">
        <v>259290</v>
      </c>
      <c r="BB40" s="26">
        <v>259290</v>
      </c>
      <c r="BC40" s="60">
        <v>0</v>
      </c>
      <c r="BD40" s="26">
        <v>0</v>
      </c>
      <c r="BE40" s="60">
        <v>0</v>
      </c>
      <c r="BF40" s="60">
        <v>0</v>
      </c>
    </row>
    <row r="41" spans="1:58" ht="11.65" customHeight="1">
      <c r="A41" s="59">
        <v>255050</v>
      </c>
      <c r="B41" s="25" t="s">
        <v>40</v>
      </c>
      <c r="C41" s="60">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1">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0">
        <v>0</v>
      </c>
      <c r="AV41" s="26">
        <v>0</v>
      </c>
      <c r="AW41" s="26">
        <v>515600</v>
      </c>
      <c r="AX41" s="26">
        <v>50000</v>
      </c>
      <c r="AY41" s="26">
        <v>0</v>
      </c>
      <c r="AZ41" s="60">
        <v>465600</v>
      </c>
      <c r="BA41" s="60">
        <v>515600</v>
      </c>
      <c r="BB41" s="26">
        <v>515600</v>
      </c>
      <c r="BC41" s="60">
        <v>0</v>
      </c>
      <c r="BD41" s="26">
        <v>0</v>
      </c>
      <c r="BE41" s="60">
        <v>0</v>
      </c>
      <c r="BF41" s="60">
        <v>0</v>
      </c>
    </row>
    <row r="42" spans="1:58" ht="11.65" customHeight="1">
      <c r="A42" s="59">
        <v>255052</v>
      </c>
      <c r="B42" s="25" t="s">
        <v>41</v>
      </c>
      <c r="C42" s="60">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1">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0">
        <v>0</v>
      </c>
      <c r="AV42" s="26">
        <v>0</v>
      </c>
      <c r="AW42" s="26">
        <v>2635986.6</v>
      </c>
      <c r="AX42" s="26">
        <v>37986.699999999997</v>
      </c>
      <c r="AY42" s="26">
        <v>2400000</v>
      </c>
      <c r="AZ42" s="60">
        <v>198000</v>
      </c>
      <c r="BA42" s="60">
        <v>0</v>
      </c>
      <c r="BB42" s="26">
        <v>0</v>
      </c>
      <c r="BC42" s="60">
        <v>0</v>
      </c>
      <c r="BD42" s="26">
        <v>0</v>
      </c>
      <c r="BE42" s="60">
        <v>0</v>
      </c>
      <c r="BF42" s="60">
        <v>0</v>
      </c>
    </row>
    <row r="43" spans="1:58" ht="11.65" customHeight="1">
      <c r="A43" s="59">
        <v>255053</v>
      </c>
      <c r="B43" s="25" t="s">
        <v>42</v>
      </c>
      <c r="C43" s="60">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1">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0">
        <v>0</v>
      </c>
      <c r="AV43" s="26">
        <v>0</v>
      </c>
      <c r="AW43" s="26">
        <v>10280</v>
      </c>
      <c r="AX43" s="26">
        <v>10280</v>
      </c>
      <c r="AY43" s="26">
        <v>0</v>
      </c>
      <c r="AZ43" s="60">
        <v>0</v>
      </c>
      <c r="BA43" s="60">
        <v>0</v>
      </c>
      <c r="BB43" s="26">
        <v>0</v>
      </c>
      <c r="BC43" s="60">
        <v>0</v>
      </c>
      <c r="BD43" s="26">
        <v>0</v>
      </c>
      <c r="BE43" s="60">
        <v>0</v>
      </c>
      <c r="BF43" s="60">
        <v>0</v>
      </c>
    </row>
    <row r="44" spans="1:58" ht="11.65" customHeight="1">
      <c r="A44" s="59">
        <v>255055</v>
      </c>
      <c r="B44" s="25" t="s">
        <v>43</v>
      </c>
      <c r="C44" s="60">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1">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0">
        <v>1</v>
      </c>
      <c r="AV44" s="26">
        <v>7117.14</v>
      </c>
      <c r="AW44" s="26">
        <v>1730400</v>
      </c>
      <c r="AX44" s="26">
        <v>895200</v>
      </c>
      <c r="AY44" s="26">
        <v>0</v>
      </c>
      <c r="AZ44" s="60">
        <v>835200</v>
      </c>
      <c r="BA44" s="60">
        <v>0</v>
      </c>
      <c r="BB44" s="26">
        <v>0</v>
      </c>
      <c r="BC44" s="60">
        <v>1</v>
      </c>
      <c r="BD44" s="26">
        <v>158224</v>
      </c>
      <c r="BE44" s="60">
        <v>0</v>
      </c>
      <c r="BF44" s="60">
        <v>0</v>
      </c>
    </row>
    <row r="45" spans="1:58" ht="11.65" customHeight="1">
      <c r="A45" s="59">
        <v>255056</v>
      </c>
      <c r="B45" s="25" t="s">
        <v>44</v>
      </c>
      <c r="C45" s="60">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1">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0">
        <v>0</v>
      </c>
      <c r="AV45" s="26">
        <v>0</v>
      </c>
      <c r="AW45" s="26">
        <v>1136800</v>
      </c>
      <c r="AX45" s="26">
        <v>39274</v>
      </c>
      <c r="AY45" s="26">
        <v>0</v>
      </c>
      <c r="AZ45" s="60">
        <v>1097526</v>
      </c>
      <c r="BA45" s="60">
        <v>0</v>
      </c>
      <c r="BB45" s="26">
        <v>0</v>
      </c>
      <c r="BC45" s="60">
        <v>0</v>
      </c>
      <c r="BD45" s="26">
        <v>0</v>
      </c>
      <c r="BE45" s="60">
        <v>1</v>
      </c>
      <c r="BF45" s="60">
        <v>0</v>
      </c>
    </row>
    <row r="46" spans="1:58" ht="11.65" customHeight="1">
      <c r="A46" s="59">
        <v>255058</v>
      </c>
      <c r="B46" s="25" t="s">
        <v>45</v>
      </c>
      <c r="C46" s="60">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1">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0">
        <v>1</v>
      </c>
      <c r="AV46" s="26">
        <v>5230</v>
      </c>
      <c r="AW46" s="26">
        <v>2502681.58</v>
      </c>
      <c r="AX46" s="26">
        <v>1774006.58</v>
      </c>
      <c r="AY46" s="26">
        <v>0</v>
      </c>
      <c r="AZ46" s="60">
        <v>728675</v>
      </c>
      <c r="BA46" s="60">
        <v>2502682</v>
      </c>
      <c r="BB46" s="26">
        <v>0</v>
      </c>
      <c r="BC46" s="60">
        <v>1</v>
      </c>
      <c r="BD46" s="26">
        <v>145704.82</v>
      </c>
      <c r="BE46" s="60">
        <v>0</v>
      </c>
      <c r="BF46" s="60">
        <v>0</v>
      </c>
    </row>
    <row r="47" spans="1:58" ht="11.65" customHeight="1">
      <c r="A47" s="59">
        <v>255059</v>
      </c>
      <c r="B47" s="25" t="s">
        <v>46</v>
      </c>
      <c r="C47" s="60">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1">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0">
        <v>0</v>
      </c>
      <c r="AV47" s="26">
        <v>0</v>
      </c>
      <c r="AW47" s="26">
        <v>10175</v>
      </c>
      <c r="AX47" s="26">
        <v>10175</v>
      </c>
      <c r="AY47" s="26">
        <v>0</v>
      </c>
      <c r="AZ47" s="60">
        <v>0</v>
      </c>
      <c r="BA47" s="60">
        <v>0</v>
      </c>
      <c r="BB47" s="26">
        <v>0</v>
      </c>
      <c r="BC47" s="60">
        <v>0</v>
      </c>
      <c r="BD47" s="26">
        <v>0</v>
      </c>
      <c r="BE47" s="60">
        <v>2</v>
      </c>
      <c r="BF47" s="60">
        <v>0</v>
      </c>
    </row>
    <row r="48" spans="1:58" ht="11.65" customHeight="1">
      <c r="A48" s="59">
        <v>255060</v>
      </c>
      <c r="B48" s="25" t="s">
        <v>47</v>
      </c>
      <c r="C48" s="60">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1">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0">
        <v>0</v>
      </c>
      <c r="AV48" s="26">
        <v>0</v>
      </c>
      <c r="AW48" s="26">
        <v>572535.41</v>
      </c>
      <c r="AX48" s="26">
        <v>128820</v>
      </c>
      <c r="AY48" s="26">
        <v>0</v>
      </c>
      <c r="AZ48" s="60">
        <v>443715</v>
      </c>
      <c r="BA48" s="60">
        <v>0</v>
      </c>
      <c r="BB48" s="26">
        <v>0</v>
      </c>
      <c r="BC48" s="60">
        <v>0</v>
      </c>
      <c r="BD48" s="26">
        <v>0</v>
      </c>
      <c r="BE48" s="60">
        <v>0</v>
      </c>
      <c r="BF48" s="60">
        <v>0</v>
      </c>
    </row>
    <row r="49" spans="1:58" ht="11.65" customHeight="1">
      <c r="A49" s="59">
        <v>255061</v>
      </c>
      <c r="B49" s="25" t="s">
        <v>48</v>
      </c>
      <c r="C49" s="60">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1">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0">
        <v>2</v>
      </c>
      <c r="AV49" s="26">
        <v>5526.88</v>
      </c>
      <c r="AW49" s="26">
        <v>2765400</v>
      </c>
      <c r="AX49" s="26">
        <v>2765400</v>
      </c>
      <c r="AY49" s="26">
        <v>0</v>
      </c>
      <c r="AZ49" s="60">
        <v>0</v>
      </c>
      <c r="BA49" s="60">
        <v>1613400</v>
      </c>
      <c r="BB49" s="26">
        <v>1613400</v>
      </c>
      <c r="BC49" s="60">
        <v>2</v>
      </c>
      <c r="BD49" s="26">
        <v>528729.78</v>
      </c>
      <c r="BE49" s="60">
        <v>0</v>
      </c>
      <c r="BF49" s="60">
        <v>0</v>
      </c>
    </row>
    <row r="50" spans="1:58" ht="11.65" customHeight="1">
      <c r="A50" s="59">
        <v>255062</v>
      </c>
      <c r="B50" s="25" t="s">
        <v>49</v>
      </c>
      <c r="C50" s="60">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1">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0">
        <v>2</v>
      </c>
      <c r="AV50" s="26">
        <v>8584.15</v>
      </c>
      <c r="AW50" s="26">
        <v>6408762.29</v>
      </c>
      <c r="AX50" s="26">
        <v>108762.29</v>
      </c>
      <c r="AY50" s="26">
        <v>0</v>
      </c>
      <c r="AZ50" s="60">
        <v>6300000</v>
      </c>
      <c r="BA50" s="60">
        <v>108762</v>
      </c>
      <c r="BB50" s="26">
        <v>20829</v>
      </c>
      <c r="BC50" s="60">
        <v>2</v>
      </c>
      <c r="BD50" s="26">
        <v>427816.33</v>
      </c>
      <c r="BE50" s="60">
        <v>1</v>
      </c>
      <c r="BF50" s="60">
        <v>0</v>
      </c>
    </row>
    <row r="51" spans="1:58" ht="11.65" customHeight="1">
      <c r="A51" s="59">
        <v>255063</v>
      </c>
      <c r="B51" s="25" t="s">
        <v>50</v>
      </c>
      <c r="C51" s="60">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1">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0">
        <v>0</v>
      </c>
      <c r="AV51" s="26">
        <v>0</v>
      </c>
      <c r="AW51" s="26">
        <v>379383.92</v>
      </c>
      <c r="AX51" s="26">
        <v>118083.92</v>
      </c>
      <c r="AY51" s="26">
        <v>0</v>
      </c>
      <c r="AZ51" s="60">
        <v>261300</v>
      </c>
      <c r="BA51" s="60">
        <v>379384</v>
      </c>
      <c r="BB51" s="26">
        <v>379383.92</v>
      </c>
      <c r="BC51" s="60">
        <v>0</v>
      </c>
      <c r="BD51" s="26">
        <v>0</v>
      </c>
      <c r="BE51" s="60">
        <v>0</v>
      </c>
      <c r="BF51" s="60">
        <v>0</v>
      </c>
    </row>
    <row r="52" spans="1:58" ht="11.65" customHeight="1">
      <c r="A52" s="59">
        <v>255064</v>
      </c>
      <c r="B52" s="25" t="s">
        <v>51</v>
      </c>
      <c r="C52" s="60">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1">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0">
        <v>0</v>
      </c>
      <c r="AV52" s="26">
        <v>0</v>
      </c>
      <c r="AW52" s="26">
        <v>883220</v>
      </c>
      <c r="AX52" s="26">
        <v>283220</v>
      </c>
      <c r="AY52" s="26">
        <v>0</v>
      </c>
      <c r="AZ52" s="60">
        <v>600000</v>
      </c>
      <c r="BA52" s="60">
        <v>0</v>
      </c>
      <c r="BB52" s="26">
        <v>0</v>
      </c>
      <c r="BC52" s="60">
        <v>0</v>
      </c>
      <c r="BD52" s="26">
        <v>0</v>
      </c>
      <c r="BE52" s="60">
        <v>0</v>
      </c>
      <c r="BF52" s="60">
        <v>0</v>
      </c>
    </row>
    <row r="53" spans="1:58" ht="11.65" customHeight="1">
      <c r="A53" s="59">
        <v>255065</v>
      </c>
      <c r="B53" s="25" t="s">
        <v>52</v>
      </c>
      <c r="C53" s="60">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1">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0">
        <v>0</v>
      </c>
      <c r="AV53" s="26">
        <v>0</v>
      </c>
      <c r="AW53" s="26">
        <v>1167227.82</v>
      </c>
      <c r="AX53" s="26">
        <v>219378</v>
      </c>
      <c r="AY53" s="26">
        <v>0</v>
      </c>
      <c r="AZ53" s="60">
        <v>947850</v>
      </c>
      <c r="BA53" s="60">
        <v>1167228</v>
      </c>
      <c r="BB53" s="26">
        <v>156378</v>
      </c>
      <c r="BC53" s="60">
        <v>0</v>
      </c>
      <c r="BD53" s="26">
        <v>0</v>
      </c>
      <c r="BE53" s="60">
        <v>0</v>
      </c>
      <c r="BF53" s="60">
        <v>0</v>
      </c>
    </row>
    <row r="54" spans="1:58" ht="11.65" customHeight="1">
      <c r="A54" s="59">
        <v>255066</v>
      </c>
      <c r="B54" s="25" t="s">
        <v>53</v>
      </c>
      <c r="C54" s="60">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1">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0">
        <v>1</v>
      </c>
      <c r="AV54" s="26">
        <v>16102.13</v>
      </c>
      <c r="AW54" s="26">
        <v>1299850</v>
      </c>
      <c r="AX54" s="26">
        <v>0</v>
      </c>
      <c r="AY54" s="26">
        <v>0</v>
      </c>
      <c r="AZ54" s="60">
        <v>1299850</v>
      </c>
      <c r="BA54" s="60">
        <v>0</v>
      </c>
      <c r="BB54" s="26">
        <v>0</v>
      </c>
      <c r="BC54" s="60">
        <v>1</v>
      </c>
      <c r="BD54" s="26">
        <v>257905</v>
      </c>
      <c r="BE54" s="60">
        <v>0</v>
      </c>
      <c r="BF54" s="60">
        <v>0</v>
      </c>
    </row>
    <row r="55" spans="1:58" ht="11.65" customHeight="1">
      <c r="A55" s="59">
        <v>255067</v>
      </c>
      <c r="B55" s="25" t="s">
        <v>54</v>
      </c>
      <c r="C55" s="60">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1">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0">
        <v>0</v>
      </c>
      <c r="AV55" s="26">
        <v>0</v>
      </c>
      <c r="AW55" s="26">
        <v>4625797.99</v>
      </c>
      <c r="AX55" s="26">
        <v>3455442</v>
      </c>
      <c r="AY55" s="26">
        <v>0</v>
      </c>
      <c r="AZ55" s="60">
        <v>1170356</v>
      </c>
      <c r="BA55" s="60">
        <v>0</v>
      </c>
      <c r="BB55" s="26">
        <v>0</v>
      </c>
      <c r="BC55" s="60">
        <v>0</v>
      </c>
      <c r="BD55" s="26">
        <v>0</v>
      </c>
      <c r="BE55" s="60">
        <v>0</v>
      </c>
      <c r="BF55" s="60">
        <v>0</v>
      </c>
    </row>
    <row r="56" spans="1:58" ht="11.65" customHeight="1">
      <c r="A56" s="59">
        <v>255068</v>
      </c>
      <c r="B56" s="25" t="s">
        <v>55</v>
      </c>
      <c r="C56" s="60">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1">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0">
        <v>0</v>
      </c>
      <c r="AV56" s="26">
        <v>0</v>
      </c>
      <c r="AW56" s="26">
        <v>547462.79</v>
      </c>
      <c r="AX56" s="26">
        <v>9944</v>
      </c>
      <c r="AY56" s="26">
        <v>0</v>
      </c>
      <c r="AZ56" s="60">
        <v>537519</v>
      </c>
      <c r="BA56" s="60">
        <v>0</v>
      </c>
      <c r="BB56" s="26">
        <v>0</v>
      </c>
      <c r="BC56" s="60">
        <v>0</v>
      </c>
      <c r="BD56" s="26">
        <v>0</v>
      </c>
      <c r="BE56" s="60">
        <v>0</v>
      </c>
      <c r="BF56" s="60">
        <v>0</v>
      </c>
    </row>
    <row r="57" spans="1:58" ht="11.65" customHeight="1">
      <c r="A57" s="59">
        <v>255070</v>
      </c>
      <c r="B57" s="25" t="s">
        <v>56</v>
      </c>
      <c r="C57" s="60">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1">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0">
        <v>0</v>
      </c>
      <c r="AV57" s="26">
        <v>0</v>
      </c>
      <c r="AW57" s="26">
        <v>463255</v>
      </c>
      <c r="AX57" s="26">
        <v>25255</v>
      </c>
      <c r="AY57" s="26">
        <v>0</v>
      </c>
      <c r="AZ57" s="60">
        <v>438000</v>
      </c>
      <c r="BA57" s="60">
        <v>463255</v>
      </c>
      <c r="BB57" s="26">
        <v>25255</v>
      </c>
      <c r="BC57" s="60">
        <v>0</v>
      </c>
      <c r="BD57" s="26">
        <v>0</v>
      </c>
      <c r="BE57" s="60">
        <v>1</v>
      </c>
      <c r="BF57" s="60">
        <v>0</v>
      </c>
    </row>
    <row r="58" spans="1:58" ht="11.65" customHeight="1">
      <c r="A58" s="59">
        <v>255072</v>
      </c>
      <c r="B58" s="25" t="s">
        <v>57</v>
      </c>
      <c r="C58" s="60">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1">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0">
        <v>1</v>
      </c>
      <c r="AV58" s="26">
        <v>24431.01</v>
      </c>
      <c r="AW58" s="26">
        <v>673872</v>
      </c>
      <c r="AX58" s="26">
        <v>79872</v>
      </c>
      <c r="AY58" s="26">
        <v>0</v>
      </c>
      <c r="AZ58" s="60">
        <v>594000</v>
      </c>
      <c r="BA58" s="60">
        <v>673872</v>
      </c>
      <c r="BB58" s="26">
        <v>0</v>
      </c>
      <c r="BC58" s="60">
        <v>1</v>
      </c>
      <c r="BD58" s="26">
        <v>269657.90999999997</v>
      </c>
      <c r="BE58" s="60">
        <v>0</v>
      </c>
      <c r="BF58" s="60">
        <v>0</v>
      </c>
    </row>
    <row r="59" spans="1:58" ht="11.65" customHeight="1">
      <c r="A59" s="59">
        <v>255073</v>
      </c>
      <c r="B59" s="25" t="s">
        <v>58</v>
      </c>
      <c r="C59" s="60">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1">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0">
        <v>0</v>
      </c>
      <c r="AV59" s="26">
        <v>0</v>
      </c>
      <c r="AW59" s="26">
        <v>410106</v>
      </c>
      <c r="AX59" s="26">
        <v>6906</v>
      </c>
      <c r="AY59" s="26">
        <v>0</v>
      </c>
      <c r="AZ59" s="60">
        <v>403200</v>
      </c>
      <c r="BA59" s="60">
        <v>0</v>
      </c>
      <c r="BB59" s="26">
        <v>0</v>
      </c>
      <c r="BC59" s="60">
        <v>0</v>
      </c>
      <c r="BD59" s="26">
        <v>0</v>
      </c>
      <c r="BE59" s="60">
        <v>0</v>
      </c>
      <c r="BF59" s="60">
        <v>0</v>
      </c>
    </row>
    <row r="60" spans="1:58" ht="11.65" customHeight="1">
      <c r="A60" s="59">
        <v>255074</v>
      </c>
      <c r="B60" s="25" t="s">
        <v>59</v>
      </c>
      <c r="C60" s="60">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1">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0">
        <v>0</v>
      </c>
      <c r="AV60" s="26">
        <v>0</v>
      </c>
      <c r="AW60" s="26">
        <v>493960</v>
      </c>
      <c r="AX60" s="26">
        <v>10860</v>
      </c>
      <c r="AY60" s="26">
        <v>0</v>
      </c>
      <c r="AZ60" s="60">
        <v>483100</v>
      </c>
      <c r="BA60" s="60">
        <v>0</v>
      </c>
      <c r="BB60" s="26">
        <v>0</v>
      </c>
      <c r="BC60" s="60">
        <v>0</v>
      </c>
      <c r="BD60" s="26">
        <v>0</v>
      </c>
      <c r="BE60" s="60">
        <v>0</v>
      </c>
      <c r="BF60" s="60">
        <v>0</v>
      </c>
    </row>
    <row r="61" spans="1:58" ht="11.65" customHeight="1">
      <c r="A61" s="59">
        <v>255075</v>
      </c>
      <c r="B61" s="25" t="s">
        <v>60</v>
      </c>
      <c r="C61" s="60">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1">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0">
        <v>1</v>
      </c>
      <c r="AV61" s="26">
        <v>7407.2</v>
      </c>
      <c r="AW61" s="26">
        <v>661412.4</v>
      </c>
      <c r="AX61" s="26">
        <v>661412.4</v>
      </c>
      <c r="AY61" s="26">
        <v>0</v>
      </c>
      <c r="AZ61" s="60">
        <v>0</v>
      </c>
      <c r="BA61" s="60">
        <v>0</v>
      </c>
      <c r="BB61" s="26">
        <v>0</v>
      </c>
      <c r="BC61" s="60">
        <v>1</v>
      </c>
      <c r="BD61" s="26">
        <v>125280</v>
      </c>
      <c r="BE61" s="60">
        <v>0</v>
      </c>
      <c r="BF61" s="60">
        <v>0</v>
      </c>
    </row>
    <row r="62" spans="1:58" ht="11.65" customHeight="1">
      <c r="A62" s="59">
        <v>255076</v>
      </c>
      <c r="B62" s="25" t="s">
        <v>61</v>
      </c>
      <c r="C62" s="60">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1">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0">
        <v>1</v>
      </c>
      <c r="AV62" s="26">
        <v>11059.98</v>
      </c>
      <c r="AW62" s="26">
        <v>1522341.62</v>
      </c>
      <c r="AX62" s="26">
        <v>44407.8</v>
      </c>
      <c r="AY62" s="26">
        <v>0</v>
      </c>
      <c r="AZ62" s="60">
        <v>1477934</v>
      </c>
      <c r="BA62" s="60">
        <v>1101266</v>
      </c>
      <c r="BB62" s="26">
        <v>42865.8</v>
      </c>
      <c r="BC62" s="60">
        <v>1</v>
      </c>
      <c r="BD62" s="26">
        <v>250580</v>
      </c>
      <c r="BE62" s="60">
        <v>2</v>
      </c>
      <c r="BF62" s="60">
        <v>2</v>
      </c>
    </row>
    <row r="63" spans="1:58" ht="11.65" customHeight="1">
      <c r="A63" s="59">
        <v>255077</v>
      </c>
      <c r="B63" s="25" t="s">
        <v>62</v>
      </c>
      <c r="C63" s="60">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1">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0">
        <v>0</v>
      </c>
      <c r="AV63" s="26">
        <v>0</v>
      </c>
      <c r="AW63" s="26">
        <v>363852.5</v>
      </c>
      <c r="AX63" s="26">
        <v>10872.5</v>
      </c>
      <c r="AY63" s="26">
        <v>0</v>
      </c>
      <c r="AZ63" s="60">
        <v>352980</v>
      </c>
      <c r="BA63" s="60">
        <v>352980</v>
      </c>
      <c r="BB63" s="26">
        <v>352980</v>
      </c>
      <c r="BC63" s="60">
        <v>0</v>
      </c>
      <c r="BD63" s="26">
        <v>0</v>
      </c>
      <c r="BE63" s="60">
        <v>0</v>
      </c>
      <c r="BF63" s="60">
        <v>0</v>
      </c>
    </row>
    <row r="64" spans="1:58" ht="11.65" customHeight="1">
      <c r="A64" s="59">
        <v>255078</v>
      </c>
      <c r="B64" s="25" t="s">
        <v>63</v>
      </c>
      <c r="C64" s="60">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1">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0">
        <v>0</v>
      </c>
      <c r="AV64" s="26">
        <v>0</v>
      </c>
      <c r="AW64" s="26">
        <v>2004542</v>
      </c>
      <c r="AX64" s="26">
        <v>71522</v>
      </c>
      <c r="AY64" s="26">
        <v>0</v>
      </c>
      <c r="AZ64" s="60">
        <v>1933020</v>
      </c>
      <c r="BA64" s="60">
        <v>570342</v>
      </c>
      <c r="BB64" s="26">
        <v>515322</v>
      </c>
      <c r="BC64" s="60">
        <v>0</v>
      </c>
      <c r="BD64" s="26">
        <v>0</v>
      </c>
      <c r="BE64" s="60">
        <v>0</v>
      </c>
      <c r="BF64" s="60">
        <v>0</v>
      </c>
    </row>
    <row r="65" spans="1:58" ht="11.65" customHeight="1">
      <c r="A65" s="59">
        <v>255079</v>
      </c>
      <c r="B65" s="25" t="s">
        <v>64</v>
      </c>
      <c r="C65" s="60">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1">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0">
        <v>0</v>
      </c>
      <c r="AV65" s="26">
        <v>0</v>
      </c>
      <c r="AW65" s="26">
        <v>2304302</v>
      </c>
      <c r="AX65" s="26">
        <v>869418.5</v>
      </c>
      <c r="AY65" s="26">
        <v>935683.5</v>
      </c>
      <c r="AZ65" s="60">
        <v>499200</v>
      </c>
      <c r="BA65" s="60">
        <v>2304302</v>
      </c>
      <c r="BB65" s="26">
        <v>1368618.5</v>
      </c>
      <c r="BC65" s="60">
        <v>0</v>
      </c>
      <c r="BD65" s="26">
        <v>0</v>
      </c>
      <c r="BE65" s="60">
        <v>0</v>
      </c>
      <c r="BF65" s="60">
        <v>0</v>
      </c>
    </row>
    <row r="66" spans="1:58" ht="11.65" customHeight="1">
      <c r="A66" s="59">
        <v>255080</v>
      </c>
      <c r="B66" s="25" t="s">
        <v>65</v>
      </c>
      <c r="C66" s="60">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1">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0">
        <v>0</v>
      </c>
      <c r="AV66" s="26">
        <v>0</v>
      </c>
      <c r="AW66" s="26">
        <v>653722</v>
      </c>
      <c r="AX66" s="26">
        <v>10222</v>
      </c>
      <c r="AY66" s="26">
        <v>0</v>
      </c>
      <c r="AZ66" s="60">
        <v>643500</v>
      </c>
      <c r="BA66" s="60">
        <v>653722</v>
      </c>
      <c r="BB66" s="26">
        <v>653722</v>
      </c>
      <c r="BC66" s="60">
        <v>0</v>
      </c>
      <c r="BD66" s="26">
        <v>0</v>
      </c>
      <c r="BE66" s="60">
        <v>0</v>
      </c>
      <c r="BF66" s="60">
        <v>0</v>
      </c>
    </row>
    <row r="67" spans="1:58" ht="11.65" customHeight="1">
      <c r="A67" s="59">
        <v>255081</v>
      </c>
      <c r="B67" s="25" t="s">
        <v>66</v>
      </c>
      <c r="C67" s="60">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1">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0">
        <v>0</v>
      </c>
      <c r="AV67" s="26">
        <v>0</v>
      </c>
      <c r="AW67" s="26">
        <v>305638</v>
      </c>
      <c r="AX67" s="26">
        <v>40214</v>
      </c>
      <c r="AY67" s="26">
        <v>0</v>
      </c>
      <c r="AZ67" s="60">
        <v>265424</v>
      </c>
      <c r="BA67" s="60">
        <v>305638</v>
      </c>
      <c r="BB67" s="26">
        <v>294838</v>
      </c>
      <c r="BC67" s="60">
        <v>0</v>
      </c>
      <c r="BD67" s="26">
        <v>0</v>
      </c>
      <c r="BE67" s="60">
        <v>0</v>
      </c>
      <c r="BF67" s="60">
        <v>0</v>
      </c>
    </row>
    <row r="68" spans="1:58" ht="11.65" customHeight="1">
      <c r="A68" s="59">
        <v>255082</v>
      </c>
      <c r="B68" s="25" t="s">
        <v>67</v>
      </c>
      <c r="C68" s="60">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1">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0">
        <v>0</v>
      </c>
      <c r="AV68" s="26">
        <v>0</v>
      </c>
      <c r="AW68" s="26">
        <v>336533</v>
      </c>
      <c r="AX68" s="26">
        <v>336533</v>
      </c>
      <c r="AY68" s="26">
        <v>0</v>
      </c>
      <c r="AZ68" s="60">
        <v>0</v>
      </c>
      <c r="BA68" s="60">
        <v>336533</v>
      </c>
      <c r="BB68" s="26">
        <v>0</v>
      </c>
      <c r="BC68" s="60">
        <v>0</v>
      </c>
      <c r="BD68" s="26">
        <v>0</v>
      </c>
      <c r="BE68" s="60">
        <v>0</v>
      </c>
      <c r="BF68" s="60">
        <v>0</v>
      </c>
    </row>
    <row r="69" spans="1:58" ht="11.65" customHeight="1">
      <c r="A69" s="59">
        <v>255083</v>
      </c>
      <c r="B69" s="25" t="s">
        <v>68</v>
      </c>
      <c r="C69" s="60">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1">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0">
        <v>0</v>
      </c>
      <c r="AV69" s="26">
        <v>0</v>
      </c>
      <c r="AW69" s="26">
        <v>496995.4</v>
      </c>
      <c r="AX69" s="26">
        <v>21855</v>
      </c>
      <c r="AY69" s="26">
        <v>0</v>
      </c>
      <c r="AZ69" s="60">
        <v>475140</v>
      </c>
      <c r="BA69" s="60">
        <v>496995</v>
      </c>
      <c r="BB69" s="26">
        <v>496995.4</v>
      </c>
      <c r="BC69" s="60">
        <v>0</v>
      </c>
      <c r="BD69" s="26">
        <v>0</v>
      </c>
      <c r="BE69" s="60">
        <v>0</v>
      </c>
      <c r="BF69" s="60">
        <v>0</v>
      </c>
    </row>
    <row r="70" spans="1:58" ht="11.65" customHeight="1">
      <c r="A70" s="59">
        <v>255085</v>
      </c>
      <c r="B70" s="25" t="s">
        <v>69</v>
      </c>
      <c r="C70" s="60">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1">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0">
        <v>0</v>
      </c>
      <c r="AV70" s="26">
        <v>0</v>
      </c>
      <c r="AW70" s="26">
        <v>0</v>
      </c>
      <c r="AX70" s="26">
        <v>0</v>
      </c>
      <c r="AY70" s="26">
        <v>0</v>
      </c>
      <c r="AZ70" s="60">
        <v>0</v>
      </c>
      <c r="BA70" s="60">
        <v>0</v>
      </c>
      <c r="BB70" s="26">
        <v>0</v>
      </c>
      <c r="BC70" s="60">
        <v>0</v>
      </c>
      <c r="BD70" s="26">
        <v>0</v>
      </c>
      <c r="BE70" s="60">
        <v>0</v>
      </c>
      <c r="BF70" s="60">
        <v>0</v>
      </c>
    </row>
    <row r="71" spans="1:58" ht="11.65" customHeight="1">
      <c r="A71" s="59">
        <v>255087</v>
      </c>
      <c r="B71" s="25" t="s">
        <v>70</v>
      </c>
      <c r="C71" s="60">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1">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0">
        <v>1</v>
      </c>
      <c r="AV71" s="26">
        <v>5594.57</v>
      </c>
      <c r="AW71" s="26">
        <v>406000</v>
      </c>
      <c r="AX71" s="26">
        <v>0</v>
      </c>
      <c r="AY71" s="26">
        <v>0</v>
      </c>
      <c r="AZ71" s="60">
        <v>406000</v>
      </c>
      <c r="BA71" s="60">
        <v>406000</v>
      </c>
      <c r="BB71" s="26">
        <v>406000</v>
      </c>
      <c r="BC71" s="60">
        <v>1</v>
      </c>
      <c r="BD71" s="26">
        <v>135310</v>
      </c>
      <c r="BE71" s="60">
        <v>0</v>
      </c>
      <c r="BF71" s="60">
        <v>0</v>
      </c>
    </row>
    <row r="72" spans="1:58" ht="11.65" customHeight="1">
      <c r="A72" s="59">
        <v>255088</v>
      </c>
      <c r="B72" s="25" t="s">
        <v>71</v>
      </c>
      <c r="C72" s="60">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1">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0">
        <v>2</v>
      </c>
      <c r="AV72" s="26">
        <v>8448.33</v>
      </c>
      <c r="AW72" s="26">
        <v>797210</v>
      </c>
      <c r="AX72" s="26">
        <v>57906</v>
      </c>
      <c r="AY72" s="26">
        <v>0</v>
      </c>
      <c r="AZ72" s="60">
        <v>739304</v>
      </c>
      <c r="BA72" s="60">
        <v>797210</v>
      </c>
      <c r="BB72" s="26">
        <v>797210</v>
      </c>
      <c r="BC72" s="60">
        <v>2</v>
      </c>
      <c r="BD72" s="26">
        <v>424149.74</v>
      </c>
      <c r="BE72" s="60">
        <v>1</v>
      </c>
      <c r="BF72" s="60">
        <v>0</v>
      </c>
    </row>
    <row r="73" spans="1:58" ht="11.65" customHeight="1">
      <c r="A73" s="59">
        <v>255089</v>
      </c>
      <c r="B73" s="25" t="s">
        <v>72</v>
      </c>
      <c r="C73" s="60">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1">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0">
        <v>2</v>
      </c>
      <c r="AV73" s="26">
        <v>27000</v>
      </c>
      <c r="AW73" s="26">
        <v>206000</v>
      </c>
      <c r="AX73" s="26">
        <v>0</v>
      </c>
      <c r="AY73" s="26">
        <v>0</v>
      </c>
      <c r="AZ73" s="60">
        <v>206000</v>
      </c>
      <c r="BA73" s="60">
        <v>0</v>
      </c>
      <c r="BB73" s="26">
        <v>0</v>
      </c>
      <c r="BC73" s="60">
        <v>2</v>
      </c>
      <c r="BD73" s="26">
        <v>1040965</v>
      </c>
      <c r="BE73" s="60">
        <v>1</v>
      </c>
      <c r="BF73" s="60">
        <v>0</v>
      </c>
    </row>
    <row r="74" spans="1:58" ht="11.65" customHeight="1">
      <c r="A74" s="59">
        <v>255090</v>
      </c>
      <c r="B74" s="25" t="s">
        <v>73</v>
      </c>
      <c r="C74" s="60">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1">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0">
        <v>1</v>
      </c>
      <c r="AV74" s="26">
        <v>6135.2</v>
      </c>
      <c r="AW74" s="26">
        <v>356739.2</v>
      </c>
      <c r="AX74" s="26">
        <v>0</v>
      </c>
      <c r="AY74" s="26">
        <v>0</v>
      </c>
      <c r="AZ74" s="60">
        <v>356739</v>
      </c>
      <c r="BA74" s="60">
        <v>0</v>
      </c>
      <c r="BB74" s="26">
        <v>0</v>
      </c>
      <c r="BC74" s="60">
        <v>1</v>
      </c>
      <c r="BD74" s="26">
        <v>144330</v>
      </c>
      <c r="BE74" s="60">
        <v>0</v>
      </c>
      <c r="BF74" s="60">
        <v>0</v>
      </c>
    </row>
    <row r="75" spans="1:58" ht="11.65" customHeight="1">
      <c r="A75" s="59">
        <v>255091</v>
      </c>
      <c r="B75" s="25" t="s">
        <v>74</v>
      </c>
      <c r="C75" s="60">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1">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0">
        <v>1</v>
      </c>
      <c r="AV75" s="26">
        <v>3379.32</v>
      </c>
      <c r="AW75" s="26">
        <v>955184.7</v>
      </c>
      <c r="AX75" s="26">
        <v>70540</v>
      </c>
      <c r="AY75" s="26">
        <v>0</v>
      </c>
      <c r="AZ75" s="60">
        <v>884645</v>
      </c>
      <c r="BA75" s="60">
        <v>0</v>
      </c>
      <c r="BB75" s="26">
        <v>0</v>
      </c>
      <c r="BC75" s="60">
        <v>1</v>
      </c>
      <c r="BD75" s="26">
        <v>136573</v>
      </c>
      <c r="BE75" s="60">
        <v>8</v>
      </c>
      <c r="BF75" s="60">
        <v>0</v>
      </c>
    </row>
    <row r="76" spans="1:58" ht="11.65" customHeight="1">
      <c r="A76" s="59">
        <v>255092</v>
      </c>
      <c r="B76" s="25" t="s">
        <v>75</v>
      </c>
      <c r="C76" s="60">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1">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0">
        <v>0</v>
      </c>
      <c r="AV76" s="26">
        <v>0</v>
      </c>
      <c r="AW76" s="26">
        <v>4275</v>
      </c>
      <c r="AX76" s="26">
        <v>4275</v>
      </c>
      <c r="AY76" s="26">
        <v>0</v>
      </c>
      <c r="AZ76" s="60">
        <v>0</v>
      </c>
      <c r="BA76" s="60">
        <v>0</v>
      </c>
      <c r="BB76" s="26">
        <v>0</v>
      </c>
      <c r="BC76" s="60">
        <v>0</v>
      </c>
      <c r="BD76" s="26">
        <v>0</v>
      </c>
      <c r="BE76" s="60">
        <v>0</v>
      </c>
      <c r="BF76" s="60">
        <v>0</v>
      </c>
    </row>
    <row r="77" spans="1:58" ht="11.65" customHeight="1">
      <c r="A77" s="59">
        <v>255093</v>
      </c>
      <c r="B77" s="25" t="s">
        <v>76</v>
      </c>
      <c r="C77" s="60">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1">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0">
        <v>0</v>
      </c>
      <c r="AV77" s="26">
        <v>0</v>
      </c>
      <c r="AW77" s="26">
        <v>121474</v>
      </c>
      <c r="AX77" s="26">
        <v>1474</v>
      </c>
      <c r="AY77" s="26">
        <v>0</v>
      </c>
      <c r="AZ77" s="60">
        <v>120000</v>
      </c>
      <c r="BA77" s="60">
        <v>0</v>
      </c>
      <c r="BB77" s="26">
        <v>0</v>
      </c>
      <c r="BC77" s="60">
        <v>0</v>
      </c>
      <c r="BD77" s="26">
        <v>0</v>
      </c>
      <c r="BE77" s="60">
        <v>0</v>
      </c>
      <c r="BF77" s="60">
        <v>0</v>
      </c>
    </row>
    <row r="78" spans="1:58" ht="11.65" customHeight="1">
      <c r="A78" s="59">
        <v>255094</v>
      </c>
      <c r="B78" s="25" t="s">
        <v>77</v>
      </c>
      <c r="C78" s="60">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1">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0">
        <v>0</v>
      </c>
      <c r="AV78" s="26">
        <v>0</v>
      </c>
      <c r="AW78" s="26">
        <v>449100</v>
      </c>
      <c r="AX78" s="26">
        <v>127500</v>
      </c>
      <c r="AY78" s="26">
        <v>0</v>
      </c>
      <c r="AZ78" s="60">
        <v>321600</v>
      </c>
      <c r="BA78" s="60">
        <v>0</v>
      </c>
      <c r="BB78" s="26">
        <v>0</v>
      </c>
      <c r="BC78" s="60">
        <v>0</v>
      </c>
      <c r="BD78" s="26">
        <v>0</v>
      </c>
      <c r="BE78" s="60">
        <v>0</v>
      </c>
      <c r="BF78" s="60">
        <v>0</v>
      </c>
    </row>
    <row r="79" spans="1:58" ht="11.65" customHeight="1">
      <c r="A79" s="59">
        <v>255095</v>
      </c>
      <c r="B79" s="25" t="s">
        <v>78</v>
      </c>
      <c r="C79" s="60">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1">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0">
        <v>0</v>
      </c>
      <c r="AV79" s="26">
        <v>0</v>
      </c>
      <c r="AW79" s="26">
        <v>116400</v>
      </c>
      <c r="AX79" s="26">
        <v>0</v>
      </c>
      <c r="AY79" s="26">
        <v>0</v>
      </c>
      <c r="AZ79" s="60">
        <v>116400</v>
      </c>
      <c r="BA79" s="60">
        <v>0</v>
      </c>
      <c r="BB79" s="26">
        <v>0</v>
      </c>
      <c r="BC79" s="60">
        <v>0</v>
      </c>
      <c r="BD79" s="26">
        <v>0</v>
      </c>
      <c r="BE79" s="60">
        <v>0</v>
      </c>
      <c r="BF79" s="60">
        <v>0</v>
      </c>
    </row>
    <row r="80" spans="1:58" ht="11.65" customHeight="1">
      <c r="A80" s="59">
        <v>255096</v>
      </c>
      <c r="B80" s="25" t="s">
        <v>79</v>
      </c>
      <c r="C80" s="60">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1">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0">
        <v>0</v>
      </c>
      <c r="AV80" s="26">
        <v>0</v>
      </c>
      <c r="AW80" s="26">
        <v>225600</v>
      </c>
      <c r="AX80" s="26">
        <v>225600</v>
      </c>
      <c r="AY80" s="26">
        <v>0</v>
      </c>
      <c r="AZ80" s="60">
        <v>0</v>
      </c>
      <c r="BA80" s="60">
        <v>0</v>
      </c>
      <c r="BB80" s="26">
        <v>0</v>
      </c>
      <c r="BC80" s="60">
        <v>0</v>
      </c>
      <c r="BD80" s="26">
        <v>0</v>
      </c>
      <c r="BE80" s="60">
        <v>0</v>
      </c>
      <c r="BF80" s="60">
        <v>0</v>
      </c>
    </row>
    <row r="81" spans="1:58" ht="11.65" customHeight="1">
      <c r="A81" s="59">
        <v>255097</v>
      </c>
      <c r="B81" s="25" t="s">
        <v>80</v>
      </c>
      <c r="C81" s="60">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1">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0">
        <v>1</v>
      </c>
      <c r="AV81" s="26">
        <v>7857.35</v>
      </c>
      <c r="AW81" s="26">
        <v>3405152.32</v>
      </c>
      <c r="AX81" s="26">
        <v>2675863</v>
      </c>
      <c r="AY81" s="26">
        <v>729289.32</v>
      </c>
      <c r="AZ81" s="60">
        <v>0</v>
      </c>
      <c r="BA81" s="60">
        <v>3405152</v>
      </c>
      <c r="BB81" s="26">
        <v>0</v>
      </c>
      <c r="BC81" s="60">
        <v>1</v>
      </c>
      <c r="BD81" s="26">
        <v>176964.19</v>
      </c>
      <c r="BE81" s="60">
        <v>0</v>
      </c>
      <c r="BF81" s="60">
        <v>0</v>
      </c>
    </row>
    <row r="82" spans="1:58" ht="11.65" customHeight="1">
      <c r="A82" s="59">
        <v>255100</v>
      </c>
      <c r="B82" s="25" t="s">
        <v>81</v>
      </c>
      <c r="C82" s="60">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1">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0">
        <v>2</v>
      </c>
      <c r="AV82" s="26">
        <v>5881.7</v>
      </c>
      <c r="AW82" s="26">
        <v>451876.36</v>
      </c>
      <c r="AX82" s="26">
        <v>7443</v>
      </c>
      <c r="AY82" s="26">
        <v>0</v>
      </c>
      <c r="AZ82" s="60">
        <v>444433</v>
      </c>
      <c r="BA82" s="60">
        <v>451876</v>
      </c>
      <c r="BB82" s="26">
        <v>0</v>
      </c>
      <c r="BC82" s="60">
        <v>2</v>
      </c>
      <c r="BD82" s="26">
        <v>409243.94</v>
      </c>
      <c r="BE82" s="60">
        <v>2</v>
      </c>
      <c r="BF82" s="60">
        <v>3</v>
      </c>
    </row>
    <row r="83" spans="1:58" ht="11.65" customHeight="1">
      <c r="A83" s="59">
        <v>255101</v>
      </c>
      <c r="B83" s="25" t="s">
        <v>82</v>
      </c>
      <c r="C83" s="60">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1">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0">
        <v>1</v>
      </c>
      <c r="AV83" s="26">
        <v>6448.16</v>
      </c>
      <c r="AW83" s="26">
        <v>73973163.159999996</v>
      </c>
      <c r="AX83" s="26">
        <v>73862169</v>
      </c>
      <c r="AY83" s="26">
        <v>0</v>
      </c>
      <c r="AZ83" s="60">
        <v>110994</v>
      </c>
      <c r="BA83" s="60">
        <v>73973163</v>
      </c>
      <c r="BB83" s="26">
        <v>8079642.1900000004</v>
      </c>
      <c r="BC83" s="60">
        <v>1</v>
      </c>
      <c r="BD83" s="26">
        <v>128820</v>
      </c>
      <c r="BE83" s="60">
        <v>1</v>
      </c>
      <c r="BF83" s="60">
        <v>0</v>
      </c>
    </row>
    <row r="84" spans="1:58" ht="11.65" customHeight="1">
      <c r="A84" s="59">
        <v>255102</v>
      </c>
      <c r="B84" s="25" t="s">
        <v>83</v>
      </c>
      <c r="C84" s="60">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1">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0">
        <v>0</v>
      </c>
      <c r="AV84" s="26">
        <v>0</v>
      </c>
      <c r="AW84" s="26">
        <v>971430</v>
      </c>
      <c r="AX84" s="26">
        <v>805830</v>
      </c>
      <c r="AY84" s="26">
        <v>0</v>
      </c>
      <c r="AZ84" s="60">
        <v>165600</v>
      </c>
      <c r="BA84" s="60">
        <v>0</v>
      </c>
      <c r="BB84" s="26">
        <v>0</v>
      </c>
      <c r="BC84" s="60">
        <v>0</v>
      </c>
      <c r="BD84" s="26">
        <v>0</v>
      </c>
      <c r="BE84" s="60">
        <v>0</v>
      </c>
      <c r="BF84" s="60">
        <v>0</v>
      </c>
    </row>
    <row r="85" spans="1:58" ht="11.65" customHeight="1">
      <c r="A85" s="59">
        <v>255103</v>
      </c>
      <c r="B85" s="25" t="s">
        <v>84</v>
      </c>
      <c r="C85" s="60">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1">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0">
        <v>1</v>
      </c>
      <c r="AV85" s="26">
        <v>7016.14</v>
      </c>
      <c r="AW85" s="26">
        <v>498900</v>
      </c>
      <c r="AX85" s="26">
        <v>3700</v>
      </c>
      <c r="AY85" s="26">
        <v>0</v>
      </c>
      <c r="AZ85" s="60">
        <v>495200</v>
      </c>
      <c r="BA85" s="60">
        <v>0</v>
      </c>
      <c r="BB85" s="26">
        <v>0</v>
      </c>
      <c r="BC85" s="60">
        <v>1</v>
      </c>
      <c r="BD85" s="26">
        <v>149320</v>
      </c>
      <c r="BE85" s="60">
        <v>0</v>
      </c>
      <c r="BF85" s="60">
        <v>0</v>
      </c>
    </row>
    <row r="86" spans="1:58" ht="11.65" customHeight="1">
      <c r="A86" s="59">
        <v>255106</v>
      </c>
      <c r="B86" s="25" t="s">
        <v>85</v>
      </c>
      <c r="C86" s="60">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1">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0">
        <v>1</v>
      </c>
      <c r="AV86" s="26">
        <v>11985.85</v>
      </c>
      <c r="AW86" s="26">
        <v>100550</v>
      </c>
      <c r="AX86" s="26">
        <v>100550</v>
      </c>
      <c r="AY86" s="26">
        <v>0</v>
      </c>
      <c r="AZ86" s="60">
        <v>0</v>
      </c>
      <c r="BA86" s="60">
        <v>0</v>
      </c>
      <c r="BB86" s="26">
        <v>0</v>
      </c>
      <c r="BC86" s="60">
        <v>1</v>
      </c>
      <c r="BD86" s="26">
        <v>269657.90999999997</v>
      </c>
      <c r="BE86" s="60">
        <v>2</v>
      </c>
      <c r="BF86" s="60">
        <v>2</v>
      </c>
    </row>
    <row r="87" spans="1:58" ht="11.65" customHeight="1">
      <c r="A87" s="59">
        <v>255108</v>
      </c>
      <c r="B87" s="25" t="s">
        <v>303</v>
      </c>
      <c r="C87" s="60">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1">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0">
        <v>0</v>
      </c>
      <c r="AV87" s="26">
        <v>0</v>
      </c>
      <c r="AW87" s="26">
        <v>10323</v>
      </c>
      <c r="AX87" s="26">
        <v>10323</v>
      </c>
      <c r="AY87" s="26">
        <v>0</v>
      </c>
      <c r="AZ87" s="60">
        <v>0</v>
      </c>
      <c r="BA87" s="60">
        <v>0</v>
      </c>
      <c r="BB87" s="26">
        <v>0</v>
      </c>
      <c r="BC87" s="60">
        <v>0</v>
      </c>
      <c r="BD87" s="26">
        <v>0</v>
      </c>
      <c r="BE87" s="60">
        <v>0</v>
      </c>
      <c r="BF87" s="60">
        <v>0</v>
      </c>
    </row>
    <row r="88" spans="1:58" ht="11.65" customHeight="1">
      <c r="A88" s="59">
        <v>255109</v>
      </c>
      <c r="B88" s="25" t="s">
        <v>87</v>
      </c>
      <c r="C88" s="60">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1">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0">
        <v>2</v>
      </c>
      <c r="AV88" s="26">
        <v>7289.89</v>
      </c>
      <c r="AW88" s="26">
        <v>27170500</v>
      </c>
      <c r="AX88" s="26">
        <v>27170500</v>
      </c>
      <c r="AY88" s="26">
        <v>0</v>
      </c>
      <c r="AZ88" s="60">
        <v>0</v>
      </c>
      <c r="BA88" s="60">
        <v>0</v>
      </c>
      <c r="BB88" s="26">
        <v>0</v>
      </c>
      <c r="BC88" s="60">
        <v>2</v>
      </c>
      <c r="BD88" s="26">
        <v>434869.19</v>
      </c>
      <c r="BE88" s="60">
        <v>4</v>
      </c>
      <c r="BF88" s="60">
        <v>0</v>
      </c>
    </row>
    <row r="89" spans="1:58" ht="11.65" customHeight="1">
      <c r="A89" s="59">
        <v>255110</v>
      </c>
      <c r="B89" s="25" t="s">
        <v>88</v>
      </c>
      <c r="C89" s="60">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1">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0">
        <v>1</v>
      </c>
      <c r="AV89" s="26">
        <v>3948.19</v>
      </c>
      <c r="AW89" s="26">
        <v>122874</v>
      </c>
      <c r="AX89" s="26">
        <v>59274</v>
      </c>
      <c r="AY89" s="26">
        <v>0</v>
      </c>
      <c r="AZ89" s="60">
        <v>63600</v>
      </c>
      <c r="BA89" s="60">
        <v>0</v>
      </c>
      <c r="BB89" s="26">
        <v>0</v>
      </c>
      <c r="BC89" s="60">
        <v>1</v>
      </c>
      <c r="BD89" s="26">
        <v>195400</v>
      </c>
      <c r="BE89" s="60">
        <v>1</v>
      </c>
      <c r="BF89" s="60">
        <v>0</v>
      </c>
    </row>
    <row r="90" spans="1:58" ht="11.65" customHeight="1">
      <c r="A90" s="59">
        <v>255111</v>
      </c>
      <c r="B90" s="25" t="s">
        <v>89</v>
      </c>
      <c r="C90" s="60">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1">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0">
        <v>0</v>
      </c>
      <c r="AV90" s="26">
        <v>0</v>
      </c>
      <c r="AW90" s="26">
        <v>708007.5</v>
      </c>
      <c r="AX90" s="26">
        <v>2407.5</v>
      </c>
      <c r="AY90" s="26">
        <v>0</v>
      </c>
      <c r="AZ90" s="60">
        <v>705600</v>
      </c>
      <c r="BA90" s="60">
        <v>708008</v>
      </c>
      <c r="BB90" s="26">
        <v>708007.5</v>
      </c>
      <c r="BC90" s="60">
        <v>0</v>
      </c>
      <c r="BD90" s="26">
        <v>0</v>
      </c>
      <c r="BE90" s="60">
        <v>0</v>
      </c>
      <c r="BF90" s="60">
        <v>0</v>
      </c>
    </row>
    <row r="91" spans="1:58" ht="11.65" customHeight="1">
      <c r="A91" s="59">
        <v>255112</v>
      </c>
      <c r="B91" s="25" t="s">
        <v>90</v>
      </c>
      <c r="C91" s="60">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1">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0">
        <v>1</v>
      </c>
      <c r="AV91" s="26">
        <v>5723.55</v>
      </c>
      <c r="AW91" s="26">
        <v>1855477.5</v>
      </c>
      <c r="AX91" s="26">
        <v>555270</v>
      </c>
      <c r="AY91" s="26">
        <v>0</v>
      </c>
      <c r="AZ91" s="60">
        <v>1300208</v>
      </c>
      <c r="BA91" s="60">
        <v>0</v>
      </c>
      <c r="BB91" s="26">
        <v>0</v>
      </c>
      <c r="BC91" s="60">
        <v>1</v>
      </c>
      <c r="BD91" s="26">
        <v>97692</v>
      </c>
      <c r="BE91" s="60">
        <v>1</v>
      </c>
      <c r="BF91" s="60">
        <v>0</v>
      </c>
    </row>
    <row r="92" spans="1:58" ht="11.65" customHeight="1">
      <c r="A92" s="59">
        <v>255113</v>
      </c>
      <c r="B92" s="25" t="s">
        <v>91</v>
      </c>
      <c r="C92" s="60">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1">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0">
        <v>0</v>
      </c>
      <c r="AV92" s="26">
        <v>0</v>
      </c>
      <c r="AW92" s="26">
        <v>402837.52</v>
      </c>
      <c r="AX92" s="26">
        <v>0</v>
      </c>
      <c r="AY92" s="26">
        <v>0</v>
      </c>
      <c r="AZ92" s="60">
        <v>402838</v>
      </c>
      <c r="BA92" s="60">
        <v>0</v>
      </c>
      <c r="BB92" s="26">
        <v>0</v>
      </c>
      <c r="BC92" s="60">
        <v>0</v>
      </c>
      <c r="BD92" s="26">
        <v>0</v>
      </c>
      <c r="BE92" s="60">
        <v>0</v>
      </c>
      <c r="BF92" s="60">
        <v>0</v>
      </c>
    </row>
    <row r="93" spans="1:58" ht="11.65" customHeight="1">
      <c r="A93" s="59">
        <v>255114</v>
      </c>
      <c r="B93" s="25" t="s">
        <v>92</v>
      </c>
      <c r="C93" s="60">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1">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0">
        <v>2</v>
      </c>
      <c r="AV93" s="26">
        <v>8697.52</v>
      </c>
      <c r="AW93" s="26">
        <v>5850651</v>
      </c>
      <c r="AX93" s="26">
        <v>4154695</v>
      </c>
      <c r="AY93" s="26">
        <v>0</v>
      </c>
      <c r="AZ93" s="60">
        <v>1695956</v>
      </c>
      <c r="BA93" s="60">
        <v>4641051</v>
      </c>
      <c r="BB93" s="26">
        <v>3753851</v>
      </c>
      <c r="BC93" s="60">
        <v>2</v>
      </c>
      <c r="BD93" s="26">
        <v>427487.99</v>
      </c>
      <c r="BE93" s="60">
        <v>5</v>
      </c>
      <c r="BF93" s="60">
        <v>0</v>
      </c>
    </row>
    <row r="94" spans="1:58" ht="11.65" customHeight="1">
      <c r="A94" s="59">
        <v>255115</v>
      </c>
      <c r="B94" s="25" t="s">
        <v>93</v>
      </c>
      <c r="C94" s="60">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1">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0">
        <v>2</v>
      </c>
      <c r="AV94" s="26">
        <v>6216.79</v>
      </c>
      <c r="AW94" s="26">
        <v>8339397.4500000002</v>
      </c>
      <c r="AX94" s="26">
        <v>5372692</v>
      </c>
      <c r="AY94" s="26">
        <v>0</v>
      </c>
      <c r="AZ94" s="60">
        <v>2966705</v>
      </c>
      <c r="BA94" s="60">
        <v>0</v>
      </c>
      <c r="BB94" s="26">
        <v>0</v>
      </c>
      <c r="BC94" s="60">
        <v>2</v>
      </c>
      <c r="BD94" s="26">
        <v>466224.78</v>
      </c>
      <c r="BE94" s="60">
        <v>0</v>
      </c>
      <c r="BF94" s="60">
        <v>0</v>
      </c>
    </row>
    <row r="95" spans="1:58" ht="11.65" customHeight="1">
      <c r="A95" s="59">
        <v>255116</v>
      </c>
      <c r="B95" s="25" t="s">
        <v>94</v>
      </c>
      <c r="C95" s="60">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1">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0">
        <v>1</v>
      </c>
      <c r="AV95" s="26">
        <v>7872.39</v>
      </c>
      <c r="AW95" s="26">
        <v>810624.23</v>
      </c>
      <c r="AX95" s="26">
        <v>36650</v>
      </c>
      <c r="AY95" s="26">
        <v>0</v>
      </c>
      <c r="AZ95" s="60">
        <v>773974</v>
      </c>
      <c r="BA95" s="60">
        <v>810624</v>
      </c>
      <c r="BB95" s="26">
        <v>0</v>
      </c>
      <c r="BC95" s="60">
        <v>1</v>
      </c>
      <c r="BD95" s="26">
        <v>195400</v>
      </c>
      <c r="BE95" s="60">
        <v>0</v>
      </c>
      <c r="BF95" s="60">
        <v>0</v>
      </c>
    </row>
    <row r="96" spans="1:58" ht="11.65" customHeight="1">
      <c r="A96" s="59">
        <v>255117</v>
      </c>
      <c r="B96" s="25" t="s">
        <v>95</v>
      </c>
      <c r="C96" s="60">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1">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0">
        <v>1</v>
      </c>
      <c r="AV96" s="26">
        <v>12646.33</v>
      </c>
      <c r="AW96" s="26">
        <v>345600</v>
      </c>
      <c r="AX96" s="26">
        <v>0</v>
      </c>
      <c r="AY96" s="26">
        <v>0</v>
      </c>
      <c r="AZ96" s="60">
        <v>345600</v>
      </c>
      <c r="BA96" s="60">
        <v>0</v>
      </c>
      <c r="BB96" s="26">
        <v>0</v>
      </c>
      <c r="BC96" s="60">
        <v>1</v>
      </c>
      <c r="BD96" s="26">
        <v>156230</v>
      </c>
      <c r="BE96" s="60">
        <v>0</v>
      </c>
      <c r="BF96" s="60">
        <v>0</v>
      </c>
    </row>
    <row r="97" spans="1:58" ht="11.65" customHeight="1">
      <c r="A97" s="59">
        <v>255119</v>
      </c>
      <c r="B97" s="25" t="s">
        <v>96</v>
      </c>
      <c r="C97" s="60">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1">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0">
        <v>1</v>
      </c>
      <c r="AV97" s="26">
        <v>10863.65</v>
      </c>
      <c r="AW97" s="26">
        <v>884533.3</v>
      </c>
      <c r="AX97" s="26">
        <v>0</v>
      </c>
      <c r="AY97" s="26">
        <v>0</v>
      </c>
      <c r="AZ97" s="60">
        <v>884533</v>
      </c>
      <c r="BA97" s="60">
        <v>0</v>
      </c>
      <c r="BB97" s="26">
        <v>0</v>
      </c>
      <c r="BC97" s="60">
        <v>1</v>
      </c>
      <c r="BD97" s="26">
        <v>112880</v>
      </c>
      <c r="BE97" s="60">
        <v>0</v>
      </c>
      <c r="BF97" s="60">
        <v>0</v>
      </c>
    </row>
    <row r="98" spans="1:58" ht="11.65" customHeight="1">
      <c r="A98" s="59">
        <v>255122</v>
      </c>
      <c r="B98" s="25" t="s">
        <v>97</v>
      </c>
      <c r="C98" s="60">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1">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0">
        <v>1</v>
      </c>
      <c r="AV98" s="26">
        <v>27000</v>
      </c>
      <c r="AW98" s="26">
        <v>345600</v>
      </c>
      <c r="AX98" s="26">
        <v>0</v>
      </c>
      <c r="AY98" s="26">
        <v>0</v>
      </c>
      <c r="AZ98" s="60">
        <v>345600</v>
      </c>
      <c r="BA98" s="60">
        <v>0</v>
      </c>
      <c r="BB98" s="26">
        <v>0</v>
      </c>
      <c r="BC98" s="60">
        <v>1</v>
      </c>
      <c r="BD98" s="26">
        <v>257905</v>
      </c>
      <c r="BE98" s="60">
        <v>5</v>
      </c>
      <c r="BF98" s="60">
        <v>0</v>
      </c>
    </row>
    <row r="99" spans="1:58" ht="11.65" customHeight="1">
      <c r="A99" s="59">
        <v>255124</v>
      </c>
      <c r="B99" s="25" t="s">
        <v>98</v>
      </c>
      <c r="C99" s="60">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1">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0">
        <v>1</v>
      </c>
      <c r="AV99" s="26">
        <v>12348.39</v>
      </c>
      <c r="AW99" s="26">
        <v>1152000</v>
      </c>
      <c r="AX99" s="26">
        <v>0</v>
      </c>
      <c r="AY99" s="26">
        <v>0</v>
      </c>
      <c r="AZ99" s="60">
        <v>1152000</v>
      </c>
      <c r="BA99" s="60">
        <v>0</v>
      </c>
      <c r="BB99" s="26">
        <v>0</v>
      </c>
      <c r="BC99" s="60">
        <v>1</v>
      </c>
      <c r="BD99" s="26">
        <v>156230</v>
      </c>
      <c r="BE99" s="60">
        <v>0</v>
      </c>
      <c r="BF99" s="60">
        <v>0</v>
      </c>
    </row>
    <row r="100" spans="1:58" ht="11.65" customHeight="1">
      <c r="A100" s="59">
        <v>255126</v>
      </c>
      <c r="B100" s="25" t="s">
        <v>99</v>
      </c>
      <c r="C100" s="60">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1">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0">
        <v>1</v>
      </c>
      <c r="AV100" s="26">
        <v>7404.28</v>
      </c>
      <c r="AW100" s="26">
        <v>4713408.96</v>
      </c>
      <c r="AX100" s="26">
        <v>2363443.5099999998</v>
      </c>
      <c r="AY100" s="26">
        <v>0</v>
      </c>
      <c r="AZ100" s="60">
        <v>2349965</v>
      </c>
      <c r="BA100" s="60">
        <v>3770727</v>
      </c>
      <c r="BB100" s="26">
        <v>3016581.73</v>
      </c>
      <c r="BC100" s="60">
        <v>1</v>
      </c>
      <c r="BD100" s="26">
        <v>169582.99</v>
      </c>
      <c r="BE100" s="60">
        <v>0</v>
      </c>
      <c r="BF100" s="60">
        <v>0</v>
      </c>
    </row>
    <row r="101" spans="1:58" ht="11.65" customHeight="1">
      <c r="A101" s="59">
        <v>255127</v>
      </c>
      <c r="B101" s="25" t="s">
        <v>100</v>
      </c>
      <c r="C101" s="60">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1">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0">
        <v>1</v>
      </c>
      <c r="AV101" s="26">
        <v>5959.88</v>
      </c>
      <c r="AW101" s="26">
        <v>477007.28</v>
      </c>
      <c r="AX101" s="26">
        <v>77750</v>
      </c>
      <c r="AY101" s="26">
        <v>0</v>
      </c>
      <c r="AZ101" s="60">
        <v>399257</v>
      </c>
      <c r="BA101" s="60">
        <v>477007</v>
      </c>
      <c r="BB101" s="26">
        <v>477007.28</v>
      </c>
      <c r="BC101" s="60">
        <v>1</v>
      </c>
      <c r="BD101" s="26">
        <v>257905</v>
      </c>
      <c r="BE101" s="60">
        <v>0</v>
      </c>
      <c r="BF101" s="60">
        <v>0</v>
      </c>
    </row>
    <row r="102" spans="1:58" ht="11.65" customHeight="1">
      <c r="A102" s="59">
        <v>255129</v>
      </c>
      <c r="B102" s="25" t="s">
        <v>101</v>
      </c>
      <c r="C102" s="60">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1">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0">
        <v>3</v>
      </c>
      <c r="AV102" s="26">
        <v>5379.9</v>
      </c>
      <c r="AW102" s="26">
        <v>7713807.6200000001</v>
      </c>
      <c r="AX102" s="26">
        <v>3817321.12</v>
      </c>
      <c r="AY102" s="26">
        <v>0</v>
      </c>
      <c r="AZ102" s="60">
        <v>3896487</v>
      </c>
      <c r="BA102" s="60">
        <v>7713808</v>
      </c>
      <c r="BB102" s="26">
        <v>0</v>
      </c>
      <c r="BC102" s="60">
        <v>3</v>
      </c>
      <c r="BD102" s="26">
        <v>575524</v>
      </c>
      <c r="BE102" s="60">
        <v>1</v>
      </c>
      <c r="BF102" s="60">
        <v>0</v>
      </c>
    </row>
    <row r="103" spans="1:58" ht="11.65" customHeight="1">
      <c r="A103" s="59">
        <v>255131</v>
      </c>
      <c r="B103" s="25" t="s">
        <v>102</v>
      </c>
      <c r="C103" s="60">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1">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0">
        <v>1</v>
      </c>
      <c r="AV103" s="26">
        <v>4885.92</v>
      </c>
      <c r="AW103" s="26">
        <v>1459247.5</v>
      </c>
      <c r="AX103" s="26">
        <v>85747.5</v>
      </c>
      <c r="AY103" s="26">
        <v>0</v>
      </c>
      <c r="AZ103" s="60">
        <v>1373500</v>
      </c>
      <c r="BA103" s="60">
        <v>0</v>
      </c>
      <c r="BB103" s="26">
        <v>0</v>
      </c>
      <c r="BC103" s="60">
        <v>1</v>
      </c>
      <c r="BD103" s="26">
        <v>237405</v>
      </c>
      <c r="BE103" s="60">
        <v>0</v>
      </c>
      <c r="BF103" s="60">
        <v>0</v>
      </c>
    </row>
    <row r="104" spans="1:58" ht="11.65" customHeight="1">
      <c r="A104" s="59">
        <v>255132</v>
      </c>
      <c r="B104" s="25" t="s">
        <v>103</v>
      </c>
      <c r="C104" s="60">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1">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0">
        <v>0</v>
      </c>
      <c r="AV104" s="26">
        <v>0</v>
      </c>
      <c r="AW104" s="26">
        <v>1035473</v>
      </c>
      <c r="AX104" s="26">
        <v>161717</v>
      </c>
      <c r="AY104" s="26">
        <v>0</v>
      </c>
      <c r="AZ104" s="60">
        <v>873756</v>
      </c>
      <c r="BA104" s="60">
        <v>1035473</v>
      </c>
      <c r="BB104" s="26">
        <v>924573</v>
      </c>
      <c r="BC104" s="60">
        <v>0</v>
      </c>
      <c r="BD104" s="26">
        <v>0</v>
      </c>
      <c r="BE104" s="60">
        <v>0</v>
      </c>
      <c r="BF104" s="60">
        <v>0</v>
      </c>
    </row>
    <row r="105" spans="1:58" ht="11.65" customHeight="1">
      <c r="A105" s="59">
        <v>255133</v>
      </c>
      <c r="B105" s="25" t="s">
        <v>104</v>
      </c>
      <c r="C105" s="60">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1">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0">
        <v>1</v>
      </c>
      <c r="AV105" s="26">
        <v>5252.71</v>
      </c>
      <c r="AW105" s="26">
        <v>3727482.65</v>
      </c>
      <c r="AX105" s="26">
        <v>139624.54999999999</v>
      </c>
      <c r="AY105" s="26">
        <v>0</v>
      </c>
      <c r="AZ105" s="60">
        <v>3587858</v>
      </c>
      <c r="BA105" s="60">
        <v>3727483</v>
      </c>
      <c r="BB105" s="26">
        <v>3727482.65</v>
      </c>
      <c r="BC105" s="60">
        <v>1</v>
      </c>
      <c r="BD105" s="26">
        <v>112880</v>
      </c>
      <c r="BE105" s="60">
        <v>1</v>
      </c>
      <c r="BF105" s="60">
        <v>0</v>
      </c>
    </row>
    <row r="106" spans="1:58" ht="11.65" customHeight="1">
      <c r="A106" s="59">
        <v>255134</v>
      </c>
      <c r="B106" s="25" t="s">
        <v>105</v>
      </c>
      <c r="C106" s="60">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1">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0">
        <v>0</v>
      </c>
      <c r="AV106" s="26">
        <v>0</v>
      </c>
      <c r="AW106" s="26">
        <v>21355</v>
      </c>
      <c r="AX106" s="26">
        <v>21355</v>
      </c>
      <c r="AY106" s="26">
        <v>0</v>
      </c>
      <c r="AZ106" s="60">
        <v>0</v>
      </c>
      <c r="BA106" s="60">
        <v>0</v>
      </c>
      <c r="BB106" s="26">
        <v>0</v>
      </c>
      <c r="BC106" s="60">
        <v>0</v>
      </c>
      <c r="BD106" s="26">
        <v>0</v>
      </c>
      <c r="BE106" s="60">
        <v>0</v>
      </c>
      <c r="BF106" s="60">
        <v>0</v>
      </c>
    </row>
    <row r="107" spans="1:58" ht="11.65" customHeight="1">
      <c r="A107" s="59">
        <v>255135</v>
      </c>
      <c r="B107" s="25" t="s">
        <v>106</v>
      </c>
      <c r="C107" s="60">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1">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0">
        <v>0</v>
      </c>
      <c r="AV107" s="26">
        <v>0</v>
      </c>
      <c r="AW107" s="26">
        <v>2612208.08</v>
      </c>
      <c r="AX107" s="26">
        <v>124292</v>
      </c>
      <c r="AY107" s="26">
        <v>0</v>
      </c>
      <c r="AZ107" s="60">
        <v>2487916</v>
      </c>
      <c r="BA107" s="60">
        <v>2612208</v>
      </c>
      <c r="BB107" s="26">
        <v>0</v>
      </c>
      <c r="BC107" s="60">
        <v>0</v>
      </c>
      <c r="BD107" s="26">
        <v>0</v>
      </c>
      <c r="BE107" s="60">
        <v>0</v>
      </c>
      <c r="BF107" s="60">
        <v>0</v>
      </c>
    </row>
    <row r="108" spans="1:58" ht="11.65" customHeight="1">
      <c r="A108" s="59">
        <v>255137</v>
      </c>
      <c r="B108" s="25" t="s">
        <v>107</v>
      </c>
      <c r="C108" s="60">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1">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0">
        <v>0</v>
      </c>
      <c r="AV108" s="26">
        <v>0</v>
      </c>
      <c r="AW108" s="26">
        <v>681664</v>
      </c>
      <c r="AX108" s="26">
        <v>83264</v>
      </c>
      <c r="AY108" s="26">
        <v>0</v>
      </c>
      <c r="AZ108" s="60">
        <v>598400</v>
      </c>
      <c r="BA108" s="60">
        <v>83264</v>
      </c>
      <c r="BB108" s="26">
        <v>83264</v>
      </c>
      <c r="BC108" s="60">
        <v>0</v>
      </c>
      <c r="BD108" s="26">
        <v>0</v>
      </c>
      <c r="BE108" s="60">
        <v>0</v>
      </c>
      <c r="BF108" s="60">
        <v>0</v>
      </c>
    </row>
    <row r="109" spans="1:58" ht="11.65" customHeight="1">
      <c r="A109" s="59">
        <v>255138</v>
      </c>
      <c r="B109" s="25" t="s">
        <v>108</v>
      </c>
      <c r="C109" s="60">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1">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0">
        <v>0</v>
      </c>
      <c r="AV109" s="26">
        <v>0</v>
      </c>
      <c r="AW109" s="26">
        <v>447567</v>
      </c>
      <c r="AX109" s="26">
        <v>0</v>
      </c>
      <c r="AY109" s="26">
        <v>0</v>
      </c>
      <c r="AZ109" s="60">
        <v>447567</v>
      </c>
      <c r="BA109" s="60">
        <v>0</v>
      </c>
      <c r="BB109" s="26">
        <v>0</v>
      </c>
      <c r="BC109" s="60">
        <v>0</v>
      </c>
      <c r="BD109" s="26">
        <v>0</v>
      </c>
      <c r="BE109" s="60">
        <v>0</v>
      </c>
      <c r="BF109" s="60">
        <v>0</v>
      </c>
    </row>
    <row r="110" spans="1:58" ht="11.65" customHeight="1">
      <c r="A110" s="59">
        <v>255139</v>
      </c>
      <c r="B110" s="25" t="s">
        <v>109</v>
      </c>
      <c r="C110" s="60">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1">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0">
        <v>0</v>
      </c>
      <c r="AV110" s="26">
        <v>0</v>
      </c>
      <c r="AW110" s="26">
        <v>379737.13</v>
      </c>
      <c r="AX110" s="26">
        <v>172926</v>
      </c>
      <c r="AY110" s="26">
        <v>0</v>
      </c>
      <c r="AZ110" s="60">
        <v>206811</v>
      </c>
      <c r="BA110" s="60">
        <v>0</v>
      </c>
      <c r="BB110" s="26">
        <v>0</v>
      </c>
      <c r="BC110" s="60">
        <v>0</v>
      </c>
      <c r="BD110" s="26">
        <v>0</v>
      </c>
      <c r="BE110" s="60">
        <v>0</v>
      </c>
      <c r="BF110" s="60">
        <v>0</v>
      </c>
    </row>
    <row r="111" spans="1:58" ht="11.65" customHeight="1">
      <c r="A111" s="59">
        <v>255140</v>
      </c>
      <c r="B111" s="25" t="s">
        <v>110</v>
      </c>
      <c r="C111" s="60">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1">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0">
        <v>0</v>
      </c>
      <c r="AV111" s="26">
        <v>0</v>
      </c>
      <c r="AW111" s="26">
        <v>265756</v>
      </c>
      <c r="AX111" s="26">
        <v>130756</v>
      </c>
      <c r="AY111" s="26">
        <v>0</v>
      </c>
      <c r="AZ111" s="60">
        <v>135000</v>
      </c>
      <c r="BA111" s="60">
        <v>0</v>
      </c>
      <c r="BB111" s="26">
        <v>0</v>
      </c>
      <c r="BC111" s="60">
        <v>0</v>
      </c>
      <c r="BD111" s="26">
        <v>0</v>
      </c>
      <c r="BE111" s="60">
        <v>0</v>
      </c>
      <c r="BF111" s="60">
        <v>0</v>
      </c>
    </row>
    <row r="112" spans="1:58" ht="11.65" customHeight="1">
      <c r="A112" s="59">
        <v>255141</v>
      </c>
      <c r="B112" s="25" t="s">
        <v>111</v>
      </c>
      <c r="C112" s="60">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1">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0">
        <v>2</v>
      </c>
      <c r="AV112" s="26">
        <v>9933.9599999999991</v>
      </c>
      <c r="AW112" s="26">
        <v>5738725</v>
      </c>
      <c r="AX112" s="26">
        <v>0</v>
      </c>
      <c r="AY112" s="26">
        <v>5738725</v>
      </c>
      <c r="AZ112" s="60">
        <v>0</v>
      </c>
      <c r="BA112" s="60">
        <v>0</v>
      </c>
      <c r="BB112" s="26">
        <v>0</v>
      </c>
      <c r="BC112" s="60">
        <v>2</v>
      </c>
      <c r="BD112" s="26">
        <v>381199</v>
      </c>
      <c r="BE112" s="60">
        <v>1</v>
      </c>
      <c r="BF112" s="60">
        <v>0</v>
      </c>
    </row>
    <row r="113" spans="1:58" ht="11.65" customHeight="1">
      <c r="A113" s="59">
        <v>255144</v>
      </c>
      <c r="B113" s="25" t="s">
        <v>112</v>
      </c>
      <c r="C113" s="60">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1">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0">
        <v>0</v>
      </c>
      <c r="AV113" s="26">
        <v>0</v>
      </c>
      <c r="AW113" s="26">
        <v>455724.5</v>
      </c>
      <c r="AX113" s="26">
        <v>239724.5</v>
      </c>
      <c r="AY113" s="26">
        <v>0</v>
      </c>
      <c r="AZ113" s="60">
        <v>216000</v>
      </c>
      <c r="BA113" s="60">
        <v>0</v>
      </c>
      <c r="BB113" s="26">
        <v>0</v>
      </c>
      <c r="BC113" s="60">
        <v>0</v>
      </c>
      <c r="BD113" s="26">
        <v>0</v>
      </c>
      <c r="BE113" s="60">
        <v>0</v>
      </c>
      <c r="BF113" s="60">
        <v>0</v>
      </c>
    </row>
    <row r="114" spans="1:58" ht="11.65" customHeight="1">
      <c r="A114" s="59">
        <v>255145</v>
      </c>
      <c r="B114" s="25" t="s">
        <v>113</v>
      </c>
      <c r="C114" s="60">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1">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0">
        <v>0</v>
      </c>
      <c r="AV114" s="26">
        <v>0</v>
      </c>
      <c r="AW114" s="26">
        <v>450856.93</v>
      </c>
      <c r="AX114" s="26">
        <v>450856.93</v>
      </c>
      <c r="AY114" s="26">
        <v>0</v>
      </c>
      <c r="AZ114" s="60">
        <v>0</v>
      </c>
      <c r="BA114" s="60">
        <v>0</v>
      </c>
      <c r="BB114" s="26">
        <v>0</v>
      </c>
      <c r="BC114" s="60">
        <v>0</v>
      </c>
      <c r="BD114" s="26">
        <v>0</v>
      </c>
      <c r="BE114" s="60">
        <v>0</v>
      </c>
      <c r="BF114" s="60">
        <v>0</v>
      </c>
    </row>
    <row r="115" spans="1:58" ht="11.65" customHeight="1">
      <c r="A115" s="59">
        <v>255147</v>
      </c>
      <c r="B115" s="25" t="s">
        <v>114</v>
      </c>
      <c r="C115" s="60">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1">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0">
        <v>0</v>
      </c>
      <c r="AV115" s="26">
        <v>0</v>
      </c>
      <c r="AW115" s="26">
        <v>1094400</v>
      </c>
      <c r="AX115" s="26">
        <v>0</v>
      </c>
      <c r="AY115" s="26">
        <v>0</v>
      </c>
      <c r="AZ115" s="60">
        <v>1094400</v>
      </c>
      <c r="BA115" s="60">
        <v>0</v>
      </c>
      <c r="BB115" s="26">
        <v>0</v>
      </c>
      <c r="BC115" s="60">
        <v>0</v>
      </c>
      <c r="BD115" s="26">
        <v>0</v>
      </c>
      <c r="BE115" s="60">
        <v>0</v>
      </c>
      <c r="BF115" s="60">
        <v>0</v>
      </c>
    </row>
    <row r="116" spans="1:58" ht="11.65" customHeight="1">
      <c r="A116" s="59">
        <v>255148</v>
      </c>
      <c r="B116" s="25" t="s">
        <v>115</v>
      </c>
      <c r="C116" s="60">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1">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0">
        <v>0</v>
      </c>
      <c r="AV116" s="26">
        <v>0</v>
      </c>
      <c r="AW116" s="26">
        <v>227498.8</v>
      </c>
      <c r="AX116" s="26">
        <v>51298.8</v>
      </c>
      <c r="AY116" s="26">
        <v>0</v>
      </c>
      <c r="AZ116" s="60">
        <v>176200</v>
      </c>
      <c r="BA116" s="60">
        <v>0</v>
      </c>
      <c r="BB116" s="26">
        <v>0</v>
      </c>
      <c r="BC116" s="60">
        <v>0</v>
      </c>
      <c r="BD116" s="26">
        <v>0</v>
      </c>
      <c r="BE116" s="60">
        <v>0</v>
      </c>
      <c r="BF116" s="60">
        <v>0</v>
      </c>
    </row>
    <row r="117" spans="1:58" ht="11.65" customHeight="1">
      <c r="A117" s="59">
        <v>255149</v>
      </c>
      <c r="B117" s="25" t="s">
        <v>116</v>
      </c>
      <c r="C117" s="60">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1">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0">
        <v>0</v>
      </c>
      <c r="AV117" s="26">
        <v>0</v>
      </c>
      <c r="AW117" s="26">
        <v>523380</v>
      </c>
      <c r="AX117" s="26">
        <v>112980</v>
      </c>
      <c r="AY117" s="26">
        <v>0</v>
      </c>
      <c r="AZ117" s="60">
        <v>410400</v>
      </c>
      <c r="BA117" s="60">
        <v>0</v>
      </c>
      <c r="BB117" s="26">
        <v>0</v>
      </c>
      <c r="BC117" s="60">
        <v>0</v>
      </c>
      <c r="BD117" s="26">
        <v>0</v>
      </c>
      <c r="BE117" s="60">
        <v>0</v>
      </c>
      <c r="BF117" s="60">
        <v>0</v>
      </c>
    </row>
    <row r="118" spans="1:58" ht="11.65" customHeight="1">
      <c r="A118" s="59">
        <v>255150</v>
      </c>
      <c r="B118" s="25" t="s">
        <v>117</v>
      </c>
      <c r="C118" s="60">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1">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0">
        <v>0</v>
      </c>
      <c r="AV118" s="26">
        <v>0</v>
      </c>
      <c r="AW118" s="26">
        <v>10500000</v>
      </c>
      <c r="AX118" s="26">
        <v>0</v>
      </c>
      <c r="AY118" s="26">
        <v>10500000</v>
      </c>
      <c r="AZ118" s="60">
        <v>0</v>
      </c>
      <c r="BA118" s="60">
        <v>0</v>
      </c>
      <c r="BB118" s="26">
        <v>0</v>
      </c>
      <c r="BC118" s="60">
        <v>0</v>
      </c>
      <c r="BD118" s="26">
        <v>0</v>
      </c>
      <c r="BE118" s="60">
        <v>0</v>
      </c>
      <c r="BF118" s="60">
        <v>0</v>
      </c>
    </row>
    <row r="119" spans="1:58" ht="11.65" customHeight="1">
      <c r="A119" s="59">
        <v>255151</v>
      </c>
      <c r="B119" s="25" t="s">
        <v>118</v>
      </c>
      <c r="C119" s="60">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1">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0">
        <v>0</v>
      </c>
      <c r="AV119" s="26">
        <v>0</v>
      </c>
      <c r="AW119" s="26">
        <v>1212287.3500000001</v>
      </c>
      <c r="AX119" s="26">
        <v>299527</v>
      </c>
      <c r="AY119" s="26">
        <v>0</v>
      </c>
      <c r="AZ119" s="60">
        <v>912760</v>
      </c>
      <c r="BA119" s="60">
        <v>0</v>
      </c>
      <c r="BB119" s="26">
        <v>0</v>
      </c>
      <c r="BC119" s="60">
        <v>0</v>
      </c>
      <c r="BD119" s="26">
        <v>0</v>
      </c>
      <c r="BE119" s="60">
        <v>0</v>
      </c>
      <c r="BF119" s="60">
        <v>0</v>
      </c>
    </row>
    <row r="120" spans="1:58" ht="11.65" customHeight="1">
      <c r="A120" s="59">
        <v>255152</v>
      </c>
      <c r="B120" s="25" t="s">
        <v>119</v>
      </c>
      <c r="C120" s="60">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1">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0">
        <v>0</v>
      </c>
      <c r="AV120" s="26">
        <v>0</v>
      </c>
      <c r="AW120" s="26">
        <v>883952</v>
      </c>
      <c r="AX120" s="26">
        <v>94932</v>
      </c>
      <c r="AY120" s="26">
        <v>0</v>
      </c>
      <c r="AZ120" s="60">
        <v>789020</v>
      </c>
      <c r="BA120" s="60">
        <v>0</v>
      </c>
      <c r="BB120" s="26">
        <v>0</v>
      </c>
      <c r="BC120" s="60">
        <v>0</v>
      </c>
      <c r="BD120" s="26">
        <v>0</v>
      </c>
      <c r="BE120" s="60">
        <v>0</v>
      </c>
      <c r="BF120" s="60">
        <v>0</v>
      </c>
    </row>
    <row r="121" spans="1:58" ht="11.65" customHeight="1">
      <c r="A121" s="59">
        <v>255153</v>
      </c>
      <c r="B121" s="25" t="s">
        <v>120</v>
      </c>
      <c r="C121" s="60">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1">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0">
        <v>0</v>
      </c>
      <c r="AV121" s="26">
        <v>0</v>
      </c>
      <c r="AW121" s="26">
        <v>83660</v>
      </c>
      <c r="AX121" s="26">
        <v>1360</v>
      </c>
      <c r="AY121" s="26">
        <v>0</v>
      </c>
      <c r="AZ121" s="60">
        <v>82300</v>
      </c>
      <c r="BA121" s="60">
        <v>0</v>
      </c>
      <c r="BB121" s="26">
        <v>0</v>
      </c>
      <c r="BC121" s="60">
        <v>0</v>
      </c>
      <c r="BD121" s="26">
        <v>0</v>
      </c>
      <c r="BE121" s="60">
        <v>0</v>
      </c>
      <c r="BF121" s="60">
        <v>0</v>
      </c>
    </row>
    <row r="122" spans="1:58" ht="11.65" customHeight="1">
      <c r="A122" s="59">
        <v>255154</v>
      </c>
      <c r="B122" s="25" t="s">
        <v>442</v>
      </c>
      <c r="C122" s="60">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1">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0">
        <v>0</v>
      </c>
      <c r="AV122" s="26">
        <v>0</v>
      </c>
      <c r="AW122" s="26">
        <v>354579.16</v>
      </c>
      <c r="AX122" s="26">
        <v>49726</v>
      </c>
      <c r="AY122" s="26">
        <v>0</v>
      </c>
      <c r="AZ122" s="60">
        <v>304853</v>
      </c>
      <c r="BA122" s="60">
        <v>354579</v>
      </c>
      <c r="BB122" s="26">
        <v>49726</v>
      </c>
      <c r="BC122" s="60">
        <v>0</v>
      </c>
      <c r="BD122" s="26">
        <v>0</v>
      </c>
      <c r="BE122" s="60">
        <v>0</v>
      </c>
      <c r="BF122" s="60">
        <v>0</v>
      </c>
    </row>
    <row r="123" spans="1:58" ht="11.65" customHeight="1">
      <c r="A123" s="59">
        <v>255155</v>
      </c>
      <c r="B123" s="25" t="s">
        <v>122</v>
      </c>
      <c r="C123" s="60">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1">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0">
        <v>0</v>
      </c>
      <c r="AV123" s="26">
        <v>0</v>
      </c>
      <c r="AW123" s="26">
        <v>211500</v>
      </c>
      <c r="AX123" s="26">
        <v>67500</v>
      </c>
      <c r="AY123" s="26">
        <v>0</v>
      </c>
      <c r="AZ123" s="60">
        <v>144000</v>
      </c>
      <c r="BA123" s="60">
        <v>0</v>
      </c>
      <c r="BB123" s="26">
        <v>0</v>
      </c>
      <c r="BC123" s="60">
        <v>0</v>
      </c>
      <c r="BD123" s="26">
        <v>0</v>
      </c>
      <c r="BE123" s="60">
        <v>0</v>
      </c>
      <c r="BF123" s="60">
        <v>0</v>
      </c>
    </row>
    <row r="124" spans="1:58" ht="11.65" customHeight="1">
      <c r="A124" s="59">
        <v>255156</v>
      </c>
      <c r="B124" s="25" t="s">
        <v>123</v>
      </c>
      <c r="C124" s="60">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1">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0">
        <v>1</v>
      </c>
      <c r="AV124" s="26">
        <v>6982.69</v>
      </c>
      <c r="AW124" s="26">
        <v>185468.5</v>
      </c>
      <c r="AX124" s="26">
        <v>3068.5</v>
      </c>
      <c r="AY124" s="26">
        <v>0</v>
      </c>
      <c r="AZ124" s="60">
        <v>182400</v>
      </c>
      <c r="BA124" s="60">
        <v>185469</v>
      </c>
      <c r="BB124" s="26">
        <v>182400</v>
      </c>
      <c r="BC124" s="60">
        <v>1</v>
      </c>
      <c r="BD124" s="26">
        <v>244035.38</v>
      </c>
      <c r="BE124" s="60">
        <v>0</v>
      </c>
      <c r="BF124" s="60">
        <v>0</v>
      </c>
    </row>
    <row r="125" spans="1:58" ht="11.65" customHeight="1">
      <c r="A125" s="59">
        <v>255158</v>
      </c>
      <c r="B125" s="25" t="s">
        <v>124</v>
      </c>
      <c r="C125" s="60">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1">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0">
        <v>0</v>
      </c>
      <c r="AV125" s="26">
        <v>0</v>
      </c>
      <c r="AW125" s="26">
        <v>598361.44999999995</v>
      </c>
      <c r="AX125" s="26">
        <v>7919.53</v>
      </c>
      <c r="AY125" s="26">
        <v>0</v>
      </c>
      <c r="AZ125" s="60">
        <v>590442</v>
      </c>
      <c r="BA125" s="60">
        <v>598361</v>
      </c>
      <c r="BB125" s="26">
        <v>4495.53</v>
      </c>
      <c r="BC125" s="60">
        <v>0</v>
      </c>
      <c r="BD125" s="26">
        <v>0</v>
      </c>
      <c r="BE125" s="60">
        <v>0</v>
      </c>
      <c r="BF125" s="60">
        <v>0</v>
      </c>
    </row>
    <row r="126" spans="1:58" ht="11.65" customHeight="1">
      <c r="A126" s="59">
        <v>255159</v>
      </c>
      <c r="B126" s="25" t="s">
        <v>125</v>
      </c>
      <c r="C126" s="60">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1">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0">
        <v>0</v>
      </c>
      <c r="AV126" s="26">
        <v>0</v>
      </c>
      <c r="AW126" s="26">
        <v>300659.5</v>
      </c>
      <c r="AX126" s="26">
        <v>0</v>
      </c>
      <c r="AY126" s="26">
        <v>0</v>
      </c>
      <c r="AZ126" s="60">
        <v>300660</v>
      </c>
      <c r="BA126" s="60">
        <v>0</v>
      </c>
      <c r="BB126" s="26">
        <v>0</v>
      </c>
      <c r="BC126" s="60">
        <v>0</v>
      </c>
      <c r="BD126" s="26">
        <v>0</v>
      </c>
      <c r="BE126" s="60">
        <v>0</v>
      </c>
      <c r="BF126" s="60">
        <v>0</v>
      </c>
    </row>
    <row r="127" spans="1:58" ht="11.65" customHeight="1">
      <c r="A127" s="59">
        <v>255160</v>
      </c>
      <c r="B127" s="25" t="s">
        <v>126</v>
      </c>
      <c r="C127" s="60">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1">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0">
        <v>0</v>
      </c>
      <c r="AV127" s="26">
        <v>0</v>
      </c>
      <c r="AW127" s="26">
        <v>554030.34</v>
      </c>
      <c r="AX127" s="26">
        <v>6832</v>
      </c>
      <c r="AY127" s="26">
        <v>0</v>
      </c>
      <c r="AZ127" s="60">
        <v>547198</v>
      </c>
      <c r="BA127" s="60">
        <v>554030</v>
      </c>
      <c r="BB127" s="26">
        <v>0</v>
      </c>
      <c r="BC127" s="60">
        <v>0</v>
      </c>
      <c r="BD127" s="26">
        <v>0</v>
      </c>
      <c r="BE127" s="60">
        <v>0</v>
      </c>
      <c r="BF127" s="60">
        <v>0</v>
      </c>
    </row>
    <row r="128" spans="1:58" ht="11.65" customHeight="1">
      <c r="A128" s="59">
        <v>255161</v>
      </c>
      <c r="B128" s="25" t="s">
        <v>127</v>
      </c>
      <c r="C128" s="60">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1">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0">
        <v>0</v>
      </c>
      <c r="AV128" s="26">
        <v>0</v>
      </c>
      <c r="AW128" s="26">
        <v>677269.5</v>
      </c>
      <c r="AX128" s="26">
        <v>677269.5</v>
      </c>
      <c r="AY128" s="26">
        <v>0</v>
      </c>
      <c r="AZ128" s="60">
        <v>0</v>
      </c>
      <c r="BA128" s="60">
        <v>677270</v>
      </c>
      <c r="BB128" s="26">
        <v>677269.5</v>
      </c>
      <c r="BC128" s="60">
        <v>0</v>
      </c>
      <c r="BD128" s="26">
        <v>0</v>
      </c>
      <c r="BE128" s="60">
        <v>0</v>
      </c>
      <c r="BF128" s="60">
        <v>0</v>
      </c>
    </row>
    <row r="129" spans="1:58" ht="11.65" customHeight="1">
      <c r="A129" s="59">
        <v>255162</v>
      </c>
      <c r="B129" s="25" t="s">
        <v>128</v>
      </c>
      <c r="C129" s="60">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1">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0">
        <v>0</v>
      </c>
      <c r="AV129" s="26">
        <v>0</v>
      </c>
      <c r="AW129" s="26">
        <v>2999</v>
      </c>
      <c r="AX129" s="26">
        <v>2999</v>
      </c>
      <c r="AY129" s="26">
        <v>0</v>
      </c>
      <c r="AZ129" s="60">
        <v>0</v>
      </c>
      <c r="BA129" s="60">
        <v>2999</v>
      </c>
      <c r="BB129" s="26">
        <v>2999</v>
      </c>
      <c r="BC129" s="60">
        <v>0</v>
      </c>
      <c r="BD129" s="26">
        <v>0</v>
      </c>
      <c r="BE129" s="60">
        <v>0</v>
      </c>
      <c r="BF129" s="60">
        <v>0</v>
      </c>
    </row>
    <row r="130" spans="1:58" ht="11.65" customHeight="1">
      <c r="A130" s="59">
        <v>255163</v>
      </c>
      <c r="B130" s="25" t="s">
        <v>129</v>
      </c>
      <c r="C130" s="60">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1">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0">
        <v>0</v>
      </c>
      <c r="AV130" s="26">
        <v>0</v>
      </c>
      <c r="AW130" s="26">
        <v>17050.349999999999</v>
      </c>
      <c r="AX130" s="26">
        <v>17050.349999999999</v>
      </c>
      <c r="AY130" s="26">
        <v>0</v>
      </c>
      <c r="AZ130" s="60">
        <v>0</v>
      </c>
      <c r="BA130" s="60">
        <v>17050</v>
      </c>
      <c r="BB130" s="26">
        <v>17050.349999999999</v>
      </c>
      <c r="BC130" s="60">
        <v>0</v>
      </c>
      <c r="BD130" s="26">
        <v>0</v>
      </c>
      <c r="BE130" s="60">
        <v>0</v>
      </c>
      <c r="BF130" s="60">
        <v>0</v>
      </c>
    </row>
    <row r="131" spans="1:58" ht="11.65" customHeight="1">
      <c r="A131" s="59">
        <v>255164</v>
      </c>
      <c r="B131" s="25" t="s">
        <v>130</v>
      </c>
      <c r="C131" s="60">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1">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0">
        <v>0</v>
      </c>
      <c r="AV131" s="26">
        <v>0</v>
      </c>
      <c r="AW131" s="26">
        <v>1425</v>
      </c>
      <c r="AX131" s="26">
        <v>1425</v>
      </c>
      <c r="AY131" s="26">
        <v>0</v>
      </c>
      <c r="AZ131" s="60">
        <v>0</v>
      </c>
      <c r="BA131" s="60">
        <v>1425</v>
      </c>
      <c r="BB131" s="26">
        <v>0</v>
      </c>
      <c r="BC131" s="60">
        <v>0</v>
      </c>
      <c r="BD131" s="26">
        <v>0</v>
      </c>
      <c r="BE131" s="60">
        <v>0</v>
      </c>
      <c r="BF131" s="60">
        <v>0</v>
      </c>
    </row>
    <row r="132" spans="1:58" ht="11.65" customHeight="1">
      <c r="A132" s="59">
        <v>255165</v>
      </c>
      <c r="B132" s="25" t="s">
        <v>131</v>
      </c>
      <c r="C132" s="60">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1">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0">
        <v>0</v>
      </c>
      <c r="AV132" s="26">
        <v>0</v>
      </c>
      <c r="AW132" s="26">
        <v>0</v>
      </c>
      <c r="AX132" s="26">
        <v>0</v>
      </c>
      <c r="AY132" s="26">
        <v>0</v>
      </c>
      <c r="AZ132" s="60">
        <v>0</v>
      </c>
      <c r="BA132" s="60">
        <v>0</v>
      </c>
      <c r="BB132" s="26">
        <v>0</v>
      </c>
      <c r="BC132" s="60">
        <v>0</v>
      </c>
      <c r="BD132" s="26">
        <v>0</v>
      </c>
      <c r="BE132" s="60">
        <v>0</v>
      </c>
      <c r="BF132" s="60">
        <v>0</v>
      </c>
    </row>
    <row r="133" spans="1:58" ht="11.65" customHeight="1">
      <c r="A133" s="59">
        <v>255166</v>
      </c>
      <c r="B133" s="25" t="s">
        <v>132</v>
      </c>
      <c r="C133" s="60">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1">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0">
        <v>0</v>
      </c>
      <c r="AV133" s="26">
        <v>0</v>
      </c>
      <c r="AW133" s="26">
        <v>1347719.52</v>
      </c>
      <c r="AX133" s="26">
        <v>1089600</v>
      </c>
      <c r="AY133" s="26">
        <v>0</v>
      </c>
      <c r="AZ133" s="60">
        <v>258120</v>
      </c>
      <c r="BA133" s="60">
        <v>1347720</v>
      </c>
      <c r="BB133" s="26">
        <v>1244171.52</v>
      </c>
      <c r="BC133" s="60">
        <v>0</v>
      </c>
      <c r="BD133" s="26">
        <v>0</v>
      </c>
      <c r="BE133" s="60">
        <v>0</v>
      </c>
      <c r="BF133" s="60">
        <v>0</v>
      </c>
    </row>
    <row r="134" spans="1:58" ht="11.65" customHeight="1">
      <c r="A134" s="59">
        <v>255167</v>
      </c>
      <c r="B134" s="25" t="s">
        <v>133</v>
      </c>
      <c r="C134" s="60">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1">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0">
        <v>0</v>
      </c>
      <c r="AV134" s="26">
        <v>0</v>
      </c>
      <c r="AW134" s="26">
        <v>1403194</v>
      </c>
      <c r="AX134" s="26">
        <v>8280</v>
      </c>
      <c r="AY134" s="26">
        <v>0</v>
      </c>
      <c r="AZ134" s="60">
        <v>1394914</v>
      </c>
      <c r="BA134" s="60">
        <v>1399414</v>
      </c>
      <c r="BB134" s="26">
        <v>1399414</v>
      </c>
      <c r="BC134" s="60">
        <v>0</v>
      </c>
      <c r="BD134" s="26">
        <v>0</v>
      </c>
      <c r="BE134" s="60">
        <v>0</v>
      </c>
      <c r="BF134" s="60">
        <v>0</v>
      </c>
    </row>
    <row r="135" spans="1:58" ht="11.65" customHeight="1">
      <c r="A135" s="59">
        <v>255168</v>
      </c>
      <c r="B135" s="25" t="s">
        <v>134</v>
      </c>
      <c r="C135" s="60">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1">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0">
        <v>0</v>
      </c>
      <c r="AV135" s="26">
        <v>0</v>
      </c>
      <c r="AW135" s="26">
        <v>114645</v>
      </c>
      <c r="AX135" s="26">
        <v>2520</v>
      </c>
      <c r="AY135" s="26">
        <v>0</v>
      </c>
      <c r="AZ135" s="60">
        <v>112125</v>
      </c>
      <c r="BA135" s="60">
        <v>114645</v>
      </c>
      <c r="BB135" s="26">
        <v>114645</v>
      </c>
      <c r="BC135" s="60">
        <v>0</v>
      </c>
      <c r="BD135" s="26">
        <v>0</v>
      </c>
      <c r="BE135" s="60">
        <v>0</v>
      </c>
      <c r="BF135" s="60">
        <v>0</v>
      </c>
    </row>
    <row r="136" spans="1:58" ht="11.65" customHeight="1">
      <c r="A136" s="59">
        <v>255169</v>
      </c>
      <c r="B136" s="25" t="s">
        <v>135</v>
      </c>
      <c r="C136" s="60">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1">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0">
        <v>0</v>
      </c>
      <c r="AV136" s="26">
        <v>0</v>
      </c>
      <c r="AW136" s="26">
        <v>45450</v>
      </c>
      <c r="AX136" s="26">
        <v>2100</v>
      </c>
      <c r="AY136" s="26">
        <v>0</v>
      </c>
      <c r="AZ136" s="60">
        <v>43350</v>
      </c>
      <c r="BA136" s="60">
        <v>45450</v>
      </c>
      <c r="BB136" s="26">
        <v>45450</v>
      </c>
      <c r="BC136" s="60">
        <v>0</v>
      </c>
      <c r="BD136" s="26">
        <v>0</v>
      </c>
      <c r="BE136" s="60">
        <v>0</v>
      </c>
      <c r="BF136" s="60">
        <v>0</v>
      </c>
    </row>
    <row r="137" spans="1:58" ht="11.65" customHeight="1">
      <c r="A137" s="59">
        <v>255170</v>
      </c>
      <c r="B137" s="25" t="s">
        <v>136</v>
      </c>
      <c r="C137" s="60">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1">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0">
        <v>0</v>
      </c>
      <c r="AV137" s="26">
        <v>0</v>
      </c>
      <c r="AW137" s="26">
        <v>124839.72</v>
      </c>
      <c r="AX137" s="26">
        <v>24994</v>
      </c>
      <c r="AY137" s="26">
        <v>0</v>
      </c>
      <c r="AZ137" s="60">
        <v>99846</v>
      </c>
      <c r="BA137" s="60">
        <v>124840</v>
      </c>
      <c r="BB137" s="26">
        <v>0</v>
      </c>
      <c r="BC137" s="60">
        <v>0</v>
      </c>
      <c r="BD137" s="26">
        <v>0</v>
      </c>
      <c r="BE137" s="60">
        <v>0</v>
      </c>
      <c r="BF137" s="60">
        <v>0</v>
      </c>
    </row>
    <row r="138" spans="1:58" ht="11.65" customHeight="1">
      <c r="A138" s="59">
        <v>255171</v>
      </c>
      <c r="B138" s="25" t="s">
        <v>137</v>
      </c>
      <c r="C138" s="60">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1">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0">
        <v>1</v>
      </c>
      <c r="AV138" s="26">
        <v>10167.56</v>
      </c>
      <c r="AW138" s="26">
        <v>462575</v>
      </c>
      <c r="AX138" s="26">
        <v>22815</v>
      </c>
      <c r="AY138" s="26">
        <v>0</v>
      </c>
      <c r="AZ138" s="60">
        <v>439760</v>
      </c>
      <c r="BA138" s="60">
        <v>462575</v>
      </c>
      <c r="BB138" s="26">
        <v>462575</v>
      </c>
      <c r="BC138" s="60">
        <v>1</v>
      </c>
      <c r="BD138" s="26">
        <v>140025</v>
      </c>
      <c r="BE138" s="60">
        <v>0</v>
      </c>
      <c r="BF138" s="60">
        <v>0</v>
      </c>
    </row>
    <row r="139" spans="1:58" ht="11.65" customHeight="1">
      <c r="A139" s="59">
        <v>255172</v>
      </c>
      <c r="B139" s="25" t="s">
        <v>304</v>
      </c>
      <c r="C139" s="60">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1">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0">
        <v>1</v>
      </c>
      <c r="AV139" s="26">
        <v>5078.2</v>
      </c>
      <c r="AW139" s="26">
        <v>100000</v>
      </c>
      <c r="AX139" s="26">
        <v>0</v>
      </c>
      <c r="AY139" s="26">
        <v>0</v>
      </c>
      <c r="AZ139" s="60">
        <v>100000</v>
      </c>
      <c r="BA139" s="60">
        <v>0</v>
      </c>
      <c r="BB139" s="26">
        <v>0</v>
      </c>
      <c r="BC139" s="60">
        <v>1</v>
      </c>
      <c r="BD139" s="26">
        <v>179800</v>
      </c>
      <c r="BE139" s="60">
        <v>0</v>
      </c>
      <c r="BF139" s="60">
        <v>0</v>
      </c>
    </row>
    <row r="140" spans="1:58" ht="11.65" customHeight="1">
      <c r="A140" s="59">
        <v>255173</v>
      </c>
      <c r="B140" s="25" t="s">
        <v>139</v>
      </c>
      <c r="C140" s="60">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1">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0">
        <v>1</v>
      </c>
      <c r="AV140" s="26">
        <v>10583.11</v>
      </c>
      <c r="AW140" s="26">
        <v>185033.95</v>
      </c>
      <c r="AX140" s="26">
        <v>0</v>
      </c>
      <c r="AY140" s="26">
        <v>0</v>
      </c>
      <c r="AZ140" s="60">
        <v>185034</v>
      </c>
      <c r="BA140" s="60">
        <v>0</v>
      </c>
      <c r="BB140" s="26">
        <v>0</v>
      </c>
      <c r="BC140" s="60">
        <v>1</v>
      </c>
      <c r="BD140" s="26">
        <v>128480</v>
      </c>
      <c r="BE140" s="60">
        <v>2</v>
      </c>
      <c r="BF140" s="60">
        <v>0</v>
      </c>
    </row>
    <row r="141" spans="1:58" ht="11.65" customHeight="1">
      <c r="A141" s="59">
        <v>255175</v>
      </c>
      <c r="B141" s="25" t="s">
        <v>140</v>
      </c>
      <c r="C141" s="60">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1">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0">
        <v>1</v>
      </c>
      <c r="AV141" s="26">
        <v>6568.17</v>
      </c>
      <c r="AW141" s="26">
        <v>533800</v>
      </c>
      <c r="AX141" s="26">
        <v>0</v>
      </c>
      <c r="AY141" s="26">
        <v>0</v>
      </c>
      <c r="AZ141" s="60">
        <v>533800</v>
      </c>
      <c r="BA141" s="60">
        <v>0</v>
      </c>
      <c r="BB141" s="26">
        <v>0</v>
      </c>
      <c r="BC141" s="60">
        <v>1</v>
      </c>
      <c r="BD141" s="26">
        <v>156230</v>
      </c>
      <c r="BE141" s="60">
        <v>1</v>
      </c>
      <c r="BF141" s="60">
        <v>0</v>
      </c>
    </row>
    <row r="142" spans="1:58" ht="11.65" customHeight="1">
      <c r="A142" s="59">
        <v>255176</v>
      </c>
      <c r="B142" s="25" t="s">
        <v>141</v>
      </c>
      <c r="C142" s="60">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1">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0">
        <v>1</v>
      </c>
      <c r="AV142" s="26">
        <v>14302.86</v>
      </c>
      <c r="AW142" s="26">
        <v>224230</v>
      </c>
      <c r="AX142" s="26">
        <v>2950</v>
      </c>
      <c r="AY142" s="26">
        <v>0</v>
      </c>
      <c r="AZ142" s="60">
        <v>221280</v>
      </c>
      <c r="BA142" s="60">
        <v>224230</v>
      </c>
      <c r="BB142" s="26">
        <v>224230</v>
      </c>
      <c r="BC142" s="60">
        <v>1</v>
      </c>
      <c r="BD142" s="26">
        <v>184312</v>
      </c>
      <c r="BE142" s="60">
        <v>0</v>
      </c>
      <c r="BF142" s="60">
        <v>0</v>
      </c>
    </row>
    <row r="143" spans="1:58" ht="11.65" customHeight="1">
      <c r="A143" s="59">
        <v>255177</v>
      </c>
      <c r="B143" s="25" t="s">
        <v>142</v>
      </c>
      <c r="C143" s="60">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1">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0">
        <v>0</v>
      </c>
      <c r="AV143" s="26">
        <v>0</v>
      </c>
      <c r="AW143" s="26">
        <v>351600</v>
      </c>
      <c r="AX143" s="26">
        <v>0</v>
      </c>
      <c r="AY143" s="26">
        <v>0</v>
      </c>
      <c r="AZ143" s="60">
        <v>351600</v>
      </c>
      <c r="BA143" s="60">
        <v>0</v>
      </c>
      <c r="BB143" s="26">
        <v>0</v>
      </c>
      <c r="BC143" s="60">
        <v>0</v>
      </c>
      <c r="BD143" s="26">
        <v>0</v>
      </c>
      <c r="BE143" s="60">
        <v>0</v>
      </c>
      <c r="BF143" s="60">
        <v>0</v>
      </c>
    </row>
    <row r="144" spans="1:58" ht="11.65" customHeight="1">
      <c r="A144" s="59">
        <v>255178</v>
      </c>
      <c r="B144" s="25" t="s">
        <v>143</v>
      </c>
      <c r="C144" s="60">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1">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0">
        <v>0</v>
      </c>
      <c r="AV144" s="26">
        <v>0</v>
      </c>
      <c r="AW144" s="26">
        <v>480812.75</v>
      </c>
      <c r="AX144" s="26">
        <v>29612.75</v>
      </c>
      <c r="AY144" s="26">
        <v>0</v>
      </c>
      <c r="AZ144" s="60">
        <v>451200</v>
      </c>
      <c r="BA144" s="60">
        <v>29613</v>
      </c>
      <c r="BB144" s="26">
        <v>29612.75</v>
      </c>
      <c r="BC144" s="60">
        <v>0</v>
      </c>
      <c r="BD144" s="26">
        <v>0</v>
      </c>
      <c r="BE144" s="60">
        <v>0</v>
      </c>
      <c r="BF144" s="60">
        <v>0</v>
      </c>
    </row>
    <row r="145" spans="1:58" ht="11.65" customHeight="1">
      <c r="A145" s="59">
        <v>255181</v>
      </c>
      <c r="B145" s="25" t="s">
        <v>144</v>
      </c>
      <c r="C145" s="60">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1">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0">
        <v>4</v>
      </c>
      <c r="AV145" s="26">
        <v>27000</v>
      </c>
      <c r="AW145" s="26">
        <v>184337139.78</v>
      </c>
      <c r="AX145" s="26">
        <v>7990511</v>
      </c>
      <c r="AY145" s="26">
        <v>175893980.78</v>
      </c>
      <c r="AZ145" s="60">
        <v>452648</v>
      </c>
      <c r="BA145" s="60">
        <v>184337140</v>
      </c>
      <c r="BB145" s="26">
        <v>0</v>
      </c>
      <c r="BC145" s="60">
        <v>4</v>
      </c>
      <c r="BD145" s="26">
        <v>933100.86</v>
      </c>
      <c r="BE145" s="60">
        <v>1</v>
      </c>
      <c r="BF145" s="60">
        <v>0</v>
      </c>
    </row>
    <row r="146" spans="1:58" ht="11.65" customHeight="1">
      <c r="A146" s="59">
        <v>255184</v>
      </c>
      <c r="B146" s="25" t="s">
        <v>145</v>
      </c>
      <c r="C146" s="60">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1">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0">
        <v>1</v>
      </c>
      <c r="AV146" s="26">
        <v>4358.84</v>
      </c>
      <c r="AW146" s="26">
        <v>1729890</v>
      </c>
      <c r="AX146" s="26">
        <v>1359090</v>
      </c>
      <c r="AY146" s="26">
        <v>0</v>
      </c>
      <c r="AZ146" s="60">
        <v>370800</v>
      </c>
      <c r="BA146" s="60">
        <v>0</v>
      </c>
      <c r="BB146" s="26">
        <v>0</v>
      </c>
      <c r="BC146" s="60">
        <v>1</v>
      </c>
      <c r="BD146" s="26">
        <v>195400</v>
      </c>
      <c r="BE146" s="60">
        <v>1</v>
      </c>
      <c r="BF146" s="60">
        <v>0</v>
      </c>
    </row>
    <row r="147" spans="1:58" ht="11.65" customHeight="1">
      <c r="A147" s="59">
        <v>255185</v>
      </c>
      <c r="B147" s="25" t="s">
        <v>146</v>
      </c>
      <c r="C147" s="60">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1">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0">
        <v>1</v>
      </c>
      <c r="AV147" s="26">
        <v>7035.92</v>
      </c>
      <c r="AW147" s="26">
        <v>1702647.78</v>
      </c>
      <c r="AX147" s="26">
        <v>1239250.3600000001</v>
      </c>
      <c r="AY147" s="26">
        <v>0</v>
      </c>
      <c r="AZ147" s="60">
        <v>463397</v>
      </c>
      <c r="BA147" s="60">
        <v>1702648</v>
      </c>
      <c r="BB147" s="26">
        <v>1702647.78</v>
      </c>
      <c r="BC147" s="60">
        <v>1</v>
      </c>
      <c r="BD147" s="26">
        <v>169582.99</v>
      </c>
      <c r="BE147" s="60">
        <v>0</v>
      </c>
      <c r="BF147" s="60">
        <v>0</v>
      </c>
    </row>
    <row r="148" spans="1:58" ht="11.65" customHeight="1">
      <c r="A148" s="59">
        <v>255186</v>
      </c>
      <c r="B148" s="25" t="s">
        <v>147</v>
      </c>
      <c r="C148" s="60">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1">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0">
        <v>1</v>
      </c>
      <c r="AV148" s="26">
        <v>4940.2</v>
      </c>
      <c r="AW148" s="26">
        <v>200000</v>
      </c>
      <c r="AX148" s="26">
        <v>200000</v>
      </c>
      <c r="AY148" s="26">
        <v>0</v>
      </c>
      <c r="AZ148" s="60">
        <v>0</v>
      </c>
      <c r="BA148" s="60">
        <v>0</v>
      </c>
      <c r="BB148" s="26">
        <v>0</v>
      </c>
      <c r="BC148" s="60">
        <v>1</v>
      </c>
      <c r="BD148" s="26">
        <v>156230</v>
      </c>
      <c r="BE148" s="60">
        <v>0</v>
      </c>
      <c r="BF148" s="60">
        <v>0</v>
      </c>
    </row>
    <row r="149" spans="1:58" ht="11.65" customHeight="1">
      <c r="A149" s="59">
        <v>255188</v>
      </c>
      <c r="B149" s="25" t="s">
        <v>148</v>
      </c>
      <c r="C149" s="60">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1">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0">
        <v>2</v>
      </c>
      <c r="AV149" s="26">
        <v>7485.72</v>
      </c>
      <c r="AW149" s="26">
        <v>6756100</v>
      </c>
      <c r="AX149" s="26">
        <v>1426800</v>
      </c>
      <c r="AY149" s="26">
        <v>0</v>
      </c>
      <c r="AZ149" s="60">
        <v>5329300</v>
      </c>
      <c r="BA149" s="60">
        <v>6756100</v>
      </c>
      <c r="BB149" s="26">
        <v>0</v>
      </c>
      <c r="BC149" s="60">
        <v>2</v>
      </c>
      <c r="BD149" s="26">
        <v>315385.90000000002</v>
      </c>
      <c r="BE149" s="60">
        <v>43</v>
      </c>
      <c r="BF149" s="60">
        <v>0</v>
      </c>
    </row>
    <row r="150" spans="1:58" ht="11.65" customHeight="1">
      <c r="A150" s="59">
        <v>255190</v>
      </c>
      <c r="B150" s="25" t="s">
        <v>149</v>
      </c>
      <c r="C150" s="60">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1">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0">
        <v>0</v>
      </c>
      <c r="AV150" s="26">
        <v>0</v>
      </c>
      <c r="AW150" s="26">
        <v>471766.3</v>
      </c>
      <c r="AX150" s="26">
        <v>1600</v>
      </c>
      <c r="AY150" s="26">
        <v>118880</v>
      </c>
      <c r="AZ150" s="60">
        <v>351286</v>
      </c>
      <c r="BA150" s="60">
        <v>471766</v>
      </c>
      <c r="BB150" s="26">
        <v>0</v>
      </c>
      <c r="BC150" s="60">
        <v>0</v>
      </c>
      <c r="BD150" s="26">
        <v>0</v>
      </c>
      <c r="BE150" s="60">
        <v>0</v>
      </c>
      <c r="BF150" s="60">
        <v>0</v>
      </c>
    </row>
    <row r="151" spans="1:58" ht="11.65" customHeight="1">
      <c r="A151" s="59">
        <v>255191</v>
      </c>
      <c r="B151" s="25" t="s">
        <v>150</v>
      </c>
      <c r="C151" s="60">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1">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0">
        <v>0</v>
      </c>
      <c r="AV151" s="26">
        <v>0</v>
      </c>
      <c r="AW151" s="26">
        <v>107102</v>
      </c>
      <c r="AX151" s="26">
        <v>2180</v>
      </c>
      <c r="AY151" s="26">
        <v>0</v>
      </c>
      <c r="AZ151" s="60">
        <v>104922</v>
      </c>
      <c r="BA151" s="60">
        <v>107102</v>
      </c>
      <c r="BB151" s="26">
        <v>107102</v>
      </c>
      <c r="BC151" s="60">
        <v>0</v>
      </c>
      <c r="BD151" s="26">
        <v>0</v>
      </c>
      <c r="BE151" s="60">
        <v>0</v>
      </c>
      <c r="BF151" s="60">
        <v>0</v>
      </c>
    </row>
    <row r="152" spans="1:58" ht="11.65" customHeight="1">
      <c r="A152" s="59">
        <v>255192</v>
      </c>
      <c r="B152" s="25" t="s">
        <v>151</v>
      </c>
      <c r="C152" s="60">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1">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0">
        <v>0</v>
      </c>
      <c r="AV152" s="26">
        <v>0</v>
      </c>
      <c r="AW152" s="26">
        <v>1702852</v>
      </c>
      <c r="AX152" s="26">
        <v>403112</v>
      </c>
      <c r="AY152" s="26">
        <v>0</v>
      </c>
      <c r="AZ152" s="60">
        <v>1299740</v>
      </c>
      <c r="BA152" s="60">
        <v>1702852</v>
      </c>
      <c r="BB152" s="26">
        <v>1702852</v>
      </c>
      <c r="BC152" s="60">
        <v>0</v>
      </c>
      <c r="BD152" s="26">
        <v>0</v>
      </c>
      <c r="BE152" s="60">
        <v>0</v>
      </c>
      <c r="BF152" s="60">
        <v>0</v>
      </c>
    </row>
    <row r="153" spans="1:58" ht="11.65" customHeight="1">
      <c r="A153" s="59">
        <v>255193</v>
      </c>
      <c r="B153" s="25" t="s">
        <v>152</v>
      </c>
      <c r="C153" s="60">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1">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0">
        <v>0</v>
      </c>
      <c r="AV153" s="26">
        <v>0</v>
      </c>
      <c r="AW153" s="26">
        <v>247160.43</v>
      </c>
      <c r="AX153" s="26">
        <v>0</v>
      </c>
      <c r="AY153" s="26">
        <v>0</v>
      </c>
      <c r="AZ153" s="60">
        <v>247160</v>
      </c>
      <c r="BA153" s="60">
        <v>0</v>
      </c>
      <c r="BB153" s="26">
        <v>0</v>
      </c>
      <c r="BC153" s="60">
        <v>0</v>
      </c>
      <c r="BD153" s="26">
        <v>0</v>
      </c>
      <c r="BE153" s="60">
        <v>0</v>
      </c>
      <c r="BF153" s="60">
        <v>0</v>
      </c>
    </row>
    <row r="154" spans="1:58" ht="11.65" customHeight="1">
      <c r="A154" s="59">
        <v>255194</v>
      </c>
      <c r="B154" s="25" t="s">
        <v>153</v>
      </c>
      <c r="C154" s="60">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1">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0">
        <v>0</v>
      </c>
      <c r="AV154" s="26">
        <v>0</v>
      </c>
      <c r="AW154" s="26">
        <v>159074</v>
      </c>
      <c r="AX154" s="26">
        <v>26274</v>
      </c>
      <c r="AY154" s="26">
        <v>0</v>
      </c>
      <c r="AZ154" s="60">
        <v>132800</v>
      </c>
      <c r="BA154" s="60">
        <v>159074</v>
      </c>
      <c r="BB154" s="26">
        <v>156200</v>
      </c>
      <c r="BC154" s="60">
        <v>0</v>
      </c>
      <c r="BD154" s="26">
        <v>0</v>
      </c>
      <c r="BE154" s="60">
        <v>0</v>
      </c>
      <c r="BF154" s="60">
        <v>0</v>
      </c>
    </row>
    <row r="155" spans="1:58" ht="11.65" customHeight="1">
      <c r="A155" s="59">
        <v>255195</v>
      </c>
      <c r="B155" s="25" t="s">
        <v>154</v>
      </c>
      <c r="C155" s="60">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1">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0">
        <v>0</v>
      </c>
      <c r="AV155" s="26">
        <v>0</v>
      </c>
      <c r="AW155" s="26">
        <v>120524</v>
      </c>
      <c r="AX155" s="26">
        <v>524</v>
      </c>
      <c r="AY155" s="26">
        <v>0</v>
      </c>
      <c r="AZ155" s="60">
        <v>120000</v>
      </c>
      <c r="BA155" s="60">
        <v>0</v>
      </c>
      <c r="BB155" s="26">
        <v>0</v>
      </c>
      <c r="BC155" s="60">
        <v>0</v>
      </c>
      <c r="BD155" s="26">
        <v>0</v>
      </c>
      <c r="BE155" s="60">
        <v>0</v>
      </c>
      <c r="BF155" s="60">
        <v>0</v>
      </c>
    </row>
    <row r="156" spans="1:58" ht="11.65" customHeight="1">
      <c r="A156" s="59">
        <v>255196</v>
      </c>
      <c r="B156" s="25" t="s">
        <v>155</v>
      </c>
      <c r="C156" s="60">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1">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0">
        <v>0</v>
      </c>
      <c r="AV156" s="26">
        <v>0</v>
      </c>
      <c r="AW156" s="26">
        <v>587098</v>
      </c>
      <c r="AX156" s="26">
        <v>292765</v>
      </c>
      <c r="AY156" s="26">
        <v>0</v>
      </c>
      <c r="AZ156" s="60">
        <v>294333</v>
      </c>
      <c r="BA156" s="60">
        <v>397877</v>
      </c>
      <c r="BB156" s="26">
        <v>6930</v>
      </c>
      <c r="BC156" s="60">
        <v>0</v>
      </c>
      <c r="BD156" s="26">
        <v>0</v>
      </c>
      <c r="BE156" s="60">
        <v>0</v>
      </c>
      <c r="BF156" s="60">
        <v>0</v>
      </c>
    </row>
    <row r="157" spans="1:58" ht="11.65" customHeight="1">
      <c r="A157" s="59">
        <v>255197</v>
      </c>
      <c r="B157" s="25" t="s">
        <v>156</v>
      </c>
      <c r="C157" s="60">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1">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0">
        <v>0</v>
      </c>
      <c r="AV157" s="26">
        <v>0</v>
      </c>
      <c r="AW157" s="26">
        <v>302690</v>
      </c>
      <c r="AX157" s="26">
        <v>90990</v>
      </c>
      <c r="AY157" s="26">
        <v>0</v>
      </c>
      <c r="AZ157" s="60">
        <v>211700</v>
      </c>
      <c r="BA157" s="60">
        <v>302690</v>
      </c>
      <c r="BB157" s="26">
        <v>90990</v>
      </c>
      <c r="BC157" s="60">
        <v>0</v>
      </c>
      <c r="BD157" s="26">
        <v>0</v>
      </c>
      <c r="BE157" s="60">
        <v>0</v>
      </c>
      <c r="BF157" s="60">
        <v>0</v>
      </c>
    </row>
    <row r="158" spans="1:58" ht="11.65" customHeight="1">
      <c r="A158" s="59">
        <v>255198</v>
      </c>
      <c r="B158" s="25" t="s">
        <v>157</v>
      </c>
      <c r="C158" s="60">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1">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0">
        <v>0</v>
      </c>
      <c r="AV158" s="26">
        <v>0</v>
      </c>
      <c r="AW158" s="26">
        <v>0</v>
      </c>
      <c r="AX158" s="26">
        <v>0</v>
      </c>
      <c r="AY158" s="26">
        <v>0</v>
      </c>
      <c r="AZ158" s="60">
        <v>0</v>
      </c>
      <c r="BA158" s="60">
        <v>0</v>
      </c>
      <c r="BB158" s="26">
        <v>0</v>
      </c>
      <c r="BC158" s="60">
        <v>0</v>
      </c>
      <c r="BD158" s="26">
        <v>0</v>
      </c>
      <c r="BE158" s="60">
        <v>0</v>
      </c>
      <c r="BF158" s="60">
        <v>0</v>
      </c>
    </row>
    <row r="159" spans="1:58" ht="11.65" customHeight="1">
      <c r="A159" s="59">
        <v>255200</v>
      </c>
      <c r="B159" s="25" t="s">
        <v>159</v>
      </c>
      <c r="C159" s="60">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1">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0">
        <v>0</v>
      </c>
      <c r="AV159" s="26">
        <v>0</v>
      </c>
      <c r="AW159" s="26">
        <v>66582</v>
      </c>
      <c r="AX159" s="26">
        <v>66582</v>
      </c>
      <c r="AY159" s="26">
        <v>0</v>
      </c>
      <c r="AZ159" s="60">
        <v>0</v>
      </c>
      <c r="BA159" s="60">
        <v>0</v>
      </c>
      <c r="BB159" s="26">
        <v>0</v>
      </c>
      <c r="BC159" s="60">
        <v>0</v>
      </c>
      <c r="BD159" s="26">
        <v>0</v>
      </c>
      <c r="BE159" s="60">
        <v>0</v>
      </c>
      <c r="BF159" s="60">
        <v>0</v>
      </c>
    </row>
    <row r="160" spans="1:58" ht="11.65" customHeight="1">
      <c r="A160" s="59">
        <v>255201</v>
      </c>
      <c r="B160" s="25" t="s">
        <v>158</v>
      </c>
      <c r="C160" s="60">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1">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0">
        <v>0</v>
      </c>
      <c r="AV160" s="26">
        <v>0</v>
      </c>
      <c r="AW160" s="26">
        <v>82763.25</v>
      </c>
      <c r="AX160" s="26">
        <v>26563.25</v>
      </c>
      <c r="AY160" s="26">
        <v>0</v>
      </c>
      <c r="AZ160" s="60">
        <v>56200</v>
      </c>
      <c r="BA160" s="60">
        <v>0</v>
      </c>
      <c r="BB160" s="26">
        <v>0</v>
      </c>
      <c r="BC160" s="60">
        <v>0</v>
      </c>
      <c r="BD160" s="26">
        <v>0</v>
      </c>
      <c r="BE160" s="60">
        <v>0</v>
      </c>
      <c r="BF160" s="60">
        <v>0</v>
      </c>
    </row>
    <row r="161" spans="1:58" ht="11.65" customHeight="1">
      <c r="A161" s="59">
        <v>255203</v>
      </c>
      <c r="B161" s="25" t="s">
        <v>160</v>
      </c>
      <c r="C161" s="60">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1">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0">
        <v>0</v>
      </c>
      <c r="AV161" s="26">
        <v>0</v>
      </c>
      <c r="AW161" s="26">
        <v>85866.67</v>
      </c>
      <c r="AX161" s="26">
        <v>0</v>
      </c>
      <c r="AY161" s="26">
        <v>0</v>
      </c>
      <c r="AZ161" s="60">
        <v>85867</v>
      </c>
      <c r="BA161" s="60">
        <v>0</v>
      </c>
      <c r="BB161" s="26">
        <v>0</v>
      </c>
      <c r="BC161" s="60">
        <v>0</v>
      </c>
      <c r="BD161" s="26">
        <v>0</v>
      </c>
      <c r="BE161" s="60">
        <v>0</v>
      </c>
      <c r="BF161" s="60">
        <v>0</v>
      </c>
    </row>
    <row r="162" spans="1:58" ht="11.65" customHeight="1">
      <c r="A162" s="59">
        <v>255204</v>
      </c>
      <c r="B162" s="25" t="s">
        <v>443</v>
      </c>
      <c r="C162" s="60">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1">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0">
        <v>0</v>
      </c>
      <c r="AV162" s="26">
        <v>0</v>
      </c>
      <c r="AW162" s="26">
        <v>2769691.1</v>
      </c>
      <c r="AX162" s="26">
        <v>2175670.7999999998</v>
      </c>
      <c r="AY162" s="26">
        <v>0</v>
      </c>
      <c r="AZ162" s="60">
        <v>594020</v>
      </c>
      <c r="BA162" s="60">
        <v>0</v>
      </c>
      <c r="BB162" s="26">
        <v>0</v>
      </c>
      <c r="BC162" s="60">
        <v>0</v>
      </c>
      <c r="BD162" s="26">
        <v>0</v>
      </c>
      <c r="BE162" s="60">
        <v>1</v>
      </c>
      <c r="BF162" s="60">
        <v>0</v>
      </c>
    </row>
    <row r="163" spans="1:58" ht="11.65" customHeight="1">
      <c r="A163" s="59">
        <v>255205</v>
      </c>
      <c r="B163" s="25" t="s">
        <v>444</v>
      </c>
      <c r="C163" s="60">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1">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0">
        <v>0</v>
      </c>
      <c r="AV163" s="26">
        <v>0</v>
      </c>
      <c r="AW163" s="26">
        <v>31245</v>
      </c>
      <c r="AX163" s="26">
        <v>31245</v>
      </c>
      <c r="AY163" s="26">
        <v>0</v>
      </c>
      <c r="AZ163" s="60">
        <v>0</v>
      </c>
      <c r="BA163" s="60">
        <v>31245</v>
      </c>
      <c r="BB163" s="26">
        <v>0</v>
      </c>
      <c r="BC163" s="60">
        <v>0</v>
      </c>
      <c r="BD163" s="26">
        <v>0</v>
      </c>
      <c r="BE163" s="60">
        <v>0</v>
      </c>
      <c r="BF163" s="60">
        <v>0</v>
      </c>
    </row>
    <row r="164" spans="1:58" ht="11.65" customHeight="1">
      <c r="A164" s="59">
        <v>255</v>
      </c>
      <c r="B164" s="25" t="s">
        <v>1</v>
      </c>
      <c r="C164" s="60">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1">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0">
        <v>91</v>
      </c>
      <c r="AV164" s="26">
        <v>11029.06</v>
      </c>
      <c r="AW164" s="26">
        <v>505775700.25</v>
      </c>
      <c r="AX164" s="26">
        <v>185100215.25999999</v>
      </c>
      <c r="AY164" s="26">
        <v>207793801.41999999</v>
      </c>
      <c r="AZ164" s="60">
        <v>112881684</v>
      </c>
      <c r="BA164" s="60">
        <v>353715778</v>
      </c>
      <c r="BB164" s="26">
        <v>51379092.899999999</v>
      </c>
      <c r="BC164" s="60">
        <v>93</v>
      </c>
      <c r="BD164" s="26">
        <v>18797878.030000001</v>
      </c>
      <c r="BE164" s="60">
        <v>149</v>
      </c>
      <c r="BF164" s="60">
        <v>9</v>
      </c>
    </row>
    <row r="165" spans="1:58" s="65" customFormat="1" ht="12">
      <c r="A165" s="62">
        <v>255</v>
      </c>
      <c r="B165" s="63" t="s">
        <v>391</v>
      </c>
      <c r="C165" s="64"/>
      <c r="D165" s="64">
        <f t="shared" ref="D165:BD165" si="0">D164/10000</f>
        <v>998738.27694300003</v>
      </c>
      <c r="E165" s="64">
        <f t="shared" si="0"/>
        <v>992547.84454299998</v>
      </c>
      <c r="F165" s="64">
        <f t="shared" si="0"/>
        <v>980412.02125300001</v>
      </c>
      <c r="G165" s="64">
        <f t="shared" si="0"/>
        <v>2094.7662879999998</v>
      </c>
      <c r="H165" s="64">
        <f t="shared" si="0"/>
        <v>8981.4215889999996</v>
      </c>
      <c r="I165" s="64">
        <f t="shared" si="0"/>
        <v>0</v>
      </c>
      <c r="J165" s="64">
        <f>J164/10000</f>
        <v>1059.635413</v>
      </c>
      <c r="K165" s="64">
        <f>K164/10000</f>
        <v>984555.64319199999</v>
      </c>
      <c r="L165" s="64">
        <f t="shared" si="0"/>
        <v>726515.35534899996</v>
      </c>
      <c r="M165" s="64">
        <f>M164/10000</f>
        <v>250102.12877100002</v>
      </c>
      <c r="N165" s="64">
        <f t="shared" si="0"/>
        <v>7938.1590719999995</v>
      </c>
      <c r="O165" s="64">
        <f t="shared" si="0"/>
        <v>984936.88122600003</v>
      </c>
      <c r="P165" s="64">
        <f t="shared" si="0"/>
        <v>967034.89950900001</v>
      </c>
      <c r="Q165" s="64">
        <f t="shared" si="0"/>
        <v>716911.466808</v>
      </c>
      <c r="R165" s="64">
        <f t="shared" si="0"/>
        <v>200.535662</v>
      </c>
      <c r="S165" s="64">
        <f>S164/10000</f>
        <v>108413.813476</v>
      </c>
      <c r="T165" s="64">
        <f>T164/10000</f>
        <v>50598.652411000003</v>
      </c>
      <c r="U165" s="64">
        <f t="shared" si="0"/>
        <v>1548.7245480000001</v>
      </c>
      <c r="V165" s="64">
        <f t="shared" si="0"/>
        <v>89361.706603999992</v>
      </c>
      <c r="W165" s="64">
        <f t="shared" si="0"/>
        <v>5111.0072170000003</v>
      </c>
      <c r="X165" s="64">
        <f>X164/10000</f>
        <v>4975.2058550000002</v>
      </c>
      <c r="Y165" s="64">
        <f t="shared" si="0"/>
        <v>135.80136200000001</v>
      </c>
      <c r="Z165" s="64">
        <f t="shared" si="0"/>
        <v>138.66752</v>
      </c>
      <c r="AA165" s="64">
        <f t="shared" si="0"/>
        <v>726416.245016</v>
      </c>
      <c r="AB165" s="64">
        <f t="shared" si="0"/>
        <v>100.364424</v>
      </c>
      <c r="AC165" s="64">
        <f t="shared" si="0"/>
        <v>245.7</v>
      </c>
      <c r="AD165" s="64">
        <f t="shared" si="0"/>
        <v>0</v>
      </c>
      <c r="AE165" s="64">
        <f t="shared" si="0"/>
        <v>0</v>
      </c>
      <c r="AF165" s="64">
        <f t="shared" si="0"/>
        <v>0</v>
      </c>
      <c r="AG165" s="64">
        <f t="shared" si="0"/>
        <v>0</v>
      </c>
      <c r="AH165" s="64">
        <f t="shared" si="0"/>
        <v>0</v>
      </c>
      <c r="AI165" s="64">
        <f t="shared" si="0"/>
        <v>100.364424</v>
      </c>
      <c r="AJ165" s="64">
        <f>AJ164/10000</f>
        <v>245.7</v>
      </c>
      <c r="AK165" s="64">
        <f>AK164/10000</f>
        <v>0</v>
      </c>
      <c r="AL165" s="64">
        <f t="shared" si="0"/>
        <v>0</v>
      </c>
      <c r="AM165" s="64">
        <f t="shared" si="0"/>
        <v>0</v>
      </c>
      <c r="AN165" s="64">
        <f>AN164/10000</f>
        <v>0</v>
      </c>
      <c r="AO165" s="64">
        <f t="shared" si="0"/>
        <v>100.364424</v>
      </c>
      <c r="AP165" s="64">
        <f t="shared" si="0"/>
        <v>245.7</v>
      </c>
      <c r="AQ165" s="64">
        <f t="shared" si="0"/>
        <v>28.205756000000001</v>
      </c>
      <c r="AR165" s="64">
        <f t="shared" si="0"/>
        <v>27.117089</v>
      </c>
      <c r="AS165" s="64">
        <f t="shared" si="0"/>
        <v>33.713875000000002</v>
      </c>
      <c r="AT165" s="64">
        <f t="shared" si="0"/>
        <v>11.327703999999999</v>
      </c>
      <c r="AU165" s="64"/>
      <c r="AV165" s="64">
        <f t="shared" si="0"/>
        <v>1.1029059999999999</v>
      </c>
      <c r="AW165" s="64">
        <f t="shared" si="0"/>
        <v>50577.570025000001</v>
      </c>
      <c r="AX165" s="64">
        <f t="shared" si="0"/>
        <v>18510.021526</v>
      </c>
      <c r="AY165" s="64">
        <f t="shared" si="0"/>
        <v>20779.380141999998</v>
      </c>
      <c r="AZ165" s="64">
        <f t="shared" si="0"/>
        <v>11288.1684</v>
      </c>
      <c r="BA165" s="64">
        <f t="shared" si="0"/>
        <v>35371.577799999999</v>
      </c>
      <c r="BB165" s="64">
        <f t="shared" si="0"/>
        <v>5137.9092899999996</v>
      </c>
      <c r="BC165" s="64"/>
      <c r="BD165" s="64">
        <f t="shared" si="0"/>
        <v>1879.7878030000002</v>
      </c>
      <c r="BE165" s="64"/>
      <c r="BF165" s="64"/>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0" customWidth="1"/>
    <col min="5" max="5" width="8.875" style="70"/>
    <col min="6" max="10" width="8.875" style="36"/>
    <col min="11" max="11" width="8.875" style="70"/>
    <col min="12" max="14" width="8.875" style="36"/>
    <col min="15" max="15" width="8.875" style="70"/>
    <col min="16" max="16384" width="8.875" style="36"/>
  </cols>
  <sheetData>
    <row r="1" spans="1:58" ht="48">
      <c r="A1" s="21" t="s">
        <v>244</v>
      </c>
      <c r="B1" s="22" t="s">
        <v>245</v>
      </c>
      <c r="C1" s="22" t="s">
        <v>240</v>
      </c>
      <c r="D1" s="68" t="s">
        <v>246</v>
      </c>
      <c r="E1" s="68" t="s">
        <v>247</v>
      </c>
      <c r="F1" s="22" t="s">
        <v>248</v>
      </c>
      <c r="G1" s="22" t="s">
        <v>249</v>
      </c>
      <c r="H1" s="22" t="s">
        <v>250</v>
      </c>
      <c r="I1" s="22" t="s">
        <v>251</v>
      </c>
      <c r="J1" s="22" t="s">
        <v>252</v>
      </c>
      <c r="K1" s="68" t="s">
        <v>253</v>
      </c>
      <c r="L1" s="22" t="s">
        <v>254</v>
      </c>
      <c r="M1" s="22" t="s">
        <v>255</v>
      </c>
      <c r="N1" s="22" t="s">
        <v>256</v>
      </c>
      <c r="O1" s="68" t="s">
        <v>257</v>
      </c>
      <c r="P1" s="22" t="s">
        <v>258</v>
      </c>
      <c r="Q1" s="22" t="s">
        <v>259</v>
      </c>
      <c r="R1" s="22" t="s">
        <v>260</v>
      </c>
      <c r="S1" s="22" t="s">
        <v>261</v>
      </c>
      <c r="T1" s="22" t="s">
        <v>262</v>
      </c>
      <c r="U1" s="22" t="s">
        <v>263</v>
      </c>
      <c r="V1" s="22" t="s">
        <v>264</v>
      </c>
      <c r="W1" s="22" t="s">
        <v>265</v>
      </c>
      <c r="X1" s="22" t="s">
        <v>266</v>
      </c>
      <c r="Y1" s="22" t="s">
        <v>267</v>
      </c>
      <c r="Z1" s="22" t="s">
        <v>312</v>
      </c>
      <c r="AA1" s="22" t="s">
        <v>268</v>
      </c>
      <c r="AB1" s="22" t="s">
        <v>269</v>
      </c>
      <c r="AC1" s="22" t="s">
        <v>270</v>
      </c>
      <c r="AD1" s="22" t="s">
        <v>271</v>
      </c>
      <c r="AE1" s="22" t="s">
        <v>272</v>
      </c>
      <c r="AF1" s="22" t="s">
        <v>273</v>
      </c>
      <c r="AG1" s="22" t="s">
        <v>274</v>
      </c>
      <c r="AH1" s="22" t="s">
        <v>275</v>
      </c>
      <c r="AI1" s="22" t="s">
        <v>276</v>
      </c>
      <c r="AJ1" s="22" t="s">
        <v>277</v>
      </c>
      <c r="AK1" s="22" t="s">
        <v>278</v>
      </c>
      <c r="AL1" s="22" t="s">
        <v>279</v>
      </c>
      <c r="AM1" s="22" t="s">
        <v>313</v>
      </c>
      <c r="AN1" s="22" t="s">
        <v>314</v>
      </c>
      <c r="AO1" s="22" t="s">
        <v>280</v>
      </c>
      <c r="AP1" s="22" t="s">
        <v>281</v>
      </c>
      <c r="AQ1" s="22" t="s">
        <v>282</v>
      </c>
      <c r="AR1" s="22" t="s">
        <v>283</v>
      </c>
      <c r="AS1" s="22" t="s">
        <v>284</v>
      </c>
      <c r="AT1" s="22" t="s">
        <v>285</v>
      </c>
      <c r="AU1" s="22" t="s">
        <v>286</v>
      </c>
      <c r="AV1" s="22" t="s">
        <v>315</v>
      </c>
      <c r="AW1" s="22" t="s">
        <v>287</v>
      </c>
      <c r="AX1" s="22" t="s">
        <v>288</v>
      </c>
      <c r="AY1" s="22" t="s">
        <v>289</v>
      </c>
      <c r="AZ1" s="22" t="s">
        <v>290</v>
      </c>
      <c r="BA1" s="22" t="s">
        <v>291</v>
      </c>
      <c r="BB1" s="22" t="s">
        <v>292</v>
      </c>
      <c r="BC1" s="22" t="s">
        <v>293</v>
      </c>
      <c r="BD1" s="22" t="s">
        <v>403</v>
      </c>
      <c r="BE1" s="22" t="s">
        <v>294</v>
      </c>
      <c r="BF1" s="22" t="s">
        <v>295</v>
      </c>
    </row>
    <row r="2" spans="1:58">
      <c r="A2" s="24">
        <v>255001</v>
      </c>
      <c r="B2" s="25" t="s">
        <v>296</v>
      </c>
      <c r="C2" s="26">
        <v>0</v>
      </c>
      <c r="D2" s="69">
        <v>315256720.52999997</v>
      </c>
      <c r="E2" s="69">
        <v>297563505.98000002</v>
      </c>
      <c r="F2" s="26">
        <v>297563505.98000002</v>
      </c>
      <c r="G2" s="26">
        <v>0</v>
      </c>
      <c r="H2" s="26">
        <v>0</v>
      </c>
      <c r="I2" s="26">
        <v>0</v>
      </c>
      <c r="J2" s="26">
        <v>0</v>
      </c>
      <c r="K2" s="69">
        <v>308818084.52999997</v>
      </c>
      <c r="L2" s="26">
        <v>0</v>
      </c>
      <c r="M2" s="26">
        <v>308818084.52999997</v>
      </c>
      <c r="N2" s="26">
        <v>0</v>
      </c>
      <c r="O2" s="69">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69">
        <v>77072280.810000002</v>
      </c>
      <c r="E3" s="69">
        <v>76740994.879999995</v>
      </c>
      <c r="F3" s="26">
        <v>76495644.879999995</v>
      </c>
      <c r="G3" s="26">
        <v>245350</v>
      </c>
      <c r="H3" s="26">
        <v>0</v>
      </c>
      <c r="I3" s="26">
        <v>0</v>
      </c>
      <c r="J3" s="26">
        <v>0</v>
      </c>
      <c r="K3" s="69">
        <v>76822280.810000002</v>
      </c>
      <c r="L3" s="26">
        <v>68529272.480000004</v>
      </c>
      <c r="M3" s="26">
        <v>8293008.3300000001</v>
      </c>
      <c r="N3" s="26">
        <v>0</v>
      </c>
      <c r="O3" s="69">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69">
        <v>254442173.91999999</v>
      </c>
      <c r="E4" s="69">
        <v>252061326.80000001</v>
      </c>
      <c r="F4" s="26">
        <v>225824800.37</v>
      </c>
      <c r="G4" s="26">
        <v>2271041</v>
      </c>
      <c r="H4" s="26">
        <v>23965485.43</v>
      </c>
      <c r="I4" s="26">
        <v>0</v>
      </c>
      <c r="J4" s="26">
        <v>0</v>
      </c>
      <c r="K4" s="69">
        <v>254342682.33000001</v>
      </c>
      <c r="L4" s="26">
        <v>205072560.25</v>
      </c>
      <c r="M4" s="26">
        <v>25304636.649999999</v>
      </c>
      <c r="N4" s="26">
        <v>23965485.43</v>
      </c>
      <c r="O4" s="69">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69">
        <v>61111085.789999999</v>
      </c>
      <c r="E5" s="69">
        <v>60694273.380000003</v>
      </c>
      <c r="F5" s="26">
        <v>60521723.380000003</v>
      </c>
      <c r="G5" s="26">
        <v>172550</v>
      </c>
      <c r="H5" s="26">
        <v>0</v>
      </c>
      <c r="I5" s="26">
        <v>0</v>
      </c>
      <c r="J5" s="26">
        <v>0</v>
      </c>
      <c r="K5" s="69">
        <v>61111085.789999999</v>
      </c>
      <c r="L5" s="26">
        <v>57161525.810000002</v>
      </c>
      <c r="M5" s="26">
        <v>3949559.98</v>
      </c>
      <c r="N5" s="26">
        <v>0</v>
      </c>
      <c r="O5" s="69">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69">
        <v>296650767.64999998</v>
      </c>
      <c r="E6" s="69">
        <v>293921214.08999997</v>
      </c>
      <c r="F6" s="26">
        <v>269907913.35000002</v>
      </c>
      <c r="G6" s="26">
        <v>2131080</v>
      </c>
      <c r="H6" s="26">
        <v>12127500</v>
      </c>
      <c r="I6" s="26">
        <v>4600000</v>
      </c>
      <c r="J6" s="26">
        <v>5154720.74</v>
      </c>
      <c r="K6" s="69">
        <v>292422319.79000002</v>
      </c>
      <c r="L6" s="26">
        <v>242798956.75</v>
      </c>
      <c r="M6" s="26">
        <v>38478626.079999998</v>
      </c>
      <c r="N6" s="26">
        <v>11144736.960000001</v>
      </c>
      <c r="O6" s="69">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69">
        <v>92197552.069999993</v>
      </c>
      <c r="E7" s="69">
        <v>91784986.269999996</v>
      </c>
      <c r="F7" s="26">
        <v>90606146.469999999</v>
      </c>
      <c r="G7" s="26">
        <v>1178839.8</v>
      </c>
      <c r="H7" s="26">
        <v>0</v>
      </c>
      <c r="I7" s="26">
        <v>0</v>
      </c>
      <c r="J7" s="26">
        <v>0</v>
      </c>
      <c r="K7" s="69">
        <v>92197552.069999993</v>
      </c>
      <c r="L7" s="26">
        <v>83095324.040000007</v>
      </c>
      <c r="M7" s="26">
        <v>9102228.0299999993</v>
      </c>
      <c r="N7" s="26">
        <v>0</v>
      </c>
      <c r="O7" s="69">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69">
        <v>60859864</v>
      </c>
      <c r="E8" s="69">
        <v>60185943.43</v>
      </c>
      <c r="F8" s="26">
        <v>59939330.450000003</v>
      </c>
      <c r="G8" s="26">
        <v>246612.98</v>
      </c>
      <c r="H8" s="26">
        <v>0</v>
      </c>
      <c r="I8" s="26">
        <v>0</v>
      </c>
      <c r="J8" s="26">
        <v>0</v>
      </c>
      <c r="K8" s="69">
        <v>60859843</v>
      </c>
      <c r="L8" s="26">
        <v>58413311.43</v>
      </c>
      <c r="M8" s="26">
        <v>2446531.5699999998</v>
      </c>
      <c r="N8" s="26">
        <v>0</v>
      </c>
      <c r="O8" s="69">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69">
        <v>207987898.37</v>
      </c>
      <c r="E9" s="69">
        <v>205494949.41</v>
      </c>
      <c r="F9" s="26">
        <v>182777540.27000001</v>
      </c>
      <c r="G9" s="26">
        <v>1551200</v>
      </c>
      <c r="H9" s="26">
        <v>21105000</v>
      </c>
      <c r="I9" s="26">
        <v>0</v>
      </c>
      <c r="J9" s="26">
        <v>61209.14</v>
      </c>
      <c r="K9" s="69">
        <v>203757477.97</v>
      </c>
      <c r="L9" s="26">
        <v>166426906.34999999</v>
      </c>
      <c r="M9" s="26">
        <v>16225571.619999999</v>
      </c>
      <c r="N9" s="26">
        <v>21105000</v>
      </c>
      <c r="O9" s="69">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69">
        <v>63568807.899999999</v>
      </c>
      <c r="E10" s="69">
        <v>63242035.640000001</v>
      </c>
      <c r="F10" s="26">
        <v>61938401.640000001</v>
      </c>
      <c r="G10" s="26">
        <v>246050</v>
      </c>
      <c r="H10" s="26">
        <v>1057584</v>
      </c>
      <c r="I10" s="26">
        <v>0</v>
      </c>
      <c r="J10" s="26">
        <v>0</v>
      </c>
      <c r="K10" s="69">
        <v>63568807.899999999</v>
      </c>
      <c r="L10" s="26">
        <v>52573274.68</v>
      </c>
      <c r="M10" s="26">
        <v>9937949.2200000007</v>
      </c>
      <c r="N10" s="26">
        <v>1057584</v>
      </c>
      <c r="O10" s="69">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69">
        <v>60783638.289999999</v>
      </c>
      <c r="E11" s="69">
        <v>60282863.979999997</v>
      </c>
      <c r="F11" s="26">
        <v>59032800.890000001</v>
      </c>
      <c r="G11" s="26">
        <v>245350</v>
      </c>
      <c r="H11" s="26">
        <v>0</v>
      </c>
      <c r="I11" s="26">
        <v>0</v>
      </c>
      <c r="J11" s="26">
        <v>1004713.09</v>
      </c>
      <c r="K11" s="69">
        <v>60783638.289999999</v>
      </c>
      <c r="L11" s="26">
        <v>54843776.890000001</v>
      </c>
      <c r="M11" s="26">
        <v>5939861.4000000004</v>
      </c>
      <c r="N11" s="26">
        <v>0</v>
      </c>
      <c r="O11" s="69">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69">
        <v>46311364.890000001</v>
      </c>
      <c r="E12" s="69">
        <v>46283759.939999998</v>
      </c>
      <c r="F12" s="26">
        <v>46127309.939999998</v>
      </c>
      <c r="G12" s="26">
        <v>156450</v>
      </c>
      <c r="H12" s="26">
        <v>0</v>
      </c>
      <c r="I12" s="26">
        <v>0</v>
      </c>
      <c r="J12" s="26">
        <v>0</v>
      </c>
      <c r="K12" s="69">
        <v>46276374.890000001</v>
      </c>
      <c r="L12" s="26">
        <v>43704229.890000001</v>
      </c>
      <c r="M12" s="26">
        <v>2572145</v>
      </c>
      <c r="N12" s="26">
        <v>0</v>
      </c>
      <c r="O12" s="69">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69">
        <v>67472654.510000005</v>
      </c>
      <c r="E13" s="69">
        <v>67225452.859999999</v>
      </c>
      <c r="F13" s="26">
        <v>66910102.859999999</v>
      </c>
      <c r="G13" s="26">
        <v>315350</v>
      </c>
      <c r="H13" s="26">
        <v>0</v>
      </c>
      <c r="I13" s="26">
        <v>0</v>
      </c>
      <c r="J13" s="26">
        <v>0</v>
      </c>
      <c r="K13" s="69">
        <v>67472654.510000005</v>
      </c>
      <c r="L13" s="26">
        <v>63835935.990000002</v>
      </c>
      <c r="M13" s="26">
        <v>3636718.52</v>
      </c>
      <c r="N13" s="26">
        <v>0</v>
      </c>
      <c r="O13" s="69">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69">
        <v>71978400.780000001</v>
      </c>
      <c r="E14" s="69">
        <v>71727190.530000001</v>
      </c>
      <c r="F14" s="26">
        <v>71480912.870000005</v>
      </c>
      <c r="G14" s="26">
        <v>246277.66</v>
      </c>
      <c r="H14" s="26">
        <v>0</v>
      </c>
      <c r="I14" s="26">
        <v>0</v>
      </c>
      <c r="J14" s="26">
        <v>0</v>
      </c>
      <c r="K14" s="69">
        <v>71928400.780000001</v>
      </c>
      <c r="L14" s="26">
        <v>68285442.829999998</v>
      </c>
      <c r="M14" s="26">
        <v>3642957.95</v>
      </c>
      <c r="N14" s="26">
        <v>0</v>
      </c>
      <c r="O14" s="69">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69">
        <v>142220891.62</v>
      </c>
      <c r="E15" s="69">
        <v>141148385.06999999</v>
      </c>
      <c r="F15" s="26">
        <v>140139185.06999999</v>
      </c>
      <c r="G15" s="26">
        <v>1009200</v>
      </c>
      <c r="H15" s="26">
        <v>0</v>
      </c>
      <c r="I15" s="26">
        <v>0</v>
      </c>
      <c r="J15" s="26">
        <v>0</v>
      </c>
      <c r="K15" s="69">
        <v>142220891.62</v>
      </c>
      <c r="L15" s="26">
        <v>124472210.42</v>
      </c>
      <c r="M15" s="26">
        <v>17748681.199999999</v>
      </c>
      <c r="N15" s="26">
        <v>0</v>
      </c>
      <c r="O15" s="69">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69">
        <v>46222086.700000003</v>
      </c>
      <c r="E16" s="69">
        <v>45937902.280000001</v>
      </c>
      <c r="F16" s="26">
        <v>45937902.280000001</v>
      </c>
      <c r="G16" s="26">
        <v>0</v>
      </c>
      <c r="H16" s="26">
        <v>0</v>
      </c>
      <c r="I16" s="26">
        <v>0</v>
      </c>
      <c r="J16" s="26">
        <v>0</v>
      </c>
      <c r="K16" s="69">
        <v>46222086.700000003</v>
      </c>
      <c r="L16" s="26">
        <v>43010930.579999998</v>
      </c>
      <c r="M16" s="26">
        <v>3211156.12</v>
      </c>
      <c r="N16" s="26">
        <v>0</v>
      </c>
      <c r="O16" s="69">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69">
        <v>60739701.619999997</v>
      </c>
      <c r="E17" s="69">
        <v>60708714.18</v>
      </c>
      <c r="F17" s="26">
        <v>60708714.18</v>
      </c>
      <c r="G17" s="26">
        <v>0</v>
      </c>
      <c r="H17" s="26">
        <v>0</v>
      </c>
      <c r="I17" s="26">
        <v>0</v>
      </c>
      <c r="J17" s="26">
        <v>0</v>
      </c>
      <c r="K17" s="69">
        <v>60701926.619999997</v>
      </c>
      <c r="L17" s="26">
        <v>49769948.630000003</v>
      </c>
      <c r="M17" s="26">
        <v>10931977.99</v>
      </c>
      <c r="N17" s="26">
        <v>0</v>
      </c>
      <c r="O17" s="69">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69">
        <v>63728897.299999997</v>
      </c>
      <c r="E18" s="69">
        <v>63028769.420000002</v>
      </c>
      <c r="F18" s="26">
        <v>62801619.420000002</v>
      </c>
      <c r="G18" s="26">
        <v>227150</v>
      </c>
      <c r="H18" s="26">
        <v>0</v>
      </c>
      <c r="I18" s="26">
        <v>0</v>
      </c>
      <c r="J18" s="26">
        <v>0</v>
      </c>
      <c r="K18" s="69">
        <v>63728897.299999997</v>
      </c>
      <c r="L18" s="26">
        <v>53957900.600000001</v>
      </c>
      <c r="M18" s="26">
        <v>9770996.6999999993</v>
      </c>
      <c r="N18" s="26">
        <v>0</v>
      </c>
      <c r="O18" s="69">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69">
        <v>73169216.890000001</v>
      </c>
      <c r="E19" s="69">
        <v>72682389.269999996</v>
      </c>
      <c r="F19" s="26">
        <v>72522089.269999996</v>
      </c>
      <c r="G19" s="26">
        <v>160300</v>
      </c>
      <c r="H19" s="26">
        <v>0</v>
      </c>
      <c r="I19" s="26">
        <v>0</v>
      </c>
      <c r="J19" s="26">
        <v>0</v>
      </c>
      <c r="K19" s="69">
        <v>73169216.890000001</v>
      </c>
      <c r="L19" s="26">
        <v>68815762.489999995</v>
      </c>
      <c r="M19" s="26">
        <v>4353454.4000000004</v>
      </c>
      <c r="N19" s="26">
        <v>0</v>
      </c>
      <c r="O19" s="69">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297</v>
      </c>
      <c r="C20" s="26">
        <v>95</v>
      </c>
      <c r="D20" s="69">
        <v>41525377.969999999</v>
      </c>
      <c r="E20" s="69">
        <v>41270606.700000003</v>
      </c>
      <c r="F20" s="26">
        <v>41191156.700000003</v>
      </c>
      <c r="G20" s="26">
        <v>79450</v>
      </c>
      <c r="H20" s="26">
        <v>0</v>
      </c>
      <c r="I20" s="26">
        <v>0</v>
      </c>
      <c r="J20" s="26">
        <v>0</v>
      </c>
      <c r="K20" s="69">
        <v>41525377.969999999</v>
      </c>
      <c r="L20" s="26">
        <v>38988070.390000001</v>
      </c>
      <c r="M20" s="26">
        <v>2537307.58</v>
      </c>
      <c r="N20" s="26">
        <v>0</v>
      </c>
      <c r="O20" s="69">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69">
        <v>55856870.369999997</v>
      </c>
      <c r="E21" s="69">
        <v>55153230.079999998</v>
      </c>
      <c r="F21" s="26">
        <v>55153230.079999998</v>
      </c>
      <c r="G21" s="26">
        <v>0</v>
      </c>
      <c r="H21" s="26">
        <v>0</v>
      </c>
      <c r="I21" s="26">
        <v>0</v>
      </c>
      <c r="J21" s="26">
        <v>0</v>
      </c>
      <c r="K21" s="69">
        <v>55856870.369999997</v>
      </c>
      <c r="L21" s="26">
        <v>50488127.049999997</v>
      </c>
      <c r="M21" s="26">
        <v>5368743.3200000003</v>
      </c>
      <c r="N21" s="26">
        <v>0</v>
      </c>
      <c r="O21" s="69">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69">
        <v>93878644.280000001</v>
      </c>
      <c r="E22" s="69">
        <v>92947308.269999996</v>
      </c>
      <c r="F22" s="26">
        <v>92947308.269999996</v>
      </c>
      <c r="G22" s="26">
        <v>0</v>
      </c>
      <c r="H22" s="26">
        <v>0</v>
      </c>
      <c r="I22" s="26">
        <v>0</v>
      </c>
      <c r="J22" s="26">
        <v>0</v>
      </c>
      <c r="K22" s="69">
        <v>93878644.280000001</v>
      </c>
      <c r="L22" s="26">
        <v>88121138.010000005</v>
      </c>
      <c r="M22" s="26">
        <v>5757506.2699999996</v>
      </c>
      <c r="N22" s="26">
        <v>0</v>
      </c>
      <c r="O22" s="69">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69">
        <v>125340267.61</v>
      </c>
      <c r="E23" s="69">
        <v>125115187.70999999</v>
      </c>
      <c r="F23" s="26">
        <v>124777087.70999999</v>
      </c>
      <c r="G23" s="26">
        <v>338100</v>
      </c>
      <c r="H23" s="26">
        <v>0</v>
      </c>
      <c r="I23" s="26">
        <v>0</v>
      </c>
      <c r="J23" s="26">
        <v>0</v>
      </c>
      <c r="K23" s="69">
        <v>125340267.61</v>
      </c>
      <c r="L23" s="26">
        <v>116701506.70999999</v>
      </c>
      <c r="M23" s="26">
        <v>8638760.9000000004</v>
      </c>
      <c r="N23" s="26">
        <v>0</v>
      </c>
      <c r="O23" s="69">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69">
        <v>29478336.699999999</v>
      </c>
      <c r="E24" s="69">
        <v>27147326.66</v>
      </c>
      <c r="F24" s="26">
        <v>27147326.66</v>
      </c>
      <c r="G24" s="26">
        <v>0</v>
      </c>
      <c r="H24" s="26">
        <v>0</v>
      </c>
      <c r="I24" s="26">
        <v>0</v>
      </c>
      <c r="J24" s="26">
        <v>0</v>
      </c>
      <c r="K24" s="69">
        <v>29428336.699999999</v>
      </c>
      <c r="L24" s="26">
        <v>22929105.260000002</v>
      </c>
      <c r="M24" s="26">
        <v>6499231.4400000004</v>
      </c>
      <c r="N24" s="26">
        <v>0</v>
      </c>
      <c r="O24" s="69">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69">
        <v>69739842.739999995</v>
      </c>
      <c r="E25" s="69">
        <v>68304828.219999999</v>
      </c>
      <c r="F25" s="26">
        <v>68304828.219999999</v>
      </c>
      <c r="G25" s="26">
        <v>0</v>
      </c>
      <c r="H25" s="26">
        <v>0</v>
      </c>
      <c r="I25" s="26">
        <v>0</v>
      </c>
      <c r="J25" s="26">
        <v>0</v>
      </c>
      <c r="K25" s="69">
        <v>69693742.739999995</v>
      </c>
      <c r="L25" s="26">
        <v>51384454.979999997</v>
      </c>
      <c r="M25" s="26">
        <v>18309287.760000002</v>
      </c>
      <c r="N25" s="26">
        <v>0</v>
      </c>
      <c r="O25" s="69">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69">
        <v>76890417.489999995</v>
      </c>
      <c r="E26" s="69">
        <v>76361075.930000007</v>
      </c>
      <c r="F26" s="26">
        <v>76361075.930000007</v>
      </c>
      <c r="G26" s="26">
        <v>0</v>
      </c>
      <c r="H26" s="26">
        <v>0</v>
      </c>
      <c r="I26" s="26">
        <v>0</v>
      </c>
      <c r="J26" s="26">
        <v>0</v>
      </c>
      <c r="K26" s="69">
        <v>76890417.489999995</v>
      </c>
      <c r="L26" s="26">
        <v>65070603.649999999</v>
      </c>
      <c r="M26" s="26">
        <v>11819813.84</v>
      </c>
      <c r="N26" s="26">
        <v>0</v>
      </c>
      <c r="O26" s="69">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69">
        <v>145321107.83000001</v>
      </c>
      <c r="E27" s="69">
        <v>145321107.83000001</v>
      </c>
      <c r="F27" s="26">
        <v>144221107.83000001</v>
      </c>
      <c r="G27" s="26">
        <v>1100000</v>
      </c>
      <c r="H27" s="26">
        <v>0</v>
      </c>
      <c r="I27" s="26">
        <v>0</v>
      </c>
      <c r="J27" s="26">
        <v>0</v>
      </c>
      <c r="K27" s="69">
        <v>145321107.83000001</v>
      </c>
      <c r="L27" s="26">
        <v>134997943.71000001</v>
      </c>
      <c r="M27" s="26">
        <v>10323164.119999999</v>
      </c>
      <c r="N27" s="26">
        <v>0</v>
      </c>
      <c r="O27" s="69">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69">
        <v>146757285.12</v>
      </c>
      <c r="E28" s="69">
        <v>144836787.81</v>
      </c>
      <c r="F28" s="26">
        <v>144037051.40000001</v>
      </c>
      <c r="G28" s="26">
        <v>799736.41</v>
      </c>
      <c r="H28" s="26">
        <v>0</v>
      </c>
      <c r="I28" s="26">
        <v>0</v>
      </c>
      <c r="J28" s="26">
        <v>0</v>
      </c>
      <c r="K28" s="69">
        <v>146381919.78999999</v>
      </c>
      <c r="L28" s="26">
        <v>128741071.84999999</v>
      </c>
      <c r="M28" s="26">
        <v>17640847.940000001</v>
      </c>
      <c r="N28" s="26">
        <v>0</v>
      </c>
      <c r="O28" s="69">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69">
        <v>47899065.079999998</v>
      </c>
      <c r="E29" s="69">
        <v>47102404.57</v>
      </c>
      <c r="F29" s="26">
        <v>47102404.57</v>
      </c>
      <c r="G29" s="26">
        <v>0</v>
      </c>
      <c r="H29" s="26">
        <v>0</v>
      </c>
      <c r="I29" s="26">
        <v>0</v>
      </c>
      <c r="J29" s="26">
        <v>0</v>
      </c>
      <c r="K29" s="69">
        <v>47389911.840000004</v>
      </c>
      <c r="L29" s="26">
        <v>43290180.57</v>
      </c>
      <c r="M29" s="26">
        <v>4099731.27</v>
      </c>
      <c r="N29" s="26">
        <v>0</v>
      </c>
      <c r="O29" s="69">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69">
        <v>28356539.059999999</v>
      </c>
      <c r="E30" s="69">
        <v>28356539.059999999</v>
      </c>
      <c r="F30" s="26">
        <v>28356539.059999999</v>
      </c>
      <c r="G30" s="26">
        <v>0</v>
      </c>
      <c r="H30" s="26">
        <v>0</v>
      </c>
      <c r="I30" s="26">
        <v>0</v>
      </c>
      <c r="J30" s="26">
        <v>0</v>
      </c>
      <c r="K30" s="69">
        <v>28305167.809999999</v>
      </c>
      <c r="L30" s="26">
        <v>26088109.059999999</v>
      </c>
      <c r="M30" s="26">
        <v>2217058.75</v>
      </c>
      <c r="N30" s="26">
        <v>0</v>
      </c>
      <c r="O30" s="69">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69">
        <v>16938571.129999999</v>
      </c>
      <c r="E31" s="69">
        <v>16879497.82</v>
      </c>
      <c r="F31" s="26">
        <v>16879497.82</v>
      </c>
      <c r="G31" s="26">
        <v>0</v>
      </c>
      <c r="H31" s="26">
        <v>0</v>
      </c>
      <c r="I31" s="26">
        <v>0</v>
      </c>
      <c r="J31" s="26">
        <v>0</v>
      </c>
      <c r="K31" s="69">
        <v>16934671.129999999</v>
      </c>
      <c r="L31" s="26">
        <v>15818212.33</v>
      </c>
      <c r="M31" s="26">
        <v>1116458.8</v>
      </c>
      <c r="N31" s="26">
        <v>0</v>
      </c>
      <c r="O31" s="69">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69">
        <v>30559104.859999999</v>
      </c>
      <c r="E32" s="69">
        <v>30297159.09</v>
      </c>
      <c r="F32" s="26">
        <v>30297159.09</v>
      </c>
      <c r="G32" s="26">
        <v>0</v>
      </c>
      <c r="H32" s="26">
        <v>0</v>
      </c>
      <c r="I32" s="26">
        <v>0</v>
      </c>
      <c r="J32" s="26">
        <v>0</v>
      </c>
      <c r="K32" s="69">
        <v>30462623.600000001</v>
      </c>
      <c r="L32" s="26">
        <v>28542920.699999999</v>
      </c>
      <c r="M32" s="26">
        <v>1919702.9</v>
      </c>
      <c r="N32" s="26">
        <v>0</v>
      </c>
      <c r="O32" s="69">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69">
        <v>23570252.210000001</v>
      </c>
      <c r="E33" s="69">
        <v>23346260.309999999</v>
      </c>
      <c r="F33" s="26">
        <v>23346260.309999999</v>
      </c>
      <c r="G33" s="26">
        <v>0</v>
      </c>
      <c r="H33" s="26">
        <v>0</v>
      </c>
      <c r="I33" s="26">
        <v>0</v>
      </c>
      <c r="J33" s="26">
        <v>0</v>
      </c>
      <c r="K33" s="69">
        <v>23570252.210000001</v>
      </c>
      <c r="L33" s="26">
        <v>20216025.289999999</v>
      </c>
      <c r="M33" s="26">
        <v>3354226.92</v>
      </c>
      <c r="N33" s="26">
        <v>0</v>
      </c>
      <c r="O33" s="69">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69">
        <v>24375379.059999999</v>
      </c>
      <c r="E34" s="69">
        <v>24351883.190000001</v>
      </c>
      <c r="F34" s="26">
        <v>24351883.190000001</v>
      </c>
      <c r="G34" s="26">
        <v>0</v>
      </c>
      <c r="H34" s="26">
        <v>0</v>
      </c>
      <c r="I34" s="26">
        <v>0</v>
      </c>
      <c r="J34" s="26">
        <v>0</v>
      </c>
      <c r="K34" s="69">
        <v>24375379.059999999</v>
      </c>
      <c r="L34" s="26">
        <v>22099142.5</v>
      </c>
      <c r="M34" s="26">
        <v>2276236.56</v>
      </c>
      <c r="N34" s="26">
        <v>0</v>
      </c>
      <c r="O34" s="69">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69">
        <v>139189944.33000001</v>
      </c>
      <c r="E35" s="69">
        <v>138637758.88999999</v>
      </c>
      <c r="F35" s="26">
        <v>138637758.88999999</v>
      </c>
      <c r="G35" s="26">
        <v>0</v>
      </c>
      <c r="H35" s="26">
        <v>0</v>
      </c>
      <c r="I35" s="26">
        <v>0</v>
      </c>
      <c r="J35" s="26">
        <v>0</v>
      </c>
      <c r="K35" s="69">
        <v>138431732.33000001</v>
      </c>
      <c r="L35" s="26">
        <v>133569526.84999999</v>
      </c>
      <c r="M35" s="26">
        <v>4862205.4800000004</v>
      </c>
      <c r="N35" s="26">
        <v>0</v>
      </c>
      <c r="O35" s="69">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69">
        <v>17989245.34</v>
      </c>
      <c r="E36" s="69">
        <v>17989245.34</v>
      </c>
      <c r="F36" s="26">
        <v>17989245.34</v>
      </c>
      <c r="G36" s="26">
        <v>0</v>
      </c>
      <c r="H36" s="26">
        <v>0</v>
      </c>
      <c r="I36" s="26">
        <v>0</v>
      </c>
      <c r="J36" s="26">
        <v>0</v>
      </c>
      <c r="K36" s="69">
        <v>17989245.34</v>
      </c>
      <c r="L36" s="26">
        <v>15440949.34</v>
      </c>
      <c r="M36" s="26">
        <v>2548296</v>
      </c>
      <c r="N36" s="26">
        <v>0</v>
      </c>
      <c r="O36" s="69">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69">
        <v>47484359.060000002</v>
      </c>
      <c r="E37" s="69">
        <v>47464880.560000002</v>
      </c>
      <c r="F37" s="26">
        <v>47464880.560000002</v>
      </c>
      <c r="G37" s="26">
        <v>0</v>
      </c>
      <c r="H37" s="26">
        <v>0</v>
      </c>
      <c r="I37" s="26">
        <v>0</v>
      </c>
      <c r="J37" s="26">
        <v>0</v>
      </c>
      <c r="K37" s="69">
        <v>47484359.060000002</v>
      </c>
      <c r="L37" s="26">
        <v>44717996.009999998</v>
      </c>
      <c r="M37" s="26">
        <v>2766363.05</v>
      </c>
      <c r="N37" s="26">
        <v>0</v>
      </c>
      <c r="O37" s="69">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69">
        <v>55654408.479999997</v>
      </c>
      <c r="E38" s="69">
        <v>55129993.75</v>
      </c>
      <c r="F38" s="26">
        <v>55129993.75</v>
      </c>
      <c r="G38" s="26">
        <v>0</v>
      </c>
      <c r="H38" s="26">
        <v>0</v>
      </c>
      <c r="I38" s="26">
        <v>0</v>
      </c>
      <c r="J38" s="26">
        <v>0</v>
      </c>
      <c r="K38" s="69">
        <v>55621706.759999998</v>
      </c>
      <c r="L38" s="26">
        <v>46471185.75</v>
      </c>
      <c r="M38" s="26">
        <v>9150521.0099999998</v>
      </c>
      <c r="N38" s="26">
        <v>0</v>
      </c>
      <c r="O38" s="69">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69">
        <v>119015509.15000001</v>
      </c>
      <c r="E39" s="69">
        <v>118164134.11</v>
      </c>
      <c r="F39" s="26">
        <v>118164134.11</v>
      </c>
      <c r="G39" s="26">
        <v>0</v>
      </c>
      <c r="H39" s="26">
        <v>0</v>
      </c>
      <c r="I39" s="26">
        <v>0</v>
      </c>
      <c r="J39" s="26">
        <v>0</v>
      </c>
      <c r="K39" s="69">
        <v>119009018.41</v>
      </c>
      <c r="L39" s="26">
        <v>105022512.66</v>
      </c>
      <c r="M39" s="26">
        <v>13986505.75</v>
      </c>
      <c r="N39" s="26">
        <v>0</v>
      </c>
      <c r="O39" s="69">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69">
        <v>30046805.690000001</v>
      </c>
      <c r="E40" s="69">
        <v>29681099.690000001</v>
      </c>
      <c r="F40" s="26">
        <v>29681099.690000001</v>
      </c>
      <c r="G40" s="26">
        <v>0</v>
      </c>
      <c r="H40" s="26">
        <v>0</v>
      </c>
      <c r="I40" s="26">
        <v>0</v>
      </c>
      <c r="J40" s="26">
        <v>0</v>
      </c>
      <c r="K40" s="69">
        <v>29964320.489999998</v>
      </c>
      <c r="L40" s="26">
        <v>27986977.59</v>
      </c>
      <c r="M40" s="26">
        <v>1977342.9</v>
      </c>
      <c r="N40" s="26">
        <v>0</v>
      </c>
      <c r="O40" s="69">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69">
        <v>42123765.670000002</v>
      </c>
      <c r="E41" s="69">
        <v>41678493.079999998</v>
      </c>
      <c r="F41" s="26">
        <v>41678493.079999998</v>
      </c>
      <c r="G41" s="26">
        <v>0</v>
      </c>
      <c r="H41" s="26">
        <v>0</v>
      </c>
      <c r="I41" s="26">
        <v>0</v>
      </c>
      <c r="J41" s="26">
        <v>0</v>
      </c>
      <c r="K41" s="69">
        <v>42041178.280000001</v>
      </c>
      <c r="L41" s="26">
        <v>39397433.280000001</v>
      </c>
      <c r="M41" s="26">
        <v>2643745</v>
      </c>
      <c r="N41" s="26">
        <v>0</v>
      </c>
      <c r="O41" s="69">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69">
        <v>29142286.539999999</v>
      </c>
      <c r="E42" s="69">
        <v>29049155.800000001</v>
      </c>
      <c r="F42" s="26">
        <v>29049155.800000001</v>
      </c>
      <c r="G42" s="26">
        <v>0</v>
      </c>
      <c r="H42" s="26">
        <v>0</v>
      </c>
      <c r="I42" s="26">
        <v>0</v>
      </c>
      <c r="J42" s="26">
        <v>0</v>
      </c>
      <c r="K42" s="69">
        <v>29100125.75</v>
      </c>
      <c r="L42" s="26">
        <v>25816292.370000001</v>
      </c>
      <c r="M42" s="26">
        <v>3283833.38</v>
      </c>
      <c r="N42" s="26">
        <v>0</v>
      </c>
      <c r="O42" s="69">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69">
        <v>50892382.189999998</v>
      </c>
      <c r="E43" s="69">
        <v>50176843.32</v>
      </c>
      <c r="F43" s="26">
        <v>50176843.32</v>
      </c>
      <c r="G43" s="26">
        <v>0</v>
      </c>
      <c r="H43" s="26">
        <v>0</v>
      </c>
      <c r="I43" s="26">
        <v>0</v>
      </c>
      <c r="J43" s="26">
        <v>0</v>
      </c>
      <c r="K43" s="69">
        <v>50892382.189999998</v>
      </c>
      <c r="L43" s="26">
        <v>42053660.450000003</v>
      </c>
      <c r="M43" s="26">
        <v>8838721.7400000002</v>
      </c>
      <c r="N43" s="26">
        <v>0</v>
      </c>
      <c r="O43" s="69">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69">
        <v>60401349.350000001</v>
      </c>
      <c r="E44" s="69">
        <v>60260802.240000002</v>
      </c>
      <c r="F44" s="26">
        <v>60260802.240000002</v>
      </c>
      <c r="G44" s="26">
        <v>0</v>
      </c>
      <c r="H44" s="26">
        <v>0</v>
      </c>
      <c r="I44" s="26">
        <v>0</v>
      </c>
      <c r="J44" s="26">
        <v>0</v>
      </c>
      <c r="K44" s="69">
        <v>60378646</v>
      </c>
      <c r="L44" s="26">
        <v>53133104.560000002</v>
      </c>
      <c r="M44" s="26">
        <v>7245541.4400000004</v>
      </c>
      <c r="N44" s="26">
        <v>0</v>
      </c>
      <c r="O44" s="69">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69">
        <v>35590902.079999998</v>
      </c>
      <c r="E45" s="69">
        <v>35589102.079999998</v>
      </c>
      <c r="F45" s="26">
        <v>35589102.079999998</v>
      </c>
      <c r="G45" s="26">
        <v>0</v>
      </c>
      <c r="H45" s="26">
        <v>0</v>
      </c>
      <c r="I45" s="26">
        <v>0</v>
      </c>
      <c r="J45" s="26">
        <v>0</v>
      </c>
      <c r="K45" s="69">
        <v>35578367.789999999</v>
      </c>
      <c r="L45" s="26">
        <v>31244596.620000001</v>
      </c>
      <c r="M45" s="26">
        <v>4333771.17</v>
      </c>
      <c r="N45" s="26">
        <v>0</v>
      </c>
      <c r="O45" s="69">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69">
        <v>55127604.049999997</v>
      </c>
      <c r="E46" s="69">
        <v>55127604.049999997</v>
      </c>
      <c r="F46" s="26">
        <v>55127604.049999997</v>
      </c>
      <c r="G46" s="26">
        <v>0</v>
      </c>
      <c r="H46" s="26">
        <v>0</v>
      </c>
      <c r="I46" s="26">
        <v>0</v>
      </c>
      <c r="J46" s="26">
        <v>0</v>
      </c>
      <c r="K46" s="69">
        <v>55127604.049999997</v>
      </c>
      <c r="L46" s="26">
        <v>51453981.840000004</v>
      </c>
      <c r="M46" s="26">
        <v>3673622.21</v>
      </c>
      <c r="N46" s="26">
        <v>0</v>
      </c>
      <c r="O46" s="69">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69">
        <v>26899009.789999999</v>
      </c>
      <c r="E47" s="69">
        <v>26889619.789999999</v>
      </c>
      <c r="F47" s="26">
        <v>26889619.789999999</v>
      </c>
      <c r="G47" s="26">
        <v>0</v>
      </c>
      <c r="H47" s="26">
        <v>0</v>
      </c>
      <c r="I47" s="26">
        <v>0</v>
      </c>
      <c r="J47" s="26">
        <v>0</v>
      </c>
      <c r="K47" s="69">
        <v>26899009.789999999</v>
      </c>
      <c r="L47" s="26">
        <v>23931028.010000002</v>
      </c>
      <c r="M47" s="26">
        <v>2967981.78</v>
      </c>
      <c r="N47" s="26">
        <v>0</v>
      </c>
      <c r="O47" s="69">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69">
        <v>29383565.859999999</v>
      </c>
      <c r="E48" s="69">
        <v>28971463.600000001</v>
      </c>
      <c r="F48" s="26">
        <v>28971463.600000001</v>
      </c>
      <c r="G48" s="26">
        <v>0</v>
      </c>
      <c r="H48" s="26">
        <v>0</v>
      </c>
      <c r="I48" s="26">
        <v>0</v>
      </c>
      <c r="J48" s="26">
        <v>0</v>
      </c>
      <c r="K48" s="69">
        <v>29371800.140000001</v>
      </c>
      <c r="L48" s="26">
        <v>27392172.280000001</v>
      </c>
      <c r="M48" s="26">
        <v>1979627.86</v>
      </c>
      <c r="N48" s="26">
        <v>0</v>
      </c>
      <c r="O48" s="69">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69">
        <v>109596521.45</v>
      </c>
      <c r="E49" s="69">
        <v>109576881.56999999</v>
      </c>
      <c r="F49" s="26">
        <v>109576881.56999999</v>
      </c>
      <c r="G49" s="26">
        <v>0</v>
      </c>
      <c r="H49" s="26">
        <v>0</v>
      </c>
      <c r="I49" s="26">
        <v>0</v>
      </c>
      <c r="J49" s="26">
        <v>0</v>
      </c>
      <c r="K49" s="69">
        <v>109346521.45</v>
      </c>
      <c r="L49" s="26">
        <v>91832517.299999997</v>
      </c>
      <c r="M49" s="26">
        <v>17514004.149999999</v>
      </c>
      <c r="N49" s="26">
        <v>0</v>
      </c>
      <c r="O49" s="69">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69">
        <v>196443883.88</v>
      </c>
      <c r="E50" s="69">
        <v>194827316.24000001</v>
      </c>
      <c r="F50" s="26">
        <v>194827316.24000001</v>
      </c>
      <c r="G50" s="26">
        <v>0</v>
      </c>
      <c r="H50" s="26">
        <v>0</v>
      </c>
      <c r="I50" s="26">
        <v>0</v>
      </c>
      <c r="J50" s="26">
        <v>0</v>
      </c>
      <c r="K50" s="69">
        <v>195693883.88</v>
      </c>
      <c r="L50" s="26">
        <v>180840941.27000001</v>
      </c>
      <c r="M50" s="26">
        <v>14852942.609999999</v>
      </c>
      <c r="N50" s="26">
        <v>0</v>
      </c>
      <c r="O50" s="69">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69">
        <v>21807721.140000001</v>
      </c>
      <c r="E51" s="69">
        <v>21719357.690000001</v>
      </c>
      <c r="F51" s="26">
        <v>21719357.690000001</v>
      </c>
      <c r="G51" s="26">
        <v>0</v>
      </c>
      <c r="H51" s="26">
        <v>0</v>
      </c>
      <c r="I51" s="26">
        <v>0</v>
      </c>
      <c r="J51" s="26">
        <v>0</v>
      </c>
      <c r="K51" s="69">
        <v>21755307.859999999</v>
      </c>
      <c r="L51" s="26">
        <v>20028247.199999999</v>
      </c>
      <c r="M51" s="26">
        <v>1727060.66</v>
      </c>
      <c r="N51" s="26">
        <v>0</v>
      </c>
      <c r="O51" s="69">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69">
        <v>67692552.680000007</v>
      </c>
      <c r="E52" s="69">
        <v>67437520.480000004</v>
      </c>
      <c r="F52" s="26">
        <v>67437520.480000004</v>
      </c>
      <c r="G52" s="26">
        <v>0</v>
      </c>
      <c r="H52" s="26">
        <v>0</v>
      </c>
      <c r="I52" s="26">
        <v>0</v>
      </c>
      <c r="J52" s="26">
        <v>0</v>
      </c>
      <c r="K52" s="69">
        <v>67582890.090000004</v>
      </c>
      <c r="L52" s="26">
        <v>61646941.07</v>
      </c>
      <c r="M52" s="26">
        <v>5935949.0199999996</v>
      </c>
      <c r="N52" s="26">
        <v>0</v>
      </c>
      <c r="O52" s="69">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69">
        <v>67097344.07</v>
      </c>
      <c r="E53" s="69">
        <v>66917251.200000003</v>
      </c>
      <c r="F53" s="26">
        <v>66917251.200000003</v>
      </c>
      <c r="G53" s="26">
        <v>0</v>
      </c>
      <c r="H53" s="26">
        <v>0</v>
      </c>
      <c r="I53" s="26">
        <v>0</v>
      </c>
      <c r="J53" s="26">
        <v>0</v>
      </c>
      <c r="K53" s="69">
        <v>66458417.030000001</v>
      </c>
      <c r="L53" s="26">
        <v>63529119.299999997</v>
      </c>
      <c r="M53" s="26">
        <v>2929297.73</v>
      </c>
      <c r="N53" s="26">
        <v>0</v>
      </c>
      <c r="O53" s="69">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69">
        <v>73883586.109999999</v>
      </c>
      <c r="E54" s="69">
        <v>73670207</v>
      </c>
      <c r="F54" s="26">
        <v>73670207</v>
      </c>
      <c r="G54" s="26">
        <v>0</v>
      </c>
      <c r="H54" s="26">
        <v>0</v>
      </c>
      <c r="I54" s="26">
        <v>0</v>
      </c>
      <c r="J54" s="26">
        <v>0</v>
      </c>
      <c r="K54" s="69">
        <v>73818101.579999998</v>
      </c>
      <c r="L54" s="26">
        <v>63645564.409999996</v>
      </c>
      <c r="M54" s="26">
        <v>10172537.17</v>
      </c>
      <c r="N54" s="26">
        <v>0</v>
      </c>
      <c r="O54" s="69">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69">
        <v>85080209.379999995</v>
      </c>
      <c r="E55" s="69">
        <v>83831319.739999995</v>
      </c>
      <c r="F55" s="26">
        <v>83831319.739999995</v>
      </c>
      <c r="G55" s="26">
        <v>0</v>
      </c>
      <c r="H55" s="26">
        <v>0</v>
      </c>
      <c r="I55" s="26">
        <v>0</v>
      </c>
      <c r="J55" s="26">
        <v>0</v>
      </c>
      <c r="K55" s="69">
        <v>84478762.140000001</v>
      </c>
      <c r="L55" s="26">
        <v>69376377.989999995</v>
      </c>
      <c r="M55" s="26">
        <v>15102384.15</v>
      </c>
      <c r="N55" s="26">
        <v>0</v>
      </c>
      <c r="O55" s="69">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69">
        <v>37661425.890000001</v>
      </c>
      <c r="E56" s="69">
        <v>37127277.700000003</v>
      </c>
      <c r="F56" s="26">
        <v>37127277.700000003</v>
      </c>
      <c r="G56" s="26">
        <v>0</v>
      </c>
      <c r="H56" s="26">
        <v>0</v>
      </c>
      <c r="I56" s="26">
        <v>0</v>
      </c>
      <c r="J56" s="26">
        <v>0</v>
      </c>
      <c r="K56" s="69">
        <v>37661425.890000001</v>
      </c>
      <c r="L56" s="26">
        <v>35220390.700000003</v>
      </c>
      <c r="M56" s="26">
        <v>2441035.19</v>
      </c>
      <c r="N56" s="26">
        <v>0</v>
      </c>
      <c r="O56" s="69">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69">
        <v>34385863.439999998</v>
      </c>
      <c r="E57" s="69">
        <v>33960363.439999998</v>
      </c>
      <c r="F57" s="26">
        <v>33960363.439999998</v>
      </c>
      <c r="G57" s="26">
        <v>0</v>
      </c>
      <c r="H57" s="26">
        <v>0</v>
      </c>
      <c r="I57" s="26">
        <v>0</v>
      </c>
      <c r="J57" s="26">
        <v>0</v>
      </c>
      <c r="K57" s="69">
        <v>34385863.439999998</v>
      </c>
      <c r="L57" s="26">
        <v>31917297.789999999</v>
      </c>
      <c r="M57" s="26">
        <v>2468565.65</v>
      </c>
      <c r="N57" s="26">
        <v>0</v>
      </c>
      <c r="O57" s="69">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69">
        <v>69381523.739999995</v>
      </c>
      <c r="E58" s="69">
        <v>68335435.859999999</v>
      </c>
      <c r="F58" s="26">
        <v>68335435.859999999</v>
      </c>
      <c r="G58" s="26">
        <v>0</v>
      </c>
      <c r="H58" s="26">
        <v>0</v>
      </c>
      <c r="I58" s="26">
        <v>0</v>
      </c>
      <c r="J58" s="26">
        <v>0</v>
      </c>
      <c r="K58" s="69">
        <v>69264323.739999995</v>
      </c>
      <c r="L58" s="26">
        <v>64937828.240000002</v>
      </c>
      <c r="M58" s="26">
        <v>4326495.5</v>
      </c>
      <c r="N58" s="26">
        <v>0</v>
      </c>
      <c r="O58" s="69">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69">
        <v>26092799.629999999</v>
      </c>
      <c r="E59" s="69">
        <v>25624377.870000001</v>
      </c>
      <c r="F59" s="26">
        <v>25624377.870000001</v>
      </c>
      <c r="G59" s="26">
        <v>0</v>
      </c>
      <c r="H59" s="26">
        <v>0</v>
      </c>
      <c r="I59" s="26">
        <v>0</v>
      </c>
      <c r="J59" s="26">
        <v>0</v>
      </c>
      <c r="K59" s="69">
        <v>26061000.98</v>
      </c>
      <c r="L59" s="26">
        <v>23653458.27</v>
      </c>
      <c r="M59" s="26">
        <v>2407542.71</v>
      </c>
      <c r="N59" s="26">
        <v>0</v>
      </c>
      <c r="O59" s="69">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69">
        <v>35547787.07</v>
      </c>
      <c r="E60" s="69">
        <v>35329349.880000003</v>
      </c>
      <c r="F60" s="26">
        <v>35329349.880000003</v>
      </c>
      <c r="G60" s="26">
        <v>0</v>
      </c>
      <c r="H60" s="26">
        <v>0</v>
      </c>
      <c r="I60" s="26">
        <v>0</v>
      </c>
      <c r="J60" s="26">
        <v>0</v>
      </c>
      <c r="K60" s="69">
        <v>35494387.07</v>
      </c>
      <c r="L60" s="26">
        <v>32046630.559999999</v>
      </c>
      <c r="M60" s="26">
        <v>3447756.51</v>
      </c>
      <c r="N60" s="26">
        <v>0</v>
      </c>
      <c r="O60" s="69">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69">
        <v>49066121.890000001</v>
      </c>
      <c r="E61" s="69">
        <v>48913011.149999999</v>
      </c>
      <c r="F61" s="26">
        <v>48913011.149999999</v>
      </c>
      <c r="G61" s="26">
        <v>0</v>
      </c>
      <c r="H61" s="26">
        <v>0</v>
      </c>
      <c r="I61" s="26">
        <v>0</v>
      </c>
      <c r="J61" s="26">
        <v>0</v>
      </c>
      <c r="K61" s="69">
        <v>49021009.689999998</v>
      </c>
      <c r="L61" s="26">
        <v>43859258.770000003</v>
      </c>
      <c r="M61" s="26">
        <v>5161750.92</v>
      </c>
      <c r="N61" s="26">
        <v>0</v>
      </c>
      <c r="O61" s="69">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69">
        <v>60079603.299999997</v>
      </c>
      <c r="E62" s="69">
        <v>60079603.299999997</v>
      </c>
      <c r="F62" s="26">
        <v>60079603.299999997</v>
      </c>
      <c r="G62" s="26">
        <v>0</v>
      </c>
      <c r="H62" s="26">
        <v>0</v>
      </c>
      <c r="I62" s="26">
        <v>0</v>
      </c>
      <c r="J62" s="26">
        <v>0</v>
      </c>
      <c r="K62" s="69">
        <v>60079603.299999997</v>
      </c>
      <c r="L62" s="26">
        <v>57813449.359999999</v>
      </c>
      <c r="M62" s="26">
        <v>2266153.94</v>
      </c>
      <c r="N62" s="26">
        <v>0</v>
      </c>
      <c r="O62" s="69">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69">
        <v>28796799.600000001</v>
      </c>
      <c r="E63" s="69">
        <v>28666967.600000001</v>
      </c>
      <c r="F63" s="26">
        <v>28666967.600000001</v>
      </c>
      <c r="G63" s="26">
        <v>0</v>
      </c>
      <c r="H63" s="26">
        <v>0</v>
      </c>
      <c r="I63" s="26">
        <v>0</v>
      </c>
      <c r="J63" s="26">
        <v>0</v>
      </c>
      <c r="K63" s="69">
        <v>28796799.600000001</v>
      </c>
      <c r="L63" s="26">
        <v>27350683.449999999</v>
      </c>
      <c r="M63" s="26">
        <v>1446116.15</v>
      </c>
      <c r="N63" s="26">
        <v>0</v>
      </c>
      <c r="O63" s="69">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69">
        <v>58807722.960000001</v>
      </c>
      <c r="E64" s="69">
        <v>58749337.960000001</v>
      </c>
      <c r="F64" s="26">
        <v>58749337.960000001</v>
      </c>
      <c r="G64" s="26">
        <v>0</v>
      </c>
      <c r="H64" s="26">
        <v>0</v>
      </c>
      <c r="I64" s="26">
        <v>0</v>
      </c>
      <c r="J64" s="26">
        <v>0</v>
      </c>
      <c r="K64" s="69">
        <v>58807722.960000001</v>
      </c>
      <c r="L64" s="26">
        <v>54940811.340000004</v>
      </c>
      <c r="M64" s="26">
        <v>3866911.62</v>
      </c>
      <c r="N64" s="26">
        <v>0</v>
      </c>
      <c r="O64" s="69">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69">
        <v>21071051.489999998</v>
      </c>
      <c r="E65" s="69">
        <v>19571051.489999998</v>
      </c>
      <c r="F65" s="26">
        <v>19571051.489999998</v>
      </c>
      <c r="G65" s="26">
        <v>0</v>
      </c>
      <c r="H65" s="26">
        <v>0</v>
      </c>
      <c r="I65" s="26">
        <v>0</v>
      </c>
      <c r="J65" s="26">
        <v>0</v>
      </c>
      <c r="K65" s="69">
        <v>21071051.489999998</v>
      </c>
      <c r="L65" s="26">
        <v>18374699.98</v>
      </c>
      <c r="M65" s="26">
        <v>2696351.51</v>
      </c>
      <c r="N65" s="26">
        <v>0</v>
      </c>
      <c r="O65" s="69">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69">
        <v>30709285.309999999</v>
      </c>
      <c r="E66" s="69">
        <v>30669960.309999999</v>
      </c>
      <c r="F66" s="26">
        <v>30669960.309999999</v>
      </c>
      <c r="G66" s="26">
        <v>0</v>
      </c>
      <c r="H66" s="26">
        <v>0</v>
      </c>
      <c r="I66" s="26">
        <v>0</v>
      </c>
      <c r="J66" s="26">
        <v>0</v>
      </c>
      <c r="K66" s="69">
        <v>30709285.309999999</v>
      </c>
      <c r="L66" s="26">
        <v>28562620.309999999</v>
      </c>
      <c r="M66" s="26">
        <v>2146665</v>
      </c>
      <c r="N66" s="26">
        <v>0</v>
      </c>
      <c r="O66" s="69">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69">
        <v>25991849.91</v>
      </c>
      <c r="E67" s="69">
        <v>25971849.91</v>
      </c>
      <c r="F67" s="26">
        <v>25971849.91</v>
      </c>
      <c r="G67" s="26">
        <v>0</v>
      </c>
      <c r="H67" s="26">
        <v>0</v>
      </c>
      <c r="I67" s="26">
        <v>0</v>
      </c>
      <c r="J67" s="26">
        <v>0</v>
      </c>
      <c r="K67" s="69">
        <v>25991849.91</v>
      </c>
      <c r="L67" s="26">
        <v>24046490.390000001</v>
      </c>
      <c r="M67" s="26">
        <v>1945359.52</v>
      </c>
      <c r="N67" s="26">
        <v>0</v>
      </c>
      <c r="O67" s="69">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69">
        <v>20276423.629999999</v>
      </c>
      <c r="E68" s="69">
        <v>20276423.629999999</v>
      </c>
      <c r="F68" s="26">
        <v>20276423.629999999</v>
      </c>
      <c r="G68" s="26">
        <v>0</v>
      </c>
      <c r="H68" s="26">
        <v>0</v>
      </c>
      <c r="I68" s="26">
        <v>0</v>
      </c>
      <c r="J68" s="26">
        <v>0</v>
      </c>
      <c r="K68" s="69">
        <v>20276423.629999999</v>
      </c>
      <c r="L68" s="26">
        <v>18847471.050000001</v>
      </c>
      <c r="M68" s="26">
        <v>1428952.58</v>
      </c>
      <c r="N68" s="26">
        <v>0</v>
      </c>
      <c r="O68" s="69">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69">
        <v>24758909.829999998</v>
      </c>
      <c r="E69" s="69">
        <v>24758909.829999998</v>
      </c>
      <c r="F69" s="26">
        <v>24758909.829999998</v>
      </c>
      <c r="G69" s="26">
        <v>0</v>
      </c>
      <c r="H69" s="26">
        <v>0</v>
      </c>
      <c r="I69" s="26">
        <v>0</v>
      </c>
      <c r="J69" s="26">
        <v>0</v>
      </c>
      <c r="K69" s="69">
        <v>24758909.829999998</v>
      </c>
      <c r="L69" s="26">
        <v>22738879.93</v>
      </c>
      <c r="M69" s="26">
        <v>2020029.9</v>
      </c>
      <c r="N69" s="26">
        <v>0</v>
      </c>
      <c r="O69" s="69">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69">
        <v>137881</v>
      </c>
      <c r="E70" s="69">
        <v>137881</v>
      </c>
      <c r="F70" s="26">
        <v>137881</v>
      </c>
      <c r="G70" s="26">
        <v>0</v>
      </c>
      <c r="H70" s="26">
        <v>0</v>
      </c>
      <c r="I70" s="26">
        <v>0</v>
      </c>
      <c r="J70" s="26">
        <v>0</v>
      </c>
      <c r="K70" s="69">
        <v>137881</v>
      </c>
      <c r="L70" s="26">
        <v>137881</v>
      </c>
      <c r="M70" s="26">
        <v>0</v>
      </c>
      <c r="N70" s="26">
        <v>0</v>
      </c>
      <c r="O70" s="69">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69">
        <v>58395798.710000001</v>
      </c>
      <c r="E71" s="69">
        <v>58108731.689999998</v>
      </c>
      <c r="F71" s="26">
        <v>58108731.689999998</v>
      </c>
      <c r="G71" s="26">
        <v>0</v>
      </c>
      <c r="H71" s="26">
        <v>0</v>
      </c>
      <c r="I71" s="26">
        <v>0</v>
      </c>
      <c r="J71" s="26">
        <v>0</v>
      </c>
      <c r="K71" s="69">
        <v>58345798.710000001</v>
      </c>
      <c r="L71" s="26">
        <v>50776990.539999999</v>
      </c>
      <c r="M71" s="26">
        <v>7568808.1699999999</v>
      </c>
      <c r="N71" s="26">
        <v>0</v>
      </c>
      <c r="O71" s="69">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69">
        <v>59264405.159999996</v>
      </c>
      <c r="E72" s="69">
        <v>58788650.159999996</v>
      </c>
      <c r="F72" s="26">
        <v>58788650.159999996</v>
      </c>
      <c r="G72" s="26">
        <v>0</v>
      </c>
      <c r="H72" s="26">
        <v>0</v>
      </c>
      <c r="I72" s="26">
        <v>0</v>
      </c>
      <c r="J72" s="26">
        <v>0</v>
      </c>
      <c r="K72" s="69">
        <v>59264405.159999996</v>
      </c>
      <c r="L72" s="26">
        <v>51421198.649999999</v>
      </c>
      <c r="M72" s="26">
        <v>7843206.5099999998</v>
      </c>
      <c r="N72" s="26">
        <v>0</v>
      </c>
      <c r="O72" s="69">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69">
        <v>18613226.77</v>
      </c>
      <c r="E73" s="69">
        <v>18610676.77</v>
      </c>
      <c r="F73" s="26">
        <v>18610676.77</v>
      </c>
      <c r="G73" s="26">
        <v>0</v>
      </c>
      <c r="H73" s="26">
        <v>0</v>
      </c>
      <c r="I73" s="26">
        <v>0</v>
      </c>
      <c r="J73" s="26">
        <v>0</v>
      </c>
      <c r="K73" s="69">
        <v>18613226.77</v>
      </c>
      <c r="L73" s="26">
        <v>17495414.77</v>
      </c>
      <c r="M73" s="26">
        <v>1117812</v>
      </c>
      <c r="N73" s="26">
        <v>0</v>
      </c>
      <c r="O73" s="69">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69">
        <v>20456495.050000001</v>
      </c>
      <c r="E74" s="69">
        <v>20454495.050000001</v>
      </c>
      <c r="F74" s="26">
        <v>20454495.050000001</v>
      </c>
      <c r="G74" s="26">
        <v>0</v>
      </c>
      <c r="H74" s="26">
        <v>0</v>
      </c>
      <c r="I74" s="26">
        <v>0</v>
      </c>
      <c r="J74" s="26">
        <v>0</v>
      </c>
      <c r="K74" s="69">
        <v>20456495.050000001</v>
      </c>
      <c r="L74" s="26">
        <v>16987679.059999999</v>
      </c>
      <c r="M74" s="26">
        <v>3468815.99</v>
      </c>
      <c r="N74" s="26">
        <v>0</v>
      </c>
      <c r="O74" s="69">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69">
        <v>17721527.07</v>
      </c>
      <c r="E75" s="69">
        <v>17519272.98</v>
      </c>
      <c r="F75" s="26">
        <v>17519272.98</v>
      </c>
      <c r="G75" s="26">
        <v>0</v>
      </c>
      <c r="H75" s="26">
        <v>0</v>
      </c>
      <c r="I75" s="26">
        <v>0</v>
      </c>
      <c r="J75" s="26">
        <v>0</v>
      </c>
      <c r="K75" s="69">
        <v>17221527.07</v>
      </c>
      <c r="L75" s="26">
        <v>12336895.08</v>
      </c>
      <c r="M75" s="26">
        <v>4884631.99</v>
      </c>
      <c r="N75" s="26">
        <v>0</v>
      </c>
      <c r="O75" s="69">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69">
        <v>8081978.5099999998</v>
      </c>
      <c r="E76" s="69">
        <v>8081978.5099999998</v>
      </c>
      <c r="F76" s="26">
        <v>8081978.5099999998</v>
      </c>
      <c r="G76" s="26">
        <v>0</v>
      </c>
      <c r="H76" s="26">
        <v>0</v>
      </c>
      <c r="I76" s="26">
        <v>0</v>
      </c>
      <c r="J76" s="26">
        <v>0</v>
      </c>
      <c r="K76" s="69">
        <v>8081978.5099999998</v>
      </c>
      <c r="L76" s="26">
        <v>6650778.5099999998</v>
      </c>
      <c r="M76" s="26">
        <v>1431200</v>
      </c>
      <c r="N76" s="26">
        <v>0</v>
      </c>
      <c r="O76" s="69">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69">
        <v>10866721.4</v>
      </c>
      <c r="E77" s="69">
        <v>10866721.4</v>
      </c>
      <c r="F77" s="26">
        <v>10866721.4</v>
      </c>
      <c r="G77" s="26">
        <v>0</v>
      </c>
      <c r="H77" s="26">
        <v>0</v>
      </c>
      <c r="I77" s="26">
        <v>0</v>
      </c>
      <c r="J77" s="26">
        <v>0</v>
      </c>
      <c r="K77" s="69">
        <v>10866721.4</v>
      </c>
      <c r="L77" s="26">
        <v>8830036.4499999993</v>
      </c>
      <c r="M77" s="26">
        <v>2036684.95</v>
      </c>
      <c r="N77" s="26">
        <v>0</v>
      </c>
      <c r="O77" s="69">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69">
        <v>8457327.1799999997</v>
      </c>
      <c r="E78" s="69">
        <v>8457112.1799999997</v>
      </c>
      <c r="F78" s="26">
        <v>8457112.1799999997</v>
      </c>
      <c r="G78" s="26">
        <v>0</v>
      </c>
      <c r="H78" s="26">
        <v>0</v>
      </c>
      <c r="I78" s="26">
        <v>0</v>
      </c>
      <c r="J78" s="26">
        <v>0</v>
      </c>
      <c r="K78" s="69">
        <v>8457327.1799999997</v>
      </c>
      <c r="L78" s="26">
        <v>6276726.1900000004</v>
      </c>
      <c r="M78" s="26">
        <v>2180600.9900000002</v>
      </c>
      <c r="N78" s="26">
        <v>0</v>
      </c>
      <c r="O78" s="69">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69">
        <v>8883959.9100000001</v>
      </c>
      <c r="E79" s="69">
        <v>8883959.9100000001</v>
      </c>
      <c r="F79" s="26">
        <v>8883959.9100000001</v>
      </c>
      <c r="G79" s="26">
        <v>0</v>
      </c>
      <c r="H79" s="26">
        <v>0</v>
      </c>
      <c r="I79" s="26">
        <v>0</v>
      </c>
      <c r="J79" s="26">
        <v>0</v>
      </c>
      <c r="K79" s="69">
        <v>8883959.9100000001</v>
      </c>
      <c r="L79" s="26">
        <v>7420415.4100000001</v>
      </c>
      <c r="M79" s="26">
        <v>1463544.5</v>
      </c>
      <c r="N79" s="26">
        <v>0</v>
      </c>
      <c r="O79" s="69">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69">
        <v>17846181.140000001</v>
      </c>
      <c r="E80" s="69">
        <v>17846181.140000001</v>
      </c>
      <c r="F80" s="26">
        <v>17846181.140000001</v>
      </c>
      <c r="G80" s="26">
        <v>0</v>
      </c>
      <c r="H80" s="26">
        <v>0</v>
      </c>
      <c r="I80" s="26">
        <v>0</v>
      </c>
      <c r="J80" s="26">
        <v>0</v>
      </c>
      <c r="K80" s="69">
        <v>17846181.140000001</v>
      </c>
      <c r="L80" s="26">
        <v>9396261.7599999998</v>
      </c>
      <c r="M80" s="26">
        <v>8449919.3800000008</v>
      </c>
      <c r="N80" s="26">
        <v>0</v>
      </c>
      <c r="O80" s="69">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69">
        <v>99943944.989999995</v>
      </c>
      <c r="E81" s="69">
        <v>98505568.510000005</v>
      </c>
      <c r="F81" s="26">
        <v>98505568.510000005</v>
      </c>
      <c r="G81" s="26">
        <v>0</v>
      </c>
      <c r="H81" s="26">
        <v>0</v>
      </c>
      <c r="I81" s="26">
        <v>0</v>
      </c>
      <c r="J81" s="26">
        <v>0</v>
      </c>
      <c r="K81" s="69">
        <v>98615768.510000005</v>
      </c>
      <c r="L81" s="26">
        <v>88800218.150000006</v>
      </c>
      <c r="M81" s="26">
        <v>9815550.3599999994</v>
      </c>
      <c r="N81" s="26">
        <v>0</v>
      </c>
      <c r="O81" s="69">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69">
        <v>23469090.440000001</v>
      </c>
      <c r="E82" s="69">
        <v>23469090.440000001</v>
      </c>
      <c r="F82" s="26">
        <v>23464659.289999999</v>
      </c>
      <c r="G82" s="26">
        <v>0</v>
      </c>
      <c r="H82" s="26">
        <v>0</v>
      </c>
      <c r="I82" s="26">
        <v>0</v>
      </c>
      <c r="J82" s="26">
        <v>4431.1499999999996</v>
      </c>
      <c r="K82" s="69">
        <v>23469090.440000001</v>
      </c>
      <c r="L82" s="26">
        <v>17411688.07</v>
      </c>
      <c r="M82" s="26">
        <v>6057402.3700000001</v>
      </c>
      <c r="N82" s="26">
        <v>0</v>
      </c>
      <c r="O82" s="69">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69">
        <v>104022987.29000001</v>
      </c>
      <c r="E83" s="69">
        <v>104022987.29000001</v>
      </c>
      <c r="F83" s="26">
        <v>104021477.98</v>
      </c>
      <c r="G83" s="26">
        <v>0</v>
      </c>
      <c r="H83" s="26">
        <v>0</v>
      </c>
      <c r="I83" s="26">
        <v>0</v>
      </c>
      <c r="J83" s="26">
        <v>1509.31</v>
      </c>
      <c r="K83" s="69">
        <v>104022987.29000001</v>
      </c>
      <c r="L83" s="26">
        <v>6944384.04</v>
      </c>
      <c r="M83" s="26">
        <v>97078603.25</v>
      </c>
      <c r="N83" s="26">
        <v>0</v>
      </c>
      <c r="O83" s="69">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69">
        <v>28746821.66</v>
      </c>
      <c r="E84" s="69">
        <v>28746821.66</v>
      </c>
      <c r="F84" s="26">
        <v>28746821.66</v>
      </c>
      <c r="G84" s="26">
        <v>0</v>
      </c>
      <c r="H84" s="26">
        <v>0</v>
      </c>
      <c r="I84" s="26">
        <v>0</v>
      </c>
      <c r="J84" s="26">
        <v>0</v>
      </c>
      <c r="K84" s="69">
        <v>28746821.66</v>
      </c>
      <c r="L84" s="26">
        <v>19752156.239999998</v>
      </c>
      <c r="M84" s="26">
        <v>8994665.4199999999</v>
      </c>
      <c r="N84" s="26">
        <v>0</v>
      </c>
      <c r="O84" s="69">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69">
        <v>18398003.140000001</v>
      </c>
      <c r="E85" s="69">
        <v>18398003.140000001</v>
      </c>
      <c r="F85" s="26">
        <v>18398003.140000001</v>
      </c>
      <c r="G85" s="26">
        <v>0</v>
      </c>
      <c r="H85" s="26">
        <v>0</v>
      </c>
      <c r="I85" s="26">
        <v>0</v>
      </c>
      <c r="J85" s="26">
        <v>0</v>
      </c>
      <c r="K85" s="69">
        <v>18398003.140000001</v>
      </c>
      <c r="L85" s="26">
        <v>15994363.119999999</v>
      </c>
      <c r="M85" s="26">
        <v>2403640.02</v>
      </c>
      <c r="N85" s="26">
        <v>0</v>
      </c>
      <c r="O85" s="69">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69">
        <v>6140903.5499999998</v>
      </c>
      <c r="E86" s="69">
        <v>6140903.5499999998</v>
      </c>
      <c r="F86" s="26">
        <v>6140903.5499999998</v>
      </c>
      <c r="G86" s="26">
        <v>0</v>
      </c>
      <c r="H86" s="26">
        <v>0</v>
      </c>
      <c r="I86" s="26">
        <v>0</v>
      </c>
      <c r="J86" s="26">
        <v>0</v>
      </c>
      <c r="K86" s="69">
        <v>5832573.5499999998</v>
      </c>
      <c r="L86" s="26">
        <v>5832573.5499999998</v>
      </c>
      <c r="M86" s="26">
        <v>0</v>
      </c>
      <c r="N86" s="26">
        <v>0</v>
      </c>
      <c r="O86" s="69">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69">
        <v>2747658.21</v>
      </c>
      <c r="E87" s="69">
        <v>2747658.21</v>
      </c>
      <c r="F87" s="26">
        <v>2747658.21</v>
      </c>
      <c r="G87" s="26">
        <v>0</v>
      </c>
      <c r="H87" s="26">
        <v>0</v>
      </c>
      <c r="I87" s="26">
        <v>0</v>
      </c>
      <c r="J87" s="26">
        <v>0</v>
      </c>
      <c r="K87" s="69">
        <v>2747658.21</v>
      </c>
      <c r="L87" s="26">
        <v>2747658.21</v>
      </c>
      <c r="M87" s="26">
        <v>0</v>
      </c>
      <c r="N87" s="26">
        <v>0</v>
      </c>
      <c r="O87" s="69">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69">
        <v>54337451.560000002</v>
      </c>
      <c r="E88" s="69">
        <v>52554998.240000002</v>
      </c>
      <c r="F88" s="26">
        <v>50328969.590000004</v>
      </c>
      <c r="G88" s="26">
        <v>772470</v>
      </c>
      <c r="H88" s="26">
        <v>0</v>
      </c>
      <c r="I88" s="26">
        <v>0</v>
      </c>
      <c r="J88" s="26">
        <v>1453558.65</v>
      </c>
      <c r="K88" s="69">
        <v>54337451.560000002</v>
      </c>
      <c r="L88" s="26">
        <v>15595668.789999999</v>
      </c>
      <c r="M88" s="26">
        <v>38741782.770000003</v>
      </c>
      <c r="N88" s="26">
        <v>0</v>
      </c>
      <c r="O88" s="69">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69">
        <v>13735812.890000001</v>
      </c>
      <c r="E89" s="69">
        <v>13735812.890000001</v>
      </c>
      <c r="F89" s="26">
        <v>13735812.890000001</v>
      </c>
      <c r="G89" s="26">
        <v>0</v>
      </c>
      <c r="H89" s="26">
        <v>0</v>
      </c>
      <c r="I89" s="26">
        <v>0</v>
      </c>
      <c r="J89" s="26">
        <v>0</v>
      </c>
      <c r="K89" s="69">
        <v>13735812.890000001</v>
      </c>
      <c r="L89" s="26">
        <v>13059275.630000001</v>
      </c>
      <c r="M89" s="26">
        <v>676537.26</v>
      </c>
      <c r="N89" s="26">
        <v>0</v>
      </c>
      <c r="O89" s="69">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69">
        <v>25338917</v>
      </c>
      <c r="E90" s="69">
        <v>25338917</v>
      </c>
      <c r="F90" s="26">
        <v>25338917</v>
      </c>
      <c r="G90" s="26">
        <v>0</v>
      </c>
      <c r="H90" s="26">
        <v>0</v>
      </c>
      <c r="I90" s="26">
        <v>0</v>
      </c>
      <c r="J90" s="26">
        <v>0</v>
      </c>
      <c r="K90" s="69">
        <v>25338917</v>
      </c>
      <c r="L90" s="26">
        <v>23014681.859999999</v>
      </c>
      <c r="M90" s="26">
        <v>2324235.14</v>
      </c>
      <c r="N90" s="26">
        <v>0</v>
      </c>
      <c r="O90" s="69">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69">
        <v>135724378.99000001</v>
      </c>
      <c r="E91" s="69">
        <v>135596723.63</v>
      </c>
      <c r="F91" s="26">
        <v>135596723.63</v>
      </c>
      <c r="G91" s="26">
        <v>0</v>
      </c>
      <c r="H91" s="26">
        <v>0</v>
      </c>
      <c r="I91" s="26">
        <v>0</v>
      </c>
      <c r="J91" s="26">
        <v>0</v>
      </c>
      <c r="K91" s="69">
        <v>135531879.06</v>
      </c>
      <c r="L91" s="26">
        <v>116084746.53</v>
      </c>
      <c r="M91" s="26">
        <v>19447132.530000001</v>
      </c>
      <c r="N91" s="26">
        <v>0</v>
      </c>
      <c r="O91" s="69">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69">
        <v>7981625.6600000001</v>
      </c>
      <c r="E92" s="69">
        <v>7931625.6600000001</v>
      </c>
      <c r="F92" s="26">
        <v>7931625.6600000001</v>
      </c>
      <c r="G92" s="26">
        <v>0</v>
      </c>
      <c r="H92" s="26">
        <v>0</v>
      </c>
      <c r="I92" s="26">
        <v>0</v>
      </c>
      <c r="J92" s="26">
        <v>0</v>
      </c>
      <c r="K92" s="69">
        <v>7981625.6600000001</v>
      </c>
      <c r="L92" s="26">
        <v>5632253.1399999997</v>
      </c>
      <c r="M92" s="26">
        <v>2349372.52</v>
      </c>
      <c r="N92" s="26">
        <v>0</v>
      </c>
      <c r="O92" s="69">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69">
        <v>155450326.99000001</v>
      </c>
      <c r="E93" s="69">
        <v>154077553.13</v>
      </c>
      <c r="F93" s="26">
        <v>152996303.13</v>
      </c>
      <c r="G93" s="26">
        <v>1081250</v>
      </c>
      <c r="H93" s="26">
        <v>0</v>
      </c>
      <c r="I93" s="26">
        <v>0</v>
      </c>
      <c r="J93" s="26">
        <v>0</v>
      </c>
      <c r="K93" s="69">
        <v>155328413.18000001</v>
      </c>
      <c r="L93" s="26">
        <v>124228803.2</v>
      </c>
      <c r="M93" s="26">
        <v>31099609.98</v>
      </c>
      <c r="N93" s="26">
        <v>0</v>
      </c>
      <c r="O93" s="69">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69">
        <v>167997772.06999999</v>
      </c>
      <c r="E94" s="69">
        <v>167242775.56999999</v>
      </c>
      <c r="F94" s="26">
        <v>165966871.13999999</v>
      </c>
      <c r="G94" s="26">
        <v>1275904.43</v>
      </c>
      <c r="H94" s="26">
        <v>0</v>
      </c>
      <c r="I94" s="26">
        <v>0</v>
      </c>
      <c r="J94" s="26">
        <v>0</v>
      </c>
      <c r="K94" s="69">
        <v>167924772.06999999</v>
      </c>
      <c r="L94" s="26">
        <v>149071227.59</v>
      </c>
      <c r="M94" s="26">
        <v>18853544.48</v>
      </c>
      <c r="N94" s="26">
        <v>0</v>
      </c>
      <c r="O94" s="69">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69">
        <v>55241514.409999996</v>
      </c>
      <c r="E95" s="69">
        <v>55035971.859999999</v>
      </c>
      <c r="F95" s="26">
        <v>54851521.859999999</v>
      </c>
      <c r="G95" s="26">
        <v>184450</v>
      </c>
      <c r="H95" s="26">
        <v>0</v>
      </c>
      <c r="I95" s="26">
        <v>0</v>
      </c>
      <c r="J95" s="26">
        <v>0</v>
      </c>
      <c r="K95" s="69">
        <v>55211733.530000001</v>
      </c>
      <c r="L95" s="26">
        <v>51089116.509999998</v>
      </c>
      <c r="M95" s="26">
        <v>4122617.02</v>
      </c>
      <c r="N95" s="26">
        <v>0</v>
      </c>
      <c r="O95" s="69">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69">
        <v>52027667.060000002</v>
      </c>
      <c r="E96" s="69">
        <v>51963892.060000002</v>
      </c>
      <c r="F96" s="26">
        <v>51963892.060000002</v>
      </c>
      <c r="G96" s="26">
        <v>0</v>
      </c>
      <c r="H96" s="26">
        <v>0</v>
      </c>
      <c r="I96" s="26">
        <v>0</v>
      </c>
      <c r="J96" s="26">
        <v>0</v>
      </c>
      <c r="K96" s="69">
        <v>52027667.060000002</v>
      </c>
      <c r="L96" s="26">
        <v>47233340.560000002</v>
      </c>
      <c r="M96" s="26">
        <v>4794326.5</v>
      </c>
      <c r="N96" s="26">
        <v>0</v>
      </c>
      <c r="O96" s="69">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69">
        <v>119740390.65000001</v>
      </c>
      <c r="E97" s="69">
        <v>119420495.95999999</v>
      </c>
      <c r="F97" s="26">
        <v>118513223.95999999</v>
      </c>
      <c r="G97" s="26">
        <v>907272</v>
      </c>
      <c r="H97" s="26">
        <v>0</v>
      </c>
      <c r="I97" s="26">
        <v>0</v>
      </c>
      <c r="J97" s="26">
        <v>0</v>
      </c>
      <c r="K97" s="69">
        <v>119348290.65000001</v>
      </c>
      <c r="L97" s="26">
        <v>113096549.8</v>
      </c>
      <c r="M97" s="26">
        <v>6251740.8499999996</v>
      </c>
      <c r="N97" s="26">
        <v>0</v>
      </c>
      <c r="O97" s="69">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69">
        <v>43337709.82</v>
      </c>
      <c r="E98" s="69">
        <v>43159284.390000001</v>
      </c>
      <c r="F98" s="26">
        <v>43159284.390000001</v>
      </c>
      <c r="G98" s="26">
        <v>0</v>
      </c>
      <c r="H98" s="26">
        <v>0</v>
      </c>
      <c r="I98" s="26">
        <v>0</v>
      </c>
      <c r="J98" s="26">
        <v>0</v>
      </c>
      <c r="K98" s="69">
        <v>43337709.82</v>
      </c>
      <c r="L98" s="26">
        <v>39585390.649999999</v>
      </c>
      <c r="M98" s="26">
        <v>3752319.17</v>
      </c>
      <c r="N98" s="26">
        <v>0</v>
      </c>
      <c r="O98" s="69">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69">
        <v>25860445.370000001</v>
      </c>
      <c r="E99" s="69">
        <v>25632334.370000001</v>
      </c>
      <c r="F99" s="26">
        <v>25632334.370000001</v>
      </c>
      <c r="G99" s="26">
        <v>0</v>
      </c>
      <c r="H99" s="26">
        <v>0</v>
      </c>
      <c r="I99" s="26">
        <v>0</v>
      </c>
      <c r="J99" s="26">
        <v>0</v>
      </c>
      <c r="K99" s="69">
        <v>25858421.370000001</v>
      </c>
      <c r="L99" s="26">
        <v>24027150.370000001</v>
      </c>
      <c r="M99" s="26">
        <v>1831271</v>
      </c>
      <c r="N99" s="26">
        <v>0</v>
      </c>
      <c r="O99" s="69">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69">
        <v>110197225.94</v>
      </c>
      <c r="E100" s="69">
        <v>108284253.73</v>
      </c>
      <c r="F100" s="26">
        <v>107282125.01000001</v>
      </c>
      <c r="G100" s="26">
        <v>1002128.72</v>
      </c>
      <c r="H100" s="26">
        <v>0</v>
      </c>
      <c r="I100" s="26">
        <v>0</v>
      </c>
      <c r="J100" s="26">
        <v>0</v>
      </c>
      <c r="K100" s="69">
        <v>110086625.25</v>
      </c>
      <c r="L100" s="26">
        <v>99089076.700000003</v>
      </c>
      <c r="M100" s="26">
        <v>10997548.550000001</v>
      </c>
      <c r="N100" s="26">
        <v>0</v>
      </c>
      <c r="O100" s="69">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69">
        <v>60175344.270000003</v>
      </c>
      <c r="E101" s="69">
        <v>59762561.57</v>
      </c>
      <c r="F101" s="26">
        <v>59585811.57</v>
      </c>
      <c r="G101" s="26">
        <v>176750</v>
      </c>
      <c r="H101" s="26">
        <v>0</v>
      </c>
      <c r="I101" s="26">
        <v>0</v>
      </c>
      <c r="J101" s="26">
        <v>0</v>
      </c>
      <c r="K101" s="69">
        <v>60168244.600000001</v>
      </c>
      <c r="L101" s="26">
        <v>56853723.600000001</v>
      </c>
      <c r="M101" s="26">
        <v>3314521</v>
      </c>
      <c r="N101" s="26">
        <v>0</v>
      </c>
      <c r="O101" s="69">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69">
        <v>266448206.41999999</v>
      </c>
      <c r="E102" s="69">
        <v>262720602.97999999</v>
      </c>
      <c r="F102" s="26">
        <v>259755878.97999999</v>
      </c>
      <c r="G102" s="26">
        <v>954500</v>
      </c>
      <c r="H102" s="26">
        <v>2010224</v>
      </c>
      <c r="I102" s="26">
        <v>0</v>
      </c>
      <c r="J102" s="26">
        <v>0</v>
      </c>
      <c r="K102" s="69">
        <v>265381808.86000001</v>
      </c>
      <c r="L102" s="26">
        <v>245755575.36000001</v>
      </c>
      <c r="M102" s="26">
        <v>18338433.600000001</v>
      </c>
      <c r="N102" s="26">
        <v>1287799.8999999999</v>
      </c>
      <c r="O102" s="69">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69">
        <v>85986090.109999999</v>
      </c>
      <c r="E103" s="69">
        <v>85239175.670000002</v>
      </c>
      <c r="F103" s="26">
        <v>85239175.670000002</v>
      </c>
      <c r="G103" s="26">
        <v>0</v>
      </c>
      <c r="H103" s="26">
        <v>0</v>
      </c>
      <c r="I103" s="26">
        <v>0</v>
      </c>
      <c r="J103" s="26">
        <v>0</v>
      </c>
      <c r="K103" s="69">
        <v>85986020.109999999</v>
      </c>
      <c r="L103" s="26">
        <v>76997403.040000007</v>
      </c>
      <c r="M103" s="26">
        <v>8988617.0700000003</v>
      </c>
      <c r="N103" s="26">
        <v>0</v>
      </c>
      <c r="O103" s="69">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69">
        <v>52123115.909999996</v>
      </c>
      <c r="E104" s="69">
        <v>50895512.649999999</v>
      </c>
      <c r="F104" s="26">
        <v>50895512.649999999</v>
      </c>
      <c r="G104" s="26">
        <v>0</v>
      </c>
      <c r="H104" s="26">
        <v>0</v>
      </c>
      <c r="I104" s="26">
        <v>0</v>
      </c>
      <c r="J104" s="26">
        <v>0</v>
      </c>
      <c r="K104" s="69">
        <v>51875575.850000001</v>
      </c>
      <c r="L104" s="26">
        <v>46475371.100000001</v>
      </c>
      <c r="M104" s="26">
        <v>5400204.75</v>
      </c>
      <c r="N104" s="26">
        <v>0</v>
      </c>
      <c r="O104" s="69">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69">
        <v>105535342.26000001</v>
      </c>
      <c r="E105" s="69">
        <v>105113291.28</v>
      </c>
      <c r="F105" s="26">
        <v>105113291.28</v>
      </c>
      <c r="G105" s="26">
        <v>0</v>
      </c>
      <c r="H105" s="26">
        <v>0</v>
      </c>
      <c r="I105" s="26">
        <v>0</v>
      </c>
      <c r="J105" s="26">
        <v>0</v>
      </c>
      <c r="K105" s="69">
        <v>104785342.26000001</v>
      </c>
      <c r="L105" s="26">
        <v>95157503.200000003</v>
      </c>
      <c r="M105" s="26">
        <v>9627839.0600000005</v>
      </c>
      <c r="N105" s="26">
        <v>0</v>
      </c>
      <c r="O105" s="69">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69">
        <v>41951713.719999999</v>
      </c>
      <c r="E106" s="69">
        <v>41311157.350000001</v>
      </c>
      <c r="F106" s="26">
        <v>41311157.350000001</v>
      </c>
      <c r="G106" s="26">
        <v>0</v>
      </c>
      <c r="H106" s="26">
        <v>0</v>
      </c>
      <c r="I106" s="26">
        <v>0</v>
      </c>
      <c r="J106" s="26">
        <v>0</v>
      </c>
      <c r="K106" s="69">
        <v>41951713.719999999</v>
      </c>
      <c r="L106" s="26">
        <v>35861852.530000001</v>
      </c>
      <c r="M106" s="26">
        <v>6089861.1900000004</v>
      </c>
      <c r="N106" s="26">
        <v>0</v>
      </c>
      <c r="O106" s="69">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69">
        <v>103560624.91</v>
      </c>
      <c r="E107" s="69">
        <v>103560624.91</v>
      </c>
      <c r="F107" s="26">
        <v>103560624.91</v>
      </c>
      <c r="G107" s="26">
        <v>0</v>
      </c>
      <c r="H107" s="26">
        <v>0</v>
      </c>
      <c r="I107" s="26">
        <v>0</v>
      </c>
      <c r="J107" s="26">
        <v>0</v>
      </c>
      <c r="K107" s="69">
        <v>103560624.91</v>
      </c>
      <c r="L107" s="26">
        <v>93830297.409999996</v>
      </c>
      <c r="M107" s="26">
        <v>9730327.5</v>
      </c>
      <c r="N107" s="26">
        <v>0</v>
      </c>
      <c r="O107" s="69">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69">
        <v>25922935.84</v>
      </c>
      <c r="E108" s="69">
        <v>25838658.100000001</v>
      </c>
      <c r="F108" s="26">
        <v>25838658.100000001</v>
      </c>
      <c r="G108" s="26">
        <v>0</v>
      </c>
      <c r="H108" s="26">
        <v>0</v>
      </c>
      <c r="I108" s="26">
        <v>0</v>
      </c>
      <c r="J108" s="26">
        <v>0</v>
      </c>
      <c r="K108" s="69">
        <v>25887790.210000001</v>
      </c>
      <c r="L108" s="26">
        <v>22236194.309999999</v>
      </c>
      <c r="M108" s="26">
        <v>3651595.9</v>
      </c>
      <c r="N108" s="26">
        <v>0</v>
      </c>
      <c r="O108" s="69">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69">
        <v>31553750.75</v>
      </c>
      <c r="E109" s="69">
        <v>31177556.23</v>
      </c>
      <c r="F109" s="26">
        <v>31177556.23</v>
      </c>
      <c r="G109" s="26">
        <v>0</v>
      </c>
      <c r="H109" s="26">
        <v>0</v>
      </c>
      <c r="I109" s="26">
        <v>0</v>
      </c>
      <c r="J109" s="26">
        <v>0</v>
      </c>
      <c r="K109" s="69">
        <v>31507859.780000001</v>
      </c>
      <c r="L109" s="26">
        <v>28507704.75</v>
      </c>
      <c r="M109" s="26">
        <v>3000155.03</v>
      </c>
      <c r="N109" s="26">
        <v>0</v>
      </c>
      <c r="O109" s="69">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69">
        <v>23721423.780000001</v>
      </c>
      <c r="E110" s="69">
        <v>23462045.670000002</v>
      </c>
      <c r="F110" s="26">
        <v>23462045.670000002</v>
      </c>
      <c r="G110" s="26">
        <v>0</v>
      </c>
      <c r="H110" s="26">
        <v>0</v>
      </c>
      <c r="I110" s="26">
        <v>0</v>
      </c>
      <c r="J110" s="26">
        <v>0</v>
      </c>
      <c r="K110" s="69">
        <v>23721423.780000001</v>
      </c>
      <c r="L110" s="26">
        <v>21452045.789999999</v>
      </c>
      <c r="M110" s="26">
        <v>2269377.9900000002</v>
      </c>
      <c r="N110" s="26">
        <v>0</v>
      </c>
      <c r="O110" s="69">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69">
        <v>29520188.059999999</v>
      </c>
      <c r="E111" s="69">
        <v>29421772.210000001</v>
      </c>
      <c r="F111" s="26">
        <v>29421772.210000001</v>
      </c>
      <c r="G111" s="26">
        <v>0</v>
      </c>
      <c r="H111" s="26">
        <v>0</v>
      </c>
      <c r="I111" s="26">
        <v>0</v>
      </c>
      <c r="J111" s="26">
        <v>0</v>
      </c>
      <c r="K111" s="69">
        <v>29495879.329999998</v>
      </c>
      <c r="L111" s="26">
        <v>28349743.960000001</v>
      </c>
      <c r="M111" s="26">
        <v>1146135.3700000001</v>
      </c>
      <c r="N111" s="26">
        <v>0</v>
      </c>
      <c r="O111" s="69">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69">
        <v>106816358.27</v>
      </c>
      <c r="E112" s="69">
        <v>105992333.22</v>
      </c>
      <c r="F112" s="26">
        <v>105992333.22</v>
      </c>
      <c r="G112" s="26">
        <v>0</v>
      </c>
      <c r="H112" s="26">
        <v>0</v>
      </c>
      <c r="I112" s="26">
        <v>0</v>
      </c>
      <c r="J112" s="26">
        <v>0</v>
      </c>
      <c r="K112" s="69">
        <v>106815009.92</v>
      </c>
      <c r="L112" s="26">
        <v>99602347.519999996</v>
      </c>
      <c r="M112" s="26">
        <v>7212662.4000000004</v>
      </c>
      <c r="N112" s="26">
        <v>0</v>
      </c>
      <c r="O112" s="69">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69">
        <v>26422509.940000001</v>
      </c>
      <c r="E113" s="69">
        <v>26178413</v>
      </c>
      <c r="F113" s="26">
        <v>26178413</v>
      </c>
      <c r="G113" s="26">
        <v>0</v>
      </c>
      <c r="H113" s="26">
        <v>0</v>
      </c>
      <c r="I113" s="26">
        <v>0</v>
      </c>
      <c r="J113" s="26">
        <v>0</v>
      </c>
      <c r="K113" s="69">
        <v>26422509.940000001</v>
      </c>
      <c r="L113" s="26">
        <v>22654887.059999999</v>
      </c>
      <c r="M113" s="26">
        <v>3767622.88</v>
      </c>
      <c r="N113" s="26">
        <v>0</v>
      </c>
      <c r="O113" s="69">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69">
        <v>34258987.359999999</v>
      </c>
      <c r="E114" s="69">
        <v>33687649.270000003</v>
      </c>
      <c r="F114" s="26">
        <v>33687649.270000003</v>
      </c>
      <c r="G114" s="26">
        <v>0</v>
      </c>
      <c r="H114" s="26">
        <v>0</v>
      </c>
      <c r="I114" s="26">
        <v>0</v>
      </c>
      <c r="J114" s="26">
        <v>0</v>
      </c>
      <c r="K114" s="69">
        <v>34258987.359999999</v>
      </c>
      <c r="L114" s="26">
        <v>31579969.399999999</v>
      </c>
      <c r="M114" s="26">
        <v>2679017.96</v>
      </c>
      <c r="N114" s="26">
        <v>0</v>
      </c>
      <c r="O114" s="69">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69">
        <v>74680244.730000004</v>
      </c>
      <c r="E115" s="69">
        <v>74091848.200000003</v>
      </c>
      <c r="F115" s="26">
        <v>74091848.200000003</v>
      </c>
      <c r="G115" s="26">
        <v>0</v>
      </c>
      <c r="H115" s="26">
        <v>0</v>
      </c>
      <c r="I115" s="26">
        <v>0</v>
      </c>
      <c r="J115" s="26">
        <v>0</v>
      </c>
      <c r="K115" s="69">
        <v>74209644.730000004</v>
      </c>
      <c r="L115" s="26">
        <v>65705414.729999997</v>
      </c>
      <c r="M115" s="26">
        <v>8504230</v>
      </c>
      <c r="N115" s="26">
        <v>0</v>
      </c>
      <c r="O115" s="69">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69">
        <v>28815090.5</v>
      </c>
      <c r="E116" s="69">
        <v>28660255.23</v>
      </c>
      <c r="F116" s="26">
        <v>28660255.23</v>
      </c>
      <c r="G116" s="26">
        <v>0</v>
      </c>
      <c r="H116" s="26">
        <v>0</v>
      </c>
      <c r="I116" s="26">
        <v>0</v>
      </c>
      <c r="J116" s="26">
        <v>0</v>
      </c>
      <c r="K116" s="69">
        <v>28809213.710000001</v>
      </c>
      <c r="L116" s="26">
        <v>26823715.850000001</v>
      </c>
      <c r="M116" s="26">
        <v>1985497.86</v>
      </c>
      <c r="N116" s="26">
        <v>0</v>
      </c>
      <c r="O116" s="69">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69">
        <v>47382386.109999999</v>
      </c>
      <c r="E117" s="69">
        <v>47019642.380000003</v>
      </c>
      <c r="F117" s="26">
        <v>47019642.380000003</v>
      </c>
      <c r="G117" s="26">
        <v>0</v>
      </c>
      <c r="H117" s="26">
        <v>0</v>
      </c>
      <c r="I117" s="26">
        <v>0</v>
      </c>
      <c r="J117" s="26">
        <v>0</v>
      </c>
      <c r="K117" s="69">
        <v>47382386.109999999</v>
      </c>
      <c r="L117" s="26">
        <v>42640543.149999999</v>
      </c>
      <c r="M117" s="26">
        <v>4741842.96</v>
      </c>
      <c r="N117" s="26">
        <v>0</v>
      </c>
      <c r="O117" s="69">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69">
        <v>29216573.09</v>
      </c>
      <c r="E118" s="69">
        <v>29035563.25</v>
      </c>
      <c r="F118" s="26">
        <v>29035563.25</v>
      </c>
      <c r="G118" s="26">
        <v>0</v>
      </c>
      <c r="H118" s="26">
        <v>0</v>
      </c>
      <c r="I118" s="26">
        <v>0</v>
      </c>
      <c r="J118" s="26">
        <v>0</v>
      </c>
      <c r="K118" s="69">
        <v>29166573.09</v>
      </c>
      <c r="L118" s="26">
        <v>26314960.129999999</v>
      </c>
      <c r="M118" s="26">
        <v>2851612.96</v>
      </c>
      <c r="N118" s="26">
        <v>0</v>
      </c>
      <c r="O118" s="69">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69">
        <v>59113164.859999999</v>
      </c>
      <c r="E119" s="69">
        <v>58993441.960000001</v>
      </c>
      <c r="F119" s="26">
        <v>58993441.960000001</v>
      </c>
      <c r="G119" s="26">
        <v>0</v>
      </c>
      <c r="H119" s="26">
        <v>0</v>
      </c>
      <c r="I119" s="26">
        <v>0</v>
      </c>
      <c r="J119" s="26">
        <v>0</v>
      </c>
      <c r="K119" s="69">
        <v>59113164.859999999</v>
      </c>
      <c r="L119" s="26">
        <v>55513945.619999997</v>
      </c>
      <c r="M119" s="26">
        <v>3599219.24</v>
      </c>
      <c r="N119" s="26">
        <v>0</v>
      </c>
      <c r="O119" s="69">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69">
        <v>48568478.380000003</v>
      </c>
      <c r="E120" s="69">
        <v>48135415.549999997</v>
      </c>
      <c r="F120" s="26">
        <v>48135415.549999997</v>
      </c>
      <c r="G120" s="26">
        <v>0</v>
      </c>
      <c r="H120" s="26">
        <v>0</v>
      </c>
      <c r="I120" s="26">
        <v>0</v>
      </c>
      <c r="J120" s="26">
        <v>0</v>
      </c>
      <c r="K120" s="69">
        <v>48567711.789999999</v>
      </c>
      <c r="L120" s="26">
        <v>45137010.07</v>
      </c>
      <c r="M120" s="26">
        <v>3430701.72</v>
      </c>
      <c r="N120" s="26">
        <v>0</v>
      </c>
      <c r="O120" s="69">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69">
        <v>22431743.140000001</v>
      </c>
      <c r="E121" s="69">
        <v>22285483.73</v>
      </c>
      <c r="F121" s="26">
        <v>22285483.73</v>
      </c>
      <c r="G121" s="26">
        <v>0</v>
      </c>
      <c r="H121" s="26">
        <v>0</v>
      </c>
      <c r="I121" s="26">
        <v>0</v>
      </c>
      <c r="J121" s="26">
        <v>0</v>
      </c>
      <c r="K121" s="69">
        <v>22431743.140000001</v>
      </c>
      <c r="L121" s="26">
        <v>20358158.079999998</v>
      </c>
      <c r="M121" s="26">
        <v>2073585.06</v>
      </c>
      <c r="N121" s="26">
        <v>0</v>
      </c>
      <c r="O121" s="69">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69">
        <v>27742747.199999999</v>
      </c>
      <c r="E122" s="69">
        <v>27437771.809999999</v>
      </c>
      <c r="F122" s="26">
        <v>27437771.809999999</v>
      </c>
      <c r="G122" s="26">
        <v>0</v>
      </c>
      <c r="H122" s="26">
        <v>0</v>
      </c>
      <c r="I122" s="26">
        <v>0</v>
      </c>
      <c r="J122" s="26">
        <v>0</v>
      </c>
      <c r="K122" s="69">
        <v>27707147.199999999</v>
      </c>
      <c r="L122" s="26">
        <v>25221442.640000001</v>
      </c>
      <c r="M122" s="26">
        <v>2485704.56</v>
      </c>
      <c r="N122" s="26">
        <v>0</v>
      </c>
      <c r="O122" s="69">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69">
        <v>34476483.979999997</v>
      </c>
      <c r="E123" s="69">
        <v>34469598.82</v>
      </c>
      <c r="F123" s="26">
        <v>34469598.82</v>
      </c>
      <c r="G123" s="26">
        <v>0</v>
      </c>
      <c r="H123" s="26">
        <v>0</v>
      </c>
      <c r="I123" s="26">
        <v>0</v>
      </c>
      <c r="J123" s="26">
        <v>0</v>
      </c>
      <c r="K123" s="69">
        <v>34356483.979999997</v>
      </c>
      <c r="L123" s="26">
        <v>32495841.079999998</v>
      </c>
      <c r="M123" s="26">
        <v>1860642.9</v>
      </c>
      <c r="N123" s="26">
        <v>0</v>
      </c>
      <c r="O123" s="69">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69">
        <v>25638547.91</v>
      </c>
      <c r="E124" s="69">
        <v>24968406.350000001</v>
      </c>
      <c r="F124" s="26">
        <v>24968406.350000001</v>
      </c>
      <c r="G124" s="26">
        <v>0</v>
      </c>
      <c r="H124" s="26">
        <v>0</v>
      </c>
      <c r="I124" s="26">
        <v>0</v>
      </c>
      <c r="J124" s="26">
        <v>0</v>
      </c>
      <c r="K124" s="69">
        <v>25188919.039999999</v>
      </c>
      <c r="L124" s="26">
        <v>23840946.350000001</v>
      </c>
      <c r="M124" s="26">
        <v>1347972.69</v>
      </c>
      <c r="N124" s="26">
        <v>0</v>
      </c>
      <c r="O124" s="69">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69">
        <v>34197536.049999997</v>
      </c>
      <c r="E125" s="69">
        <v>34118036.049999997</v>
      </c>
      <c r="F125" s="26">
        <v>34118036.049999997</v>
      </c>
      <c r="G125" s="26">
        <v>0</v>
      </c>
      <c r="H125" s="26">
        <v>0</v>
      </c>
      <c r="I125" s="26">
        <v>0</v>
      </c>
      <c r="J125" s="26">
        <v>0</v>
      </c>
      <c r="K125" s="69">
        <v>34197536.049999997</v>
      </c>
      <c r="L125" s="26">
        <v>26356509.920000002</v>
      </c>
      <c r="M125" s="26">
        <v>7841026.1299999999</v>
      </c>
      <c r="N125" s="26">
        <v>0</v>
      </c>
      <c r="O125" s="69">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69">
        <v>34490638.880000003</v>
      </c>
      <c r="E126" s="69">
        <v>34490638.880000003</v>
      </c>
      <c r="F126" s="26">
        <v>34490638.880000003</v>
      </c>
      <c r="G126" s="26">
        <v>0</v>
      </c>
      <c r="H126" s="26">
        <v>0</v>
      </c>
      <c r="I126" s="26">
        <v>0</v>
      </c>
      <c r="J126" s="26">
        <v>0</v>
      </c>
      <c r="K126" s="69">
        <v>34490638.880000003</v>
      </c>
      <c r="L126" s="26">
        <v>32074453.98</v>
      </c>
      <c r="M126" s="26">
        <v>2416184.9</v>
      </c>
      <c r="N126" s="26">
        <v>0</v>
      </c>
      <c r="O126" s="69">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69">
        <v>27981948.34</v>
      </c>
      <c r="E127" s="69">
        <v>27881948.34</v>
      </c>
      <c r="F127" s="26">
        <v>27881948.34</v>
      </c>
      <c r="G127" s="26">
        <v>0</v>
      </c>
      <c r="H127" s="26">
        <v>0</v>
      </c>
      <c r="I127" s="26">
        <v>0</v>
      </c>
      <c r="J127" s="26">
        <v>0</v>
      </c>
      <c r="K127" s="69">
        <v>27981948.34</v>
      </c>
      <c r="L127" s="26">
        <v>26490747.34</v>
      </c>
      <c r="M127" s="26">
        <v>1491201</v>
      </c>
      <c r="N127" s="26">
        <v>0</v>
      </c>
      <c r="O127" s="69">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69">
        <v>22925147.82</v>
      </c>
      <c r="E128" s="69">
        <v>22025147.82</v>
      </c>
      <c r="F128" s="26">
        <v>22025147.82</v>
      </c>
      <c r="G128" s="26">
        <v>0</v>
      </c>
      <c r="H128" s="26">
        <v>0</v>
      </c>
      <c r="I128" s="26">
        <v>0</v>
      </c>
      <c r="J128" s="26">
        <v>0</v>
      </c>
      <c r="K128" s="69">
        <v>22925147.82</v>
      </c>
      <c r="L128" s="26">
        <v>20605962.82</v>
      </c>
      <c r="M128" s="26">
        <v>2319185</v>
      </c>
      <c r="N128" s="26">
        <v>0</v>
      </c>
      <c r="O128" s="69">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69">
        <v>25875567.760000002</v>
      </c>
      <c r="E129" s="69">
        <v>25875567.760000002</v>
      </c>
      <c r="F129" s="26">
        <v>25875567.760000002</v>
      </c>
      <c r="G129" s="26">
        <v>0</v>
      </c>
      <c r="H129" s="26">
        <v>0</v>
      </c>
      <c r="I129" s="26">
        <v>0</v>
      </c>
      <c r="J129" s="26">
        <v>0</v>
      </c>
      <c r="K129" s="69">
        <v>25875567.760000002</v>
      </c>
      <c r="L129" s="26">
        <v>23329892.370000001</v>
      </c>
      <c r="M129" s="26">
        <v>2545675.39</v>
      </c>
      <c r="N129" s="26">
        <v>0</v>
      </c>
      <c r="O129" s="69">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69">
        <v>22629275.809999999</v>
      </c>
      <c r="E130" s="69">
        <v>22509275.809999999</v>
      </c>
      <c r="F130" s="26">
        <v>22509275.809999999</v>
      </c>
      <c r="G130" s="26">
        <v>0</v>
      </c>
      <c r="H130" s="26">
        <v>0</v>
      </c>
      <c r="I130" s="26">
        <v>0</v>
      </c>
      <c r="J130" s="26">
        <v>0</v>
      </c>
      <c r="K130" s="69">
        <v>22629275.809999999</v>
      </c>
      <c r="L130" s="26">
        <v>21193213.809999999</v>
      </c>
      <c r="M130" s="26">
        <v>1436062</v>
      </c>
      <c r="N130" s="26">
        <v>0</v>
      </c>
      <c r="O130" s="69">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69">
        <v>26408897.870000001</v>
      </c>
      <c r="E131" s="69">
        <v>26408897.870000001</v>
      </c>
      <c r="F131" s="26">
        <v>26408897.870000001</v>
      </c>
      <c r="G131" s="26">
        <v>0</v>
      </c>
      <c r="H131" s="26">
        <v>0</v>
      </c>
      <c r="I131" s="26">
        <v>0</v>
      </c>
      <c r="J131" s="26">
        <v>0</v>
      </c>
      <c r="K131" s="69">
        <v>26408897.870000001</v>
      </c>
      <c r="L131" s="26">
        <v>22064985.379999999</v>
      </c>
      <c r="M131" s="26">
        <v>4343912.49</v>
      </c>
      <c r="N131" s="26">
        <v>0</v>
      </c>
      <c r="O131" s="69">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69">
        <v>33552166.989999998</v>
      </c>
      <c r="E132" s="69">
        <v>33425551.93</v>
      </c>
      <c r="F132" s="26">
        <v>33425551.93</v>
      </c>
      <c r="G132" s="26">
        <v>0</v>
      </c>
      <c r="H132" s="26">
        <v>0</v>
      </c>
      <c r="I132" s="26">
        <v>0</v>
      </c>
      <c r="J132" s="26">
        <v>0</v>
      </c>
      <c r="K132" s="69">
        <v>33552166.989999998</v>
      </c>
      <c r="L132" s="26">
        <v>27837942.870000001</v>
      </c>
      <c r="M132" s="26">
        <v>5714224.1200000001</v>
      </c>
      <c r="N132" s="26">
        <v>0</v>
      </c>
      <c r="O132" s="69">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69">
        <v>19078690.039999999</v>
      </c>
      <c r="E133" s="69">
        <v>19078690.039999999</v>
      </c>
      <c r="F133" s="26">
        <v>19078690.039999999</v>
      </c>
      <c r="G133" s="26">
        <v>0</v>
      </c>
      <c r="H133" s="26">
        <v>0</v>
      </c>
      <c r="I133" s="26">
        <v>0</v>
      </c>
      <c r="J133" s="26">
        <v>0</v>
      </c>
      <c r="K133" s="69">
        <v>19078690.039999999</v>
      </c>
      <c r="L133" s="26">
        <v>14308904.58</v>
      </c>
      <c r="M133" s="26">
        <v>4769785.46</v>
      </c>
      <c r="N133" s="26">
        <v>0</v>
      </c>
      <c r="O133" s="69">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69">
        <v>42447232.030000001</v>
      </c>
      <c r="E134" s="69">
        <v>41564332.030000001</v>
      </c>
      <c r="F134" s="26">
        <v>41564332.030000001</v>
      </c>
      <c r="G134" s="26">
        <v>0</v>
      </c>
      <c r="H134" s="26">
        <v>0</v>
      </c>
      <c r="I134" s="26">
        <v>0</v>
      </c>
      <c r="J134" s="26">
        <v>0</v>
      </c>
      <c r="K134" s="69">
        <v>42447232.030000001</v>
      </c>
      <c r="L134" s="26">
        <v>24895249.870000001</v>
      </c>
      <c r="M134" s="26">
        <v>17551982.16</v>
      </c>
      <c r="N134" s="26">
        <v>0</v>
      </c>
      <c r="O134" s="69">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69">
        <v>13014173.789999999</v>
      </c>
      <c r="E135" s="69">
        <v>13014173.789999999</v>
      </c>
      <c r="F135" s="26">
        <v>13014173.789999999</v>
      </c>
      <c r="G135" s="26">
        <v>0</v>
      </c>
      <c r="H135" s="26">
        <v>0</v>
      </c>
      <c r="I135" s="26">
        <v>0</v>
      </c>
      <c r="J135" s="26">
        <v>0</v>
      </c>
      <c r="K135" s="69">
        <v>13014173.789999999</v>
      </c>
      <c r="L135" s="26">
        <v>12245895.6</v>
      </c>
      <c r="M135" s="26">
        <v>768278.19</v>
      </c>
      <c r="N135" s="26">
        <v>0</v>
      </c>
      <c r="O135" s="69">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69">
        <v>13811647.4</v>
      </c>
      <c r="E136" s="69">
        <v>13811647.4</v>
      </c>
      <c r="F136" s="26">
        <v>13811647.4</v>
      </c>
      <c r="G136" s="26">
        <v>0</v>
      </c>
      <c r="H136" s="26">
        <v>0</v>
      </c>
      <c r="I136" s="26">
        <v>0</v>
      </c>
      <c r="J136" s="26">
        <v>0</v>
      </c>
      <c r="K136" s="69">
        <v>13811647.4</v>
      </c>
      <c r="L136" s="26">
        <v>12612412.99</v>
      </c>
      <c r="M136" s="26">
        <v>1199234.4099999999</v>
      </c>
      <c r="N136" s="26">
        <v>0</v>
      </c>
      <c r="O136" s="69">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69">
        <v>11842605.939999999</v>
      </c>
      <c r="E137" s="69">
        <v>11842605.939999999</v>
      </c>
      <c r="F137" s="26">
        <v>11842605.939999999</v>
      </c>
      <c r="G137" s="26">
        <v>0</v>
      </c>
      <c r="H137" s="26">
        <v>0</v>
      </c>
      <c r="I137" s="26">
        <v>0</v>
      </c>
      <c r="J137" s="26">
        <v>0</v>
      </c>
      <c r="K137" s="69">
        <v>11842605.939999999</v>
      </c>
      <c r="L137" s="26">
        <v>10972642.83</v>
      </c>
      <c r="M137" s="26">
        <v>869963.11</v>
      </c>
      <c r="N137" s="26">
        <v>0</v>
      </c>
      <c r="O137" s="69">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69">
        <v>29183786.52</v>
      </c>
      <c r="E138" s="69">
        <v>29038969.890000001</v>
      </c>
      <c r="F138" s="26">
        <v>28071393.129999999</v>
      </c>
      <c r="G138" s="26">
        <v>690836</v>
      </c>
      <c r="H138" s="26">
        <v>0</v>
      </c>
      <c r="I138" s="26">
        <v>0</v>
      </c>
      <c r="J138" s="26">
        <v>276740.76</v>
      </c>
      <c r="K138" s="69">
        <v>29183786.52</v>
      </c>
      <c r="L138" s="26">
        <v>26974364.289999999</v>
      </c>
      <c r="M138" s="26">
        <v>2209422.23</v>
      </c>
      <c r="N138" s="26">
        <v>0</v>
      </c>
      <c r="O138" s="69">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69">
        <v>11049702.810000001</v>
      </c>
      <c r="E139" s="69">
        <v>11049702.810000001</v>
      </c>
      <c r="F139" s="26">
        <v>10437922.75</v>
      </c>
      <c r="G139" s="26">
        <v>578954.80000000005</v>
      </c>
      <c r="H139" s="26">
        <v>0</v>
      </c>
      <c r="I139" s="26">
        <v>0</v>
      </c>
      <c r="J139" s="26">
        <v>32825.26</v>
      </c>
      <c r="K139" s="69">
        <v>11049702.810000001</v>
      </c>
      <c r="L139" s="26">
        <v>8999257.3200000003</v>
      </c>
      <c r="M139" s="26">
        <v>2050445.49</v>
      </c>
      <c r="N139" s="26">
        <v>0</v>
      </c>
      <c r="O139" s="69">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69">
        <v>38187466.770000003</v>
      </c>
      <c r="E140" s="69">
        <v>38187466.770000003</v>
      </c>
      <c r="F140" s="26">
        <v>38187466.770000003</v>
      </c>
      <c r="G140" s="26">
        <v>0</v>
      </c>
      <c r="H140" s="26">
        <v>0</v>
      </c>
      <c r="I140" s="26">
        <v>0</v>
      </c>
      <c r="J140" s="26">
        <v>0</v>
      </c>
      <c r="K140" s="69">
        <v>38187466.770000003</v>
      </c>
      <c r="L140" s="26">
        <v>31771686.789999999</v>
      </c>
      <c r="M140" s="26">
        <v>6415779.9800000004</v>
      </c>
      <c r="N140" s="26">
        <v>0</v>
      </c>
      <c r="O140" s="69">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69">
        <v>21159845.43</v>
      </c>
      <c r="E141" s="69">
        <v>21025811.43</v>
      </c>
      <c r="F141" s="26">
        <v>21025811.43</v>
      </c>
      <c r="G141" s="26">
        <v>0</v>
      </c>
      <c r="H141" s="26">
        <v>0</v>
      </c>
      <c r="I141" s="26">
        <v>0</v>
      </c>
      <c r="J141" s="26">
        <v>0</v>
      </c>
      <c r="K141" s="69">
        <v>21159845.43</v>
      </c>
      <c r="L141" s="26">
        <v>16447814.449999999</v>
      </c>
      <c r="M141" s="26">
        <v>4712030.9800000004</v>
      </c>
      <c r="N141" s="26">
        <v>0</v>
      </c>
      <c r="O141" s="69">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69">
        <v>22529148.890000001</v>
      </c>
      <c r="E142" s="69">
        <v>22527315.969999999</v>
      </c>
      <c r="F142" s="26">
        <v>22527315.969999999</v>
      </c>
      <c r="G142" s="26">
        <v>0</v>
      </c>
      <c r="H142" s="26">
        <v>0</v>
      </c>
      <c r="I142" s="26">
        <v>0</v>
      </c>
      <c r="J142" s="26">
        <v>0</v>
      </c>
      <c r="K142" s="69">
        <v>21729148.890000001</v>
      </c>
      <c r="L142" s="26">
        <v>15259631.890000001</v>
      </c>
      <c r="M142" s="26">
        <v>6469517</v>
      </c>
      <c r="N142" s="26">
        <v>0</v>
      </c>
      <c r="O142" s="69">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69">
        <v>13181978.67</v>
      </c>
      <c r="E143" s="69">
        <v>13181978.67</v>
      </c>
      <c r="F143" s="26">
        <v>13181978.67</v>
      </c>
      <c r="G143" s="26">
        <v>0</v>
      </c>
      <c r="H143" s="26">
        <v>0</v>
      </c>
      <c r="I143" s="26">
        <v>0</v>
      </c>
      <c r="J143" s="26">
        <v>0</v>
      </c>
      <c r="K143" s="69">
        <v>13181978.67</v>
      </c>
      <c r="L143" s="26">
        <v>11200974.17</v>
      </c>
      <c r="M143" s="26">
        <v>1981004.5</v>
      </c>
      <c r="N143" s="26">
        <v>0</v>
      </c>
      <c r="O143" s="69">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69">
        <v>7789429.5599999996</v>
      </c>
      <c r="E144" s="69">
        <v>7789429.5599999996</v>
      </c>
      <c r="F144" s="26">
        <v>7789429.5599999996</v>
      </c>
      <c r="G144" s="26">
        <v>0</v>
      </c>
      <c r="H144" s="26">
        <v>0</v>
      </c>
      <c r="I144" s="26">
        <v>0</v>
      </c>
      <c r="J144" s="26">
        <v>0</v>
      </c>
      <c r="K144" s="69">
        <v>7789429.5599999996</v>
      </c>
      <c r="L144" s="26">
        <v>6435274.9699999997</v>
      </c>
      <c r="M144" s="26">
        <v>1354154.59</v>
      </c>
      <c r="N144" s="26">
        <v>0</v>
      </c>
      <c r="O144" s="69">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69">
        <v>889188954.75</v>
      </c>
      <c r="E145" s="69">
        <v>889188954.75</v>
      </c>
      <c r="F145" s="26">
        <v>875814900.45000005</v>
      </c>
      <c r="G145" s="26">
        <v>0</v>
      </c>
      <c r="H145" s="26">
        <v>0</v>
      </c>
      <c r="I145" s="26">
        <v>0</v>
      </c>
      <c r="J145" s="26">
        <v>13374054.300000001</v>
      </c>
      <c r="K145" s="69">
        <v>840265397.87</v>
      </c>
      <c r="L145" s="26">
        <v>35573702.109999999</v>
      </c>
      <c r="M145" s="26">
        <v>804691695.75999999</v>
      </c>
      <c r="N145" s="26">
        <v>0</v>
      </c>
      <c r="O145" s="69">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69">
        <v>67941300.219999999</v>
      </c>
      <c r="E146" s="69">
        <v>67941300.219999999</v>
      </c>
      <c r="F146" s="26">
        <v>67941300.219999999</v>
      </c>
      <c r="G146" s="26">
        <v>0</v>
      </c>
      <c r="H146" s="26">
        <v>0</v>
      </c>
      <c r="I146" s="26">
        <v>0</v>
      </c>
      <c r="J146" s="26">
        <v>0</v>
      </c>
      <c r="K146" s="69">
        <v>67941300.219999999</v>
      </c>
      <c r="L146" s="26">
        <v>66179493.159999996</v>
      </c>
      <c r="M146" s="26">
        <v>1761807.06</v>
      </c>
      <c r="N146" s="26">
        <v>0</v>
      </c>
      <c r="O146" s="69">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69">
        <v>46456477.57</v>
      </c>
      <c r="E147" s="69">
        <v>46237237.310000002</v>
      </c>
      <c r="F147" s="26">
        <v>46145445.310000002</v>
      </c>
      <c r="G147" s="26">
        <v>91792</v>
      </c>
      <c r="H147" s="26">
        <v>0</v>
      </c>
      <c r="I147" s="26">
        <v>0</v>
      </c>
      <c r="J147" s="26">
        <v>0</v>
      </c>
      <c r="K147" s="69">
        <v>46448428</v>
      </c>
      <c r="L147" s="26">
        <v>41942050.869999997</v>
      </c>
      <c r="M147" s="26">
        <v>4506377.13</v>
      </c>
      <c r="N147" s="26">
        <v>0</v>
      </c>
      <c r="O147" s="69">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69">
        <v>45356359.909999996</v>
      </c>
      <c r="E148" s="69">
        <v>45217472.960000001</v>
      </c>
      <c r="F148" s="26">
        <v>44998502.960000001</v>
      </c>
      <c r="G148" s="26">
        <v>218970</v>
      </c>
      <c r="H148" s="26">
        <v>0</v>
      </c>
      <c r="I148" s="26">
        <v>0</v>
      </c>
      <c r="J148" s="26">
        <v>0</v>
      </c>
      <c r="K148" s="69">
        <v>45356359.909999996</v>
      </c>
      <c r="L148" s="26">
        <v>42036276.689999998</v>
      </c>
      <c r="M148" s="26">
        <v>3320083.22</v>
      </c>
      <c r="N148" s="26">
        <v>0</v>
      </c>
      <c r="O148" s="69">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69">
        <v>59007017.460000001</v>
      </c>
      <c r="E149" s="69">
        <v>59007017.460000001</v>
      </c>
      <c r="F149" s="26">
        <v>59007017.460000001</v>
      </c>
      <c r="G149" s="26">
        <v>0</v>
      </c>
      <c r="H149" s="26">
        <v>0</v>
      </c>
      <c r="I149" s="26">
        <v>0</v>
      </c>
      <c r="J149" s="26">
        <v>0</v>
      </c>
      <c r="K149" s="69">
        <v>59007017.460000001</v>
      </c>
      <c r="L149" s="26">
        <v>13008574.67</v>
      </c>
      <c r="M149" s="26">
        <v>45998442.789999999</v>
      </c>
      <c r="N149" s="26">
        <v>0</v>
      </c>
      <c r="O149" s="69">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69">
        <v>18354605.129999999</v>
      </c>
      <c r="E150" s="69">
        <v>18354605.129999999</v>
      </c>
      <c r="F150" s="26">
        <v>18354605.129999999</v>
      </c>
      <c r="G150" s="26">
        <v>0</v>
      </c>
      <c r="H150" s="26">
        <v>0</v>
      </c>
      <c r="I150" s="26">
        <v>0</v>
      </c>
      <c r="J150" s="26">
        <v>0</v>
      </c>
      <c r="K150" s="69">
        <v>18354605.129999999</v>
      </c>
      <c r="L150" s="26">
        <v>17251058.02</v>
      </c>
      <c r="M150" s="26">
        <v>1103547.1100000001</v>
      </c>
      <c r="N150" s="26">
        <v>0</v>
      </c>
      <c r="O150" s="69">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69">
        <v>13029864.33</v>
      </c>
      <c r="E151" s="69">
        <v>13029864.33</v>
      </c>
      <c r="F151" s="26">
        <v>13029864.33</v>
      </c>
      <c r="G151" s="26">
        <v>0</v>
      </c>
      <c r="H151" s="26">
        <v>0</v>
      </c>
      <c r="I151" s="26">
        <v>0</v>
      </c>
      <c r="J151" s="26">
        <v>0</v>
      </c>
      <c r="K151" s="69">
        <v>13029864.33</v>
      </c>
      <c r="L151" s="26">
        <v>12288689.58</v>
      </c>
      <c r="M151" s="26">
        <v>741174.75</v>
      </c>
      <c r="N151" s="26">
        <v>0</v>
      </c>
      <c r="O151" s="69">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69">
        <v>28281224.190000001</v>
      </c>
      <c r="E152" s="69">
        <v>28193487.120000001</v>
      </c>
      <c r="F152" s="26">
        <v>28193487.120000001</v>
      </c>
      <c r="G152" s="26">
        <v>0</v>
      </c>
      <c r="H152" s="26">
        <v>0</v>
      </c>
      <c r="I152" s="26">
        <v>0</v>
      </c>
      <c r="J152" s="26">
        <v>0</v>
      </c>
      <c r="K152" s="69">
        <v>28281205.190000001</v>
      </c>
      <c r="L152" s="26">
        <v>25727302.530000001</v>
      </c>
      <c r="M152" s="26">
        <v>2553902.66</v>
      </c>
      <c r="N152" s="26">
        <v>0</v>
      </c>
      <c r="O152" s="69">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69">
        <v>22370924.09</v>
      </c>
      <c r="E153" s="69">
        <v>22320924.09</v>
      </c>
      <c r="F153" s="26">
        <v>22320924.09</v>
      </c>
      <c r="G153" s="26">
        <v>0</v>
      </c>
      <c r="H153" s="26">
        <v>0</v>
      </c>
      <c r="I153" s="26">
        <v>0</v>
      </c>
      <c r="J153" s="26">
        <v>0</v>
      </c>
      <c r="K153" s="69">
        <v>22370924.09</v>
      </c>
      <c r="L153" s="26">
        <v>21255723.66</v>
      </c>
      <c r="M153" s="26">
        <v>1115200.43</v>
      </c>
      <c r="N153" s="26">
        <v>0</v>
      </c>
      <c r="O153" s="69">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69">
        <v>12181177.050000001</v>
      </c>
      <c r="E154" s="69">
        <v>12120177.050000001</v>
      </c>
      <c r="F154" s="26">
        <v>12120177.050000001</v>
      </c>
      <c r="G154" s="26">
        <v>0</v>
      </c>
      <c r="H154" s="26">
        <v>0</v>
      </c>
      <c r="I154" s="26">
        <v>0</v>
      </c>
      <c r="J154" s="26">
        <v>0</v>
      </c>
      <c r="K154" s="69">
        <v>12181177.050000001</v>
      </c>
      <c r="L154" s="26">
        <v>11215947.050000001</v>
      </c>
      <c r="M154" s="26">
        <v>965230</v>
      </c>
      <c r="N154" s="26">
        <v>0</v>
      </c>
      <c r="O154" s="69">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69">
        <v>10693843.289999999</v>
      </c>
      <c r="E155" s="69">
        <v>10483897.689999999</v>
      </c>
      <c r="F155" s="26">
        <v>10483897.689999999</v>
      </c>
      <c r="G155" s="26">
        <v>0</v>
      </c>
      <c r="H155" s="26">
        <v>0</v>
      </c>
      <c r="I155" s="26">
        <v>0</v>
      </c>
      <c r="J155" s="26">
        <v>0</v>
      </c>
      <c r="K155" s="69">
        <v>10693843.289999999</v>
      </c>
      <c r="L155" s="26">
        <v>9554326.6899999995</v>
      </c>
      <c r="M155" s="26">
        <v>1139516.6000000001</v>
      </c>
      <c r="N155" s="26">
        <v>0</v>
      </c>
      <c r="O155" s="69">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69">
        <v>7500126.6299999999</v>
      </c>
      <c r="E156" s="69">
        <v>6475398.6299999999</v>
      </c>
      <c r="F156" s="26">
        <v>6475398.6299999999</v>
      </c>
      <c r="G156" s="26">
        <v>0</v>
      </c>
      <c r="H156" s="26">
        <v>0</v>
      </c>
      <c r="I156" s="26">
        <v>0</v>
      </c>
      <c r="J156" s="26">
        <v>0</v>
      </c>
      <c r="K156" s="69">
        <v>7500126.6299999999</v>
      </c>
      <c r="L156" s="26">
        <v>5043097.45</v>
      </c>
      <c r="M156" s="26">
        <v>2457029.1800000002</v>
      </c>
      <c r="N156" s="26">
        <v>0</v>
      </c>
      <c r="O156" s="69">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69">
        <v>9971971.4600000009</v>
      </c>
      <c r="E157" s="69">
        <v>8171971.46</v>
      </c>
      <c r="F157" s="26">
        <v>8171971.46</v>
      </c>
      <c r="G157" s="26">
        <v>0</v>
      </c>
      <c r="H157" s="26">
        <v>0</v>
      </c>
      <c r="I157" s="26">
        <v>0</v>
      </c>
      <c r="J157" s="26">
        <v>0</v>
      </c>
      <c r="K157" s="69">
        <v>9971971.4600000009</v>
      </c>
      <c r="L157" s="26">
        <v>7593491.8200000003</v>
      </c>
      <c r="M157" s="26">
        <v>2378479.64</v>
      </c>
      <c r="N157" s="26">
        <v>0</v>
      </c>
      <c r="O157" s="69">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69">
        <v>2835175.33</v>
      </c>
      <c r="E158" s="69">
        <v>2835175.33</v>
      </c>
      <c r="F158" s="26">
        <v>2835175.33</v>
      </c>
      <c r="G158" s="26">
        <v>0</v>
      </c>
      <c r="H158" s="26">
        <v>0</v>
      </c>
      <c r="I158" s="26">
        <v>0</v>
      </c>
      <c r="J158" s="26">
        <v>0</v>
      </c>
      <c r="K158" s="69">
        <v>2835175.33</v>
      </c>
      <c r="L158" s="26">
        <v>2717542.77</v>
      </c>
      <c r="M158" s="26">
        <v>117632.56</v>
      </c>
      <c r="N158" s="26">
        <v>0</v>
      </c>
      <c r="O158" s="69">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69">
        <v>146566.88</v>
      </c>
      <c r="E159" s="69">
        <v>146566.88</v>
      </c>
      <c r="F159" s="26">
        <v>146566.88</v>
      </c>
      <c r="G159" s="26">
        <v>0</v>
      </c>
      <c r="H159" s="26">
        <v>0</v>
      </c>
      <c r="I159" s="26">
        <v>0</v>
      </c>
      <c r="J159" s="26">
        <v>0</v>
      </c>
      <c r="K159" s="69">
        <v>146566.88</v>
      </c>
      <c r="L159" s="26">
        <v>146566.88</v>
      </c>
      <c r="M159" s="26">
        <v>0</v>
      </c>
      <c r="N159" s="26">
        <v>0</v>
      </c>
      <c r="O159" s="69">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69">
        <v>4034167.53</v>
      </c>
      <c r="E160" s="69">
        <v>4034167.53</v>
      </c>
      <c r="F160" s="26">
        <v>4034167.53</v>
      </c>
      <c r="G160" s="26">
        <v>0</v>
      </c>
      <c r="H160" s="26">
        <v>0</v>
      </c>
      <c r="I160" s="26">
        <v>0</v>
      </c>
      <c r="J160" s="26">
        <v>0</v>
      </c>
      <c r="K160" s="69">
        <v>4034167.53</v>
      </c>
      <c r="L160" s="26">
        <v>2611962.4300000002</v>
      </c>
      <c r="M160" s="26">
        <v>1422205.1</v>
      </c>
      <c r="N160" s="26">
        <v>0</v>
      </c>
      <c r="O160" s="69">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69">
        <v>4665551.51</v>
      </c>
      <c r="E161" s="69">
        <v>4657318.51</v>
      </c>
      <c r="F161" s="26">
        <v>4657318.51</v>
      </c>
      <c r="G161" s="26">
        <v>0</v>
      </c>
      <c r="H161" s="26">
        <v>0</v>
      </c>
      <c r="I161" s="26">
        <v>0</v>
      </c>
      <c r="J161" s="26">
        <v>0</v>
      </c>
      <c r="K161" s="69">
        <v>4665551.51</v>
      </c>
      <c r="L161" s="26">
        <v>3309475.73</v>
      </c>
      <c r="M161" s="26">
        <v>1356075.78</v>
      </c>
      <c r="N161" s="26">
        <v>0</v>
      </c>
      <c r="O161" s="69">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298</v>
      </c>
      <c r="C162" s="26">
        <v>17373</v>
      </c>
      <c r="D162" s="69">
        <v>9486011584.9200001</v>
      </c>
      <c r="E162" s="69">
        <v>9404812669.4899998</v>
      </c>
      <c r="F162" s="26">
        <v>9297927747.8600006</v>
      </c>
      <c r="G162" s="26">
        <v>20655365.800000001</v>
      </c>
      <c r="H162" s="26">
        <v>60265793.43</v>
      </c>
      <c r="I162" s="26">
        <v>4600000</v>
      </c>
      <c r="J162" s="26">
        <v>21363762.399999999</v>
      </c>
      <c r="K162" s="69">
        <v>9409592020.7999992</v>
      </c>
      <c r="L162" s="26">
        <v>7206005275.6700001</v>
      </c>
      <c r="M162" s="26">
        <v>2145026138.8399999</v>
      </c>
      <c r="N162" s="26">
        <v>58560606.289999999</v>
      </c>
      <c r="O162" s="69">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244</v>
      </c>
      <c r="B1" s="22" t="s">
        <v>245</v>
      </c>
      <c r="C1" s="22" t="s">
        <v>299</v>
      </c>
      <c r="D1" s="22" t="s">
        <v>300</v>
      </c>
      <c r="E1" s="22" t="s">
        <v>301</v>
      </c>
      <c r="F1" s="22" t="s">
        <v>302</v>
      </c>
    </row>
    <row r="2" spans="1:6">
      <c r="A2" s="24">
        <v>255001</v>
      </c>
      <c r="B2" s="25" t="s">
        <v>296</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303</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304</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305</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306</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cp:lastPrinted>2022-08-25T04:56:47Z</cp:lastPrinted>
  <dcterms:created xsi:type="dcterms:W3CDTF">2021-08-26T09:47:38Z</dcterms:created>
  <dcterms:modified xsi:type="dcterms:W3CDTF">2022-08-31T08:05:26Z</dcterms:modified>
</cp:coreProperties>
</file>