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杜 办公资料\dxm02\2022\2022.09.02决算公开资料\255116-北京市第四十三中学-上报决算信息公开资料\"/>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<sst xmlns="http://schemas.openxmlformats.org/spreadsheetml/2006/main" count="4861" uniqueCount="486">
  <si>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</si>
  <si>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</si>
  <si>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</si>
  <si>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</si>
  <si>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</si>
  <si>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</si>
  <si>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</si>
  <si>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</si>
  <si>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</si>
  <si>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</si>
  <si>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</si>
  <si>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</si>
  <si>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</si>
  <si>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</si>
  <si>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</si>
  <si>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</si>
  <si>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</si>
  <si>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</si>
  <si>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</si>
  <si>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</si>
  <si>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</si>
  <si>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</si>
  <si>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</si>
  <si>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</si>
  <si>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</si>
  <si>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</si>
  <si>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</si>
  <si>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</si>
  <si>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</si>
  <si>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</si>
  <si>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</si>
  <si>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</si>
  <si>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</si>
  <si>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</si>
  <si>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</si>
  <si>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</si>
  <si>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</si>
  <si>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</si>
  <si>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</si>
  <si>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</si>
  <si>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</si>
  <si>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</si>
  <si>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</si>
  <si>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</si>
  <si>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</si>
  <si>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</si>
  <si>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</si>
  <si>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</si>
  <si>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</si>
  <si>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</si>
  <si>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</si>
  <si>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</si>
  <si>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</si>
  <si>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</si>
  <si>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</si>
  <si>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</si>
  <si>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</si>
  <si>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</si>
  <si>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</si>
  <si>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</si>
  <si>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</si>
  <si>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</si>
  <si>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</si>
  <si>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</si>
  <si>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</si>
  <si>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</si>
  <si>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</si>
  <si>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</si>
  <si>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</si>
  <si>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</si>
  <si>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</si>
  <si>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</si>
  <si>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</si>
  <si>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</si>
  <si>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</si>
  <si>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</si>
  <si>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</si>
  <si>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</si>
  <si>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</si>
  <si>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</si>
  <si>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</si>
  <si>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</si>
  <si>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</si>
  <si>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</si>
  <si>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</si>
  <si>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</si>
  <si>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</si>
  <si>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</si>
  <si>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</si>
  <si>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</si>
  <si>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</si>
  <si>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</si>
  <si>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</si>
  <si>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</si>
  <si>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</si>
  <si>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</si>
  <si>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</si>
  <si>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</si>
  <si>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</si>
  <si>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</si>
  <si>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</si>
  <si>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</si>
  <si>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</si>
  <si>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</si>
  <si>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</si>
  <si>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</si>
  <si>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</si>
  <si>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</si>
  <si>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</si>
  <si>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</si>
  <si>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</si>
  <si>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</si>
  <si>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</si>
  <si>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</si>
  <si>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</si>
  <si>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</si>
  <si>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</si>
  <si>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</si>
  <si>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</si>
  <si>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</si>
  <si>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</si>
  <si>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</si>
  <si>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</si>
  <si>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</si>
  <si>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</si>
  <si>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</si>
  <si>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</si>
  <si>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</si>
  <si>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</si>
  <si>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</si>
  <si>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</si>
  <si>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</si>
  <si>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</si>
  <si>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</si>
  <si>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</si>
  <si>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</si>
  <si>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</si>
  <si>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</si>
  <si>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</si>
  <si>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</si>
  <si>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</si>
  <si>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</si>
  <si>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</si>
  <si>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</si>
  <si>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</si>
  <si>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</si>
  <si>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</si>
  <si>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</si>
  <si>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</si>
  <si>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</si>
  <si>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</si>
  <si>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</si>
  <si>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</si>
  <si>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</si>
  <si>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</si>
  <si>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</si>
  <si>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</si>
  <si>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</si>
  <si>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</si>
  <si>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</si>
  <si>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</si>
  <si>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</si>
  <si>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</si>
  <si>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</si>
  <si>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</si>
  <si>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</si>
  <si>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</si>
  <si>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</si>
  <si>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</si>
  <si>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</si>
  <si>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</si>
  <si>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</si>
  <si>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</si>
  <si>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</si>
  <si>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</si>
  <si>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</si>
  <si>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</si>
  <si>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</si>
  <si>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</si>
  <si>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</si>
  <si>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</si>
  <si>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</si>
  <si>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</si>
  <si>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</si>
  <si>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</si>
  <si>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</si>
  <si>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</si>
  <si>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</si>
  <si>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</si>
  <si>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</si>
  <si>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</si>
  <si>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</si>
  <si>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</si>
  <si>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</si>
  <si>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</si>
  <si>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</si>
  <si>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</si>
  <si>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</si>
  <si>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</si>
  <si>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</si>
  <si>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</si>
  <si>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</si>
  <si>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</si>
  <si>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</si>
  <si>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</si>
  <si>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</si>
  <si>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</si>
  <si>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</si>
  <si>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</si>
  <si>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</si>
  <si>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</si>
  <si>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</si>
  <si>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</si>
  <si>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</si>
  <si>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</si>
  <si>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</si>
  <si>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</si>
  <si>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</si>
  <si>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</si>
  <si>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</si>
  <si>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</si>
  <si>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</si>
  <si>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</si>
  <si>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</si>
  <si>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</si>
  <si>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</si>
  <si>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</si>
  <si>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</si>
  <si>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</si>
  <si>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</si>
  <si>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</si>
  <si>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</si>
  <si>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</si>
  <si>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</si>
  <si>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</si>
  <si>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</si>
  <si>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</si>
  <si>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</si>
  <si>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</si>
  <si>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</si>
  <si>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</si>
  <si>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</si>
  <si>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</si>
  <si>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</si>
  <si>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</si>
  <si>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</si>
  <si>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</si>
  <si>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</si>
  <si>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</si>
  <si>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</si>
  <si>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</si>
  <si>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</si>
  <si>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</si>
  <si>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</si>
  <si>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</si>
  <si>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</si>
  <si>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</si>
  <si>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</si>
  <si>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</si>
  <si>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</si>
  <si>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</si>
  <si>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</si>
  <si>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</si>
  <si>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</si>
  <si>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</si>
  <si>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</si>
  <si>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</si>
  <si>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</si>
  <si>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</si>
  <si>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</si>
  <si>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</si>
  <si>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</si>
  <si>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</si>
  <si>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</si>
  <si>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</si>
  <si>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</si>
  <si>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</si>
  <si>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</si>
  <si>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</si>
  <si>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</si>
  <si>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</si>
  <si>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</si>
  <si>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</si>
  <si>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</si>
  <si>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</si>
  <si>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</si>
  <si>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</si>
  <si>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</si>
  <si>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</si>
  <si>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</si>
  <si>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</si>
  <si>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</si>
  <si>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</si>
  <si>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</si>
  <si>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</si>
  <si>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</si>
  <si>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</si>
  <si>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</si>
  <si>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</si>
  <si>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</si>
  <si>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</si>
  <si>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</si>
  <si>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</si>
  <si>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</si>
  <si>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</si>
  <si>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</si>
  <si>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</si>
  <si>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</si>
  <si>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</si>
  <si>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</si>
  <si>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</si>
  <si>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</si>
  <si>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</si>
  <si>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</si>
  <si>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</si>
  <si>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</si>
  <si>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</si>
  <si>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</si>
  <si>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</si>
  <si>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</si>
  <si>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</si>
  <si>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</si>
  <si>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</si>
  <si>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</si>
  <si>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</si>
  <si>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</si>
  <si>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</si>
  <si>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</si>
  <si>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</si>
  <si>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</si>
  <si>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</si>
  <si>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</si>
  <si>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</si>
  <si>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</si>
  <si>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</si>
  <si>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</si>
  <si>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</si>
  <si>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</si>
  <si>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</si>
  <si>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</si>
  <si>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</si>
  <si>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</si>
  <si>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</si>
  <si>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</si>
  <si>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</si>
  <si>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</si>
  <si>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</si>
  <si>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</si>
  <si>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</si>
  <si>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</si>
  <si>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</si>
  <si>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</si>
  <si>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</si>
  <si>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</si>
  <si>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</si>
  <si>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</si>
  <si>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</si>
  <si>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</si>
  <si>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</si>
  <si>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</si>
  <si>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</si>
  <si>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</si>
  <si>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</si>
  <si>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</si>
  <si>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</si>
  <si>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</si>
  <si>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</si>
  <si>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</si>
  <si>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</si>
  <si>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</si>
  <si>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</si>
  <si>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</si>
  <si>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</si>
  <si>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</si>
  <si>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</si>
  <si>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</si>
  <si>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</si>
  <si>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</si>
  <si>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</si>
  <si>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</si>
  <si>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</si>
  <si>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</si>
  <si>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</si>
  <si>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</si>
  <si>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</si>
  <si>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</si>
  <si>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</si>
  <si>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</si>
  <si>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</si>
  <si>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</si>
  <si>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</si>
  <si>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</si>
  <si>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</si>
  <si>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</si>
  <si>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</si>
  <si>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</si>
  <si>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</si>
  <si>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</si>
  <si>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</si>
  <si>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</si>
  <si>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</si>
  <si>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</si>
  <si>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</si>
  <si>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</si>
  <si>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</si>
  <si>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</si>
  <si>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</si>
  <si>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</si>
  <si>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</si>
  <si>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</si>
  <si>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</si>
  <si>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</si>
  <si>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</si>
  <si>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</si>
  <si>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</si>
  <si>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</si>
  <si>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</si>
  <si>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</si>
  <si>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</si>
  <si>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</si>
  <si>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</si>
  <si>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</si>
  <si>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</si>
  <si>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</si>
  <si>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</si>
  <si>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</si>
  <si>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</si>
  <si>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</si>
  <si>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</si>
  <si>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</si>
  <si>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</si>
  <si>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</si>
  <si>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</si>
  <si>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</si>
  <si>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</si>
  <si>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</si>
  <si>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</si>
  <si>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</si>
  <si>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</si>
  <si>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</si>
  <si>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</si>
  <si>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</si>
  <si>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</si>
  <si>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</si>
  <si>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</si>
  <si>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</si>
  <si>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</si>
  <si>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</si>
  <si>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</si>
  <si>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</si>
  <si>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</si>
  <si>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</si>
  <si>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</si>
  <si>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</si>
  <si>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</si>
  <si>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</si>
  <si>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</si>
  <si>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</si>
  <si>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</si>
  <si>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</si>
  <si>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</si>
  <si>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</si>
  <si>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</si>
  <si>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</si>
  <si>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</si>
  <si>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</si>
  <si>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</si>
  <si>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</si>
  <si>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</si>
  <si>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</si>
  <si>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</si>
  <si>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</si>
  <si>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</si>
  <si>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</si>
  <si>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</si>
  <si>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</si>
  <si>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</si>
  <si>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</si>
  <si>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</si>
  <si>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主要原因是因为疫情原因项目经费及公用经费都按照上级要求相应压缩减少使用支出。</t>
    <phoneticPr fontId="4" type="noConversion"/>
  </si>
  <si>
    <t>主要原因是社会保障经费有所增长。</t>
    <phoneticPr fontId="4" type="noConversion"/>
  </si>
  <si>
    <t>主要原因是上级批复的市级追加经费：疫情之下心理健康保卫战-青少年心理健康危机干预平台建设项目200000元。</t>
    <phoneticPr fontId="4" type="noConversion"/>
  </si>
  <si>
    <t>主要原因是按照社保要求增加了医保费的支出。</t>
    <phoneticPr fontId="4" type="noConversion"/>
  </si>
  <si>
    <t>主要原因是去世人员丧葬费及抚恤金。</t>
    <phoneticPr fontId="4" type="noConversion"/>
  </si>
  <si>
    <t>主要原因是按照公积金政策要求，增加了住房保障经费的支出。</t>
    <phoneticPr fontId="4" type="noConversion"/>
  </si>
  <si>
    <t xml:space="preserve">1、部门职能：负责学校的财务管理和强化内控制度，确保学校资产的安全和资金的合理使用。
2、机构人员情况：
我校2021年底在职人员124人，离休人员2人，退休人员227人。
3、机构人员当年变动情况及原因
机构数1个，为全额拨款财政补助收入单位。
单位人员情况：
我校2021年决算人数124人是教职工，初中学生数是414人，高中学生数是277人，其中初中随班就读学生人数7人，初中随班就读学生人数8人，教学班21个。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</si>
</sst>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D2" sqref="D2"/>
    </sheetView>
  </sheetViews>
  <sheetFormatPr defaultRowHeight="14.25"/>
  <cols>
    <col min="1" max="1" width="16.5" customWidth="1"/>
    <col min="2" max="2" width="12.75" bestFit="1" customWidth="1"/>
  </cols>
  <sheetData>
    <row r="1" spans="1:14" ht="37.9" customHeight="1">
      <c r="A1" s="27" t="s">
        <v>0</v>
      </c>
      <c r="B1" s="28">
        <v>255116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北京市第四十三中学</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7" zoomScale="90" zoomScaleNormal="90" workbookViewId="0">
      <selection activeCell="A10" sqref="A10:N10"/>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zoomScaleNormal="100" workbookViewId="0">
      <selection activeCell="C7" sqref="C7"/>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9" t="s">
        <v>485</v>
      </c>
      <c r="B4" s="89"/>
      <c r="C4" s="89"/>
      <c r="D4" s="89"/>
      <c r="E4" s="89"/>
      <c r="F4" s="89"/>
      <c r="G4" s="89"/>
      <c r="H4" s="89"/>
      <c r="I4" s="89"/>
      <c r="J4" s="89"/>
      <c r="K4" s="89"/>
      <c r="L4" s="89"/>
      <c r="M4" s="89"/>
      <c r="N4" s="19"/>
    </row>
    <row r="5" spans="1:14" ht="18" customHeight="1">
      <c r="A5" s="7" t="s">
        <v>176</v>
      </c>
    </row>
    <row r="6" spans="1:14" ht="18" customHeight="1">
      <c r="A6" s="86" t="s">
        <v>246</v>
      </c>
      <c r="B6" s="86"/>
      <c r="C6" s="10">
        <v>128</v>
      </c>
      <c r="D6" s="10" t="s">
        <v>248</v>
      </c>
      <c r="E6" s="8">
        <f>_xlfn.IFNA(VLOOKUP(封面!B1,'2021决算导出'!A:C,3,FALSE),"")</f>
        <v>124</v>
      </c>
      <c r="F6" s="10" t="s">
        <v>249</v>
      </c>
      <c r="G6" s="10"/>
      <c r="H6" s="10"/>
      <c r="I6" s="10"/>
      <c r="J6" s="10"/>
      <c r="K6" s="10"/>
      <c r="L6" s="10"/>
      <c r="M6" s="10"/>
      <c r="N6" s="10"/>
    </row>
    <row r="7" spans="1:14" ht="18" customHeight="1">
      <c r="A7" s="6" t="s">
        <v>177</v>
      </c>
    </row>
    <row r="8" spans="1:14" ht="18" customHeight="1">
      <c r="A8" s="86" t="s">
        <v>417</v>
      </c>
      <c r="B8" s="86"/>
      <c r="C8" s="86"/>
      <c r="D8" s="14">
        <f>_xlfn.IFNA(VLOOKUP(封面!B1,'2021决算导出'!A:D,4,FALSE),"")</f>
        <v>52822276.259999998</v>
      </c>
      <c r="E8" s="7" t="s">
        <v>179</v>
      </c>
      <c r="F8" s="20" t="s">
        <v>250</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2419238.1499999985</v>
      </c>
      <c r="I8" s="16" t="s">
        <v>179</v>
      </c>
      <c r="J8" s="30" t="str">
        <f>IF(ISNA(VLOOKUP(封面!B1,'2020决算导出'!A:D,4,FALSE)),"",IF(D8-VLOOKUP(封面!B1,'2020决算导出'!A:D,4,FALSE)&gt;0,"增长","下降"))</f>
        <v>下降</v>
      </c>
      <c r="K8" s="31">
        <f>IF(ISNA(VLOOKUP(封面!B1,'2020决算导出'!A:D,4,FALSE)),"",H8/VLOOKUP(封面!B1,'2020决算导出'!A:D,4,FALSE))</f>
        <v>4.3793841929178907E-2</v>
      </c>
      <c r="L8" s="7" t="s">
        <v>314</v>
      </c>
    </row>
    <row r="9" spans="1:14" ht="18" customHeight="1">
      <c r="A9" s="7" t="s">
        <v>180</v>
      </c>
      <c r="G9" s="32"/>
      <c r="H9" s="32"/>
      <c r="I9" s="32"/>
      <c r="J9" s="32"/>
      <c r="K9" s="32"/>
    </row>
    <row r="10" spans="1:14" ht="18" customHeight="1">
      <c r="A10" s="86" t="s">
        <v>418</v>
      </c>
      <c r="B10" s="86"/>
      <c r="C10" s="86"/>
      <c r="D10" s="14">
        <f>_xlfn.IFNA(VLOOKUP(封面!B1,'2021决算导出'!A:E,5,FALSE),"")</f>
        <v>52487294.579999998</v>
      </c>
      <c r="E10" s="7" t="s">
        <v>179</v>
      </c>
      <c r="F10" s="20" t="s">
        <v>250</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2548677.2800000012</v>
      </c>
      <c r="I10" s="16" t="s">
        <v>179</v>
      </c>
      <c r="J10" s="30" t="str">
        <f>IF(ISNA(VLOOKUP(封面!B1,'2020决算导出'!A:E,5,FALSE)),"",IF(D10-VLOOKUP(封面!B1,'2020决算导出'!A:E,5,FALSE)&gt;0,"增长","下降"))</f>
        <v>下降</v>
      </c>
      <c r="K10" s="31">
        <f>IF(ISNA(VLOOKUP(封面!B1,'2020决算导出'!A:E,5,FALSE)),"",H10/VLOOKUP(封面!B1,'2020决算导出'!A:E,5,FALSE))</f>
        <v>4.6309299061408474E-2</v>
      </c>
      <c r="L10" s="7" t="s">
        <v>315</v>
      </c>
    </row>
    <row r="11" spans="1:14" ht="18" customHeight="1">
      <c r="A11" s="86" t="s">
        <v>181</v>
      </c>
      <c r="B11" s="86"/>
      <c r="C11" s="86"/>
      <c r="D11" s="14">
        <f>_xlfn.IFNA(VLOOKUP(封面!B1,'2021决算导出'!A:F,6,FALSE),"")</f>
        <v>52306344.579999998</v>
      </c>
      <c r="E11" s="7" t="s">
        <v>179</v>
      </c>
      <c r="F11" s="86" t="s">
        <v>182</v>
      </c>
      <c r="G11" s="86"/>
      <c r="H11" s="29">
        <f>D11/$D$10</f>
        <v>0.9965524990105139</v>
      </c>
      <c r="I11" s="7" t="s">
        <v>316</v>
      </c>
    </row>
    <row r="12" spans="1:14" ht="18" customHeight="1">
      <c r="A12" s="86" t="s">
        <v>184</v>
      </c>
      <c r="B12" s="86"/>
      <c r="C12" s="86"/>
      <c r="D12" s="14">
        <f>_xlfn.IFNA(VLOOKUP(封面!B1,'2021决算导出'!A:G,7,FALSE),"")</f>
        <v>180950</v>
      </c>
      <c r="E12" s="7" t="s">
        <v>179</v>
      </c>
      <c r="F12" s="86" t="s">
        <v>182</v>
      </c>
      <c r="G12" s="86"/>
      <c r="H12" s="29">
        <f t="shared" ref="H12:H15" si="0">D12/$D$10</f>
        <v>3.4475009894861302E-3</v>
      </c>
      <c r="I12" s="7" t="s">
        <v>316</v>
      </c>
    </row>
    <row r="13" spans="1:14" ht="18" customHeight="1">
      <c r="A13" s="86" t="s">
        <v>185</v>
      </c>
      <c r="B13" s="86"/>
      <c r="C13" s="86"/>
      <c r="D13" s="14">
        <f>_xlfn.IFNA(VLOOKUP(封面!B1,'2021决算导出'!A:H,8,FALSE),"")</f>
        <v>0</v>
      </c>
      <c r="E13" s="7" t="s">
        <v>179</v>
      </c>
      <c r="F13" s="86" t="s">
        <v>182</v>
      </c>
      <c r="G13" s="86"/>
      <c r="H13" s="29">
        <f t="shared" si="0"/>
        <v>0</v>
      </c>
      <c r="I13" s="7" t="s">
        <v>316</v>
      </c>
    </row>
    <row r="14" spans="1:14" ht="18" customHeight="1">
      <c r="A14" s="86" t="s">
        <v>186</v>
      </c>
      <c r="B14" s="86"/>
      <c r="C14" s="86"/>
      <c r="D14" s="14">
        <f>_xlfn.IFNA(VLOOKUP(封面!B1,'2021决算导出'!A:I,9,FALSE),"")</f>
        <v>0</v>
      </c>
      <c r="E14" s="7" t="s">
        <v>179</v>
      </c>
      <c r="F14" s="86" t="s">
        <v>182</v>
      </c>
      <c r="G14" s="86"/>
      <c r="H14" s="29">
        <f t="shared" si="0"/>
        <v>0</v>
      </c>
      <c r="I14" s="7" t="s">
        <v>316</v>
      </c>
    </row>
    <row r="15" spans="1:14" ht="18" customHeight="1">
      <c r="A15" s="86" t="s">
        <v>187</v>
      </c>
      <c r="B15" s="86"/>
      <c r="C15" s="86"/>
      <c r="D15" s="14">
        <f>_xlfn.IFNA(VLOOKUP(封面!B1,'2021决算导出'!A:J,10,FALSE),"")</f>
        <v>0</v>
      </c>
      <c r="E15" s="7" t="s">
        <v>179</v>
      </c>
      <c r="F15" s="86" t="s">
        <v>182</v>
      </c>
      <c r="G15" s="86"/>
      <c r="H15" s="29">
        <f t="shared" si="0"/>
        <v>0</v>
      </c>
      <c r="I15" s="7" t="s">
        <v>317</v>
      </c>
    </row>
    <row r="16" spans="1:14" ht="18" customHeight="1">
      <c r="A16" s="7" t="s">
        <v>188</v>
      </c>
    </row>
    <row r="17" spans="1:13" ht="18" customHeight="1">
      <c r="A17" s="86" t="s">
        <v>419</v>
      </c>
      <c r="B17" s="86"/>
      <c r="C17" s="86"/>
      <c r="D17" s="14">
        <f>_xlfn.IFNA(VLOOKUP(封面!B1,'2021决算导出'!A:K,11,FALSE),"")</f>
        <v>52778566.740000002</v>
      </c>
      <c r="E17" s="7" t="s">
        <v>179</v>
      </c>
      <c r="F17" s="20" t="s">
        <v>250</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2433166.7899999991</v>
      </c>
      <c r="I17" s="7" t="s">
        <v>179</v>
      </c>
      <c r="J17" s="30" t="str">
        <f>IF(ISNA(VLOOKUP(封面!B1,'2020决算导出'!A:K,11,FALSE)),"",IF(D17-VLOOKUP(封面!B1,'2020决算导出'!A:K,11,FALSE)&gt;0,"增长","下降"))</f>
        <v>下降</v>
      </c>
      <c r="K17" s="31">
        <f>IF(ISNA(VLOOKUP(封面!B1,'2020决算导出'!A:K,11,FALSE)),"",H17/VLOOKUP(封面!B1,'2020决算导出'!A:K,11,FALSE))</f>
        <v>4.406974087632852E-2</v>
      </c>
      <c r="L17" s="7" t="s">
        <v>318</v>
      </c>
    </row>
    <row r="18" spans="1:13" ht="18" customHeight="1">
      <c r="A18" s="86" t="s">
        <v>189</v>
      </c>
      <c r="B18" s="86"/>
      <c r="C18" s="86"/>
      <c r="D18" s="14">
        <f>_xlfn.IFNA(VLOOKUP(封面!B1,'2021决算导出'!A:L,12,FALSE),"")</f>
        <v>49850404.920000002</v>
      </c>
      <c r="E18" s="7" t="s">
        <v>179</v>
      </c>
      <c r="F18" s="86" t="s">
        <v>190</v>
      </c>
      <c r="G18" s="86"/>
      <c r="H18" s="29">
        <f>D18/$D$17</f>
        <v>0.9445198685590529</v>
      </c>
      <c r="I18" s="7" t="s">
        <v>316</v>
      </c>
    </row>
    <row r="19" spans="1:13" ht="18" customHeight="1">
      <c r="A19" s="86" t="s">
        <v>191</v>
      </c>
      <c r="B19" s="86"/>
      <c r="C19" s="86"/>
      <c r="D19" s="14">
        <f>_xlfn.IFNA(VLOOKUP(封面!B1,'2021决算导出'!A:M,13,FALSE),"")</f>
        <v>2928161.82</v>
      </c>
      <c r="E19" s="7" t="s">
        <v>179</v>
      </c>
      <c r="F19" s="86" t="s">
        <v>190</v>
      </c>
      <c r="G19" s="86"/>
      <c r="H19" s="29">
        <f t="shared" ref="H19:H20" si="1">D19/$D$17</f>
        <v>5.5480131440947114E-2</v>
      </c>
      <c r="I19" s="7" t="s">
        <v>316</v>
      </c>
    </row>
    <row r="20" spans="1:13" ht="18" customHeight="1">
      <c r="A20" s="86" t="s">
        <v>192</v>
      </c>
      <c r="B20" s="86"/>
      <c r="C20" s="86"/>
      <c r="D20" s="14">
        <f>_xlfn.IFNA(VLOOKUP(封面!B1,'2021决算导出'!A:N,14,FALSE),"")</f>
        <v>0</v>
      </c>
      <c r="E20" s="7" t="s">
        <v>179</v>
      </c>
      <c r="F20" s="86" t="s">
        <v>190</v>
      </c>
      <c r="G20" s="86"/>
      <c r="H20" s="29">
        <f t="shared" si="1"/>
        <v>0</v>
      </c>
      <c r="I20" s="7" t="s">
        <v>317</v>
      </c>
    </row>
    <row r="21" spans="1:13" ht="18" customHeight="1">
      <c r="A21" s="6" t="s">
        <v>193</v>
      </c>
    </row>
    <row r="22" spans="1:13" ht="18" customHeight="1">
      <c r="A22" s="86" t="s">
        <v>420</v>
      </c>
      <c r="B22" s="86"/>
      <c r="C22" s="86"/>
      <c r="D22" s="86"/>
      <c r="E22" s="83">
        <f>_xlfn.IFNA(VLOOKUP(封面!B1,'2021决算导出'!A:O,15,FALSE),"")</f>
        <v>52329462.68</v>
      </c>
      <c r="F22" s="83"/>
      <c r="G22" s="15" t="s">
        <v>250</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2719612.1300000027</v>
      </c>
      <c r="J22" s="7" t="s">
        <v>179</v>
      </c>
      <c r="K22" s="30" t="str">
        <f>IF(ISNA(VLOOKUP(封面!B1,'2020决算导出'!A:O,15,FALSE)),"",IF(E22-VLOOKUP(封面!B1,'2020决算导出'!A:O,15,FALSE)&gt;0,"增长","下降"))</f>
        <v>下降</v>
      </c>
      <c r="L22" s="31">
        <f>IF(ISNA(VLOOKUP(封面!B1,'2020决算导出'!A:O,15,FALSE)),"",I22/VLOOKUP(封面!B1,'2020决算导出'!A:O,15,FALSE))</f>
        <v>4.9403412126119303E-2</v>
      </c>
      <c r="M22" s="7" t="s">
        <v>314</v>
      </c>
    </row>
    <row r="23" spans="1:13" ht="63.6" customHeight="1">
      <c r="B23" s="87" t="s">
        <v>479</v>
      </c>
      <c r="C23" s="87"/>
      <c r="D23" s="87"/>
      <c r="E23" s="87"/>
      <c r="F23" s="87"/>
      <c r="G23" s="87"/>
      <c r="H23" s="87"/>
      <c r="I23" s="87"/>
      <c r="J23" s="87"/>
      <c r="K23" s="87"/>
      <c r="L23" s="87"/>
      <c r="M23" s="87"/>
    </row>
    <row r="24" spans="1:13" ht="18" customHeight="1">
      <c r="A24" s="6" t="s">
        <v>195</v>
      </c>
    </row>
    <row r="25" spans="1:13" ht="18" customHeight="1">
      <c r="A25" s="7" t="s">
        <v>196</v>
      </c>
    </row>
    <row r="26" spans="1:13" ht="18" customHeight="1">
      <c r="A26" s="86" t="s">
        <v>421</v>
      </c>
      <c r="B26" s="86"/>
      <c r="C26" s="86"/>
      <c r="D26" s="86"/>
      <c r="E26" s="86"/>
      <c r="F26" s="83">
        <f>_xlfn.IFNA(VLOOKUP(封面!B1,'2021决算导出'!A:P,16,FALSE),"")</f>
        <v>52285753.159999996</v>
      </c>
      <c r="G26" s="83"/>
      <c r="H26" s="7" t="s">
        <v>179</v>
      </c>
      <c r="I26" s="10" t="s">
        <v>197</v>
      </c>
      <c r="J26" s="10"/>
      <c r="K26" s="10"/>
      <c r="L26" s="10"/>
      <c r="M26" s="10"/>
    </row>
    <row r="27" spans="1:13" ht="18" customHeight="1">
      <c r="A27" s="86" t="s">
        <v>200</v>
      </c>
      <c r="B27" s="86"/>
      <c r="C27" s="86"/>
      <c r="D27" s="83">
        <f>_xlfn.IFNA(VLOOKUP(封面!B1,'2021决算导出'!A:Q,17,FALSE),"")</f>
        <v>32860576.579999998</v>
      </c>
      <c r="E27" s="83"/>
      <c r="F27" s="7" t="s">
        <v>179</v>
      </c>
      <c r="G27" s="84" t="s">
        <v>199</v>
      </c>
      <c r="H27" s="84"/>
      <c r="I27" s="29">
        <f>D27/$F$26</f>
        <v>0.62848050556799129</v>
      </c>
      <c r="J27" s="7" t="s">
        <v>316</v>
      </c>
      <c r="K27" s="9"/>
      <c r="L27" s="9"/>
      <c r="M27" s="9"/>
    </row>
    <row r="28" spans="1:13" ht="18" customHeight="1">
      <c r="A28" s="86" t="s">
        <v>201</v>
      </c>
      <c r="B28" s="86"/>
      <c r="C28" s="86"/>
      <c r="D28" s="83">
        <f>_xlfn.IFNA(VLOOKUP(封面!B1,'2021决算导出'!A:R,18,FALSE),"")</f>
        <v>200000</v>
      </c>
      <c r="E28" s="83"/>
      <c r="F28" s="7" t="s">
        <v>179</v>
      </c>
      <c r="G28" s="84" t="s">
        <v>199</v>
      </c>
      <c r="H28" s="84"/>
      <c r="I28" s="29">
        <f t="shared" ref="I28:I32" si="2">D28/$F$26</f>
        <v>3.8251337680453527E-3</v>
      </c>
      <c r="J28" s="7" t="s">
        <v>316</v>
      </c>
      <c r="K28" s="9"/>
      <c r="L28" s="9"/>
      <c r="M28" s="9"/>
    </row>
    <row r="29" spans="1:13" ht="18" customHeight="1">
      <c r="A29" s="86" t="s">
        <v>198</v>
      </c>
      <c r="B29" s="86"/>
      <c r="C29" s="86"/>
      <c r="D29" s="83">
        <f>_xlfn.IFNA(VLOOKUP(封面!B1,'2021决算导出'!A:S,19,FALSE),"")</f>
        <v>9067204.1999999993</v>
      </c>
      <c r="E29" s="83"/>
      <c r="F29" s="7" t="s">
        <v>179</v>
      </c>
      <c r="G29" s="84" t="s">
        <v>199</v>
      </c>
      <c r="H29" s="84"/>
      <c r="I29" s="29">
        <f t="shared" si="2"/>
        <v>0.17341634483591323</v>
      </c>
      <c r="J29" s="7" t="s">
        <v>316</v>
      </c>
    </row>
    <row r="30" spans="1:13" ht="18" customHeight="1">
      <c r="A30" s="86" t="s">
        <v>202</v>
      </c>
      <c r="B30" s="86"/>
      <c r="C30" s="86"/>
      <c r="D30" s="83">
        <f>_xlfn.IFNA(VLOOKUP(封面!B1,'2021决算导出'!A:T,20,FALSE),"")</f>
        <v>3783227.38</v>
      </c>
      <c r="E30" s="83"/>
      <c r="F30" s="7" t="s">
        <v>179</v>
      </c>
      <c r="G30" s="84" t="s">
        <v>199</v>
      </c>
      <c r="H30" s="84"/>
      <c r="I30" s="29">
        <f t="shared" si="2"/>
        <v>7.2356754017158742E-2</v>
      </c>
      <c r="J30" s="7" t="s">
        <v>316</v>
      </c>
    </row>
    <row r="31" spans="1:13" ht="18" customHeight="1">
      <c r="A31" s="86" t="s">
        <v>203</v>
      </c>
      <c r="B31" s="86"/>
      <c r="C31" s="86"/>
      <c r="D31" s="83">
        <f>_xlfn.IFNA(VLOOKUP(封面!B1,'2021决算导出'!A:U,21,FALSE),"")</f>
        <v>0</v>
      </c>
      <c r="E31" s="83"/>
      <c r="F31" s="7" t="s">
        <v>179</v>
      </c>
      <c r="G31" s="84" t="s">
        <v>199</v>
      </c>
      <c r="H31" s="84"/>
      <c r="I31" s="29">
        <f t="shared" si="2"/>
        <v>0</v>
      </c>
      <c r="J31" s="7" t="s">
        <v>316</v>
      </c>
    </row>
    <row r="32" spans="1:13" ht="18" customHeight="1">
      <c r="A32" s="86" t="s">
        <v>204</v>
      </c>
      <c r="B32" s="86"/>
      <c r="C32" s="86"/>
      <c r="D32" s="83">
        <f>_xlfn.IFNA(VLOOKUP(封面!B1,'2021决算导出'!A:V,22,FALSE),"")</f>
        <v>6374745</v>
      </c>
      <c r="E32" s="83"/>
      <c r="F32" s="7" t="s">
        <v>179</v>
      </c>
      <c r="G32" s="84" t="s">
        <v>199</v>
      </c>
      <c r="H32" s="84"/>
      <c r="I32" s="29">
        <f t="shared" si="2"/>
        <v>0.12192126181089136</v>
      </c>
      <c r="J32" s="7" t="s">
        <v>316</v>
      </c>
    </row>
    <row r="33" spans="1:12" ht="18" customHeight="1">
      <c r="A33" s="7" t="s">
        <v>205</v>
      </c>
    </row>
    <row r="34" spans="1:12" ht="18" customHeight="1">
      <c r="A34" s="88" t="s">
        <v>422</v>
      </c>
      <c r="B34" s="88"/>
      <c r="C34" s="88"/>
      <c r="D34" s="88"/>
      <c r="E34" s="83">
        <f>_xlfn.IFNA(VLOOKUP(封面!B1,一般公共预算财政拨款支出决算具体情况!A:C,3,FALSE),"")</f>
        <v>32860576.579999998</v>
      </c>
      <c r="F34" s="83"/>
      <c r="G34" s="7" t="s">
        <v>179</v>
      </c>
      <c r="H34" s="84" t="s">
        <v>423</v>
      </c>
      <c r="I34" s="84"/>
      <c r="J34" s="83">
        <f>_xlfn.IFNA(VLOOKUP(封面!B1,一般公共预算财政拨款支出决算具体情况!A:D,4,FALSE),"")</f>
        <v>31419715.939999998</v>
      </c>
      <c r="K34" s="83"/>
      <c r="L34" s="11" t="s">
        <v>178</v>
      </c>
    </row>
    <row r="35" spans="1:12" ht="18" customHeight="1">
      <c r="B35" s="15" t="str">
        <f>IF(E34&gt;J34,"增加","减少")</f>
        <v>增加</v>
      </c>
      <c r="C35" s="83">
        <f>ABS(E34-J34)</f>
        <v>1440860.6400000006</v>
      </c>
      <c r="D35" s="83"/>
      <c r="E35" s="7" t="s">
        <v>179</v>
      </c>
      <c r="F35" s="15" t="str">
        <f>IF(E34&gt;J34,"增长","下降")</f>
        <v>增长</v>
      </c>
      <c r="G35" s="34">
        <f>IF(J34=0,IF(E34&gt;0,1,""),C35/J34)</f>
        <v>4.5858487159830152E-2</v>
      </c>
      <c r="H35" s="7" t="s">
        <v>317</v>
      </c>
      <c r="I35" s="11" t="s">
        <v>206</v>
      </c>
    </row>
    <row r="36" spans="1:12" ht="18" customHeight="1">
      <c r="A36" s="86" t="s">
        <v>424</v>
      </c>
      <c r="B36" s="86"/>
      <c r="C36" s="86"/>
      <c r="D36" s="86"/>
      <c r="E36" s="83">
        <f>_xlfn.IFNA(VLOOKUP(封面!B1,一般公共预算财政拨款支出决算具体情况!A:E,5,FALSE),"")</f>
        <v>32574779.579999998</v>
      </c>
      <c r="F36" s="83"/>
      <c r="G36" s="7" t="s">
        <v>179</v>
      </c>
      <c r="H36" s="84" t="s">
        <v>423</v>
      </c>
      <c r="I36" s="84"/>
      <c r="J36" s="83">
        <f>_xlfn.IFNA(VLOOKUP(封面!B1,一般公共预算财政拨款支出决算具体情况!A:F,6,FALSE),"")</f>
        <v>31133918.939999998</v>
      </c>
      <c r="K36" s="83"/>
      <c r="L36" s="11" t="s">
        <v>178</v>
      </c>
    </row>
    <row r="37" spans="1:12" ht="18" customHeight="1">
      <c r="A37" s="15"/>
      <c r="B37" s="15" t="str">
        <f>IF(E36&gt;J36,"增加","减少")</f>
        <v>增加</v>
      </c>
      <c r="C37" s="83">
        <f>ABS(E36-J36)</f>
        <v>1440860.6400000006</v>
      </c>
      <c r="D37" s="83"/>
      <c r="E37" s="7" t="s">
        <v>179</v>
      </c>
      <c r="F37" s="15" t="str">
        <f>IF(E36&gt;J36,"增长","下降")</f>
        <v>增长</v>
      </c>
      <c r="G37" s="34">
        <f>IF(J36=0,IF(E36&gt;0,1,""),C37/J36)</f>
        <v>4.6279449843007803E-2</v>
      </c>
      <c r="H37" s="7" t="s">
        <v>317</v>
      </c>
    </row>
    <row r="38" spans="1:12" ht="36" customHeight="1">
      <c r="B38" s="89" t="s">
        <v>480</v>
      </c>
      <c r="C38" s="89"/>
      <c r="D38" s="89"/>
      <c r="E38" s="89"/>
      <c r="F38" s="89"/>
      <c r="G38" s="89"/>
      <c r="H38" s="89"/>
      <c r="I38" s="89"/>
      <c r="J38" s="89"/>
      <c r="K38" s="89"/>
      <c r="L38" s="89"/>
    </row>
    <row r="39" spans="1:12" ht="18" customHeight="1">
      <c r="A39" s="86" t="s">
        <v>425</v>
      </c>
      <c r="B39" s="86"/>
      <c r="C39" s="86"/>
      <c r="D39" s="86"/>
      <c r="E39" s="83">
        <f>_xlfn.IFNA(VLOOKUP(封面!B1,一般公共预算财政拨款支出决算具体情况!A:G,7,FALSE),"")</f>
        <v>0</v>
      </c>
      <c r="F39" s="83"/>
      <c r="G39" s="7" t="s">
        <v>179</v>
      </c>
      <c r="H39" s="84" t="s">
        <v>423</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317</v>
      </c>
    </row>
    <row r="41" spans="1:12" ht="36" customHeight="1">
      <c r="B41" s="89" t="s">
        <v>194</v>
      </c>
      <c r="C41" s="89"/>
      <c r="D41" s="89"/>
      <c r="E41" s="89"/>
      <c r="F41" s="89"/>
      <c r="G41" s="89"/>
      <c r="H41" s="89"/>
      <c r="I41" s="89"/>
      <c r="J41" s="89"/>
      <c r="K41" s="89"/>
      <c r="L41" s="89"/>
    </row>
    <row r="42" spans="1:12" ht="18" customHeight="1">
      <c r="A42" s="86" t="s">
        <v>426</v>
      </c>
      <c r="B42" s="86"/>
      <c r="C42" s="86"/>
      <c r="D42" s="86"/>
      <c r="E42" s="83">
        <f>_xlfn.IFNA(VLOOKUP(封面!B1,一般公共预算财政拨款支出决算具体情况!A:I,9,FALSE),"")</f>
        <v>0</v>
      </c>
      <c r="F42" s="83"/>
      <c r="G42" s="7" t="s">
        <v>179</v>
      </c>
      <c r="H42" s="84" t="s">
        <v>423</v>
      </c>
      <c r="I42" s="84"/>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9" t="s">
        <v>194</v>
      </c>
      <c r="C44" s="89"/>
      <c r="D44" s="89"/>
      <c r="E44" s="89"/>
      <c r="F44" s="89"/>
      <c r="G44" s="89"/>
      <c r="H44" s="89"/>
      <c r="I44" s="89"/>
      <c r="J44" s="89"/>
      <c r="K44" s="89"/>
      <c r="L44" s="89"/>
    </row>
    <row r="45" spans="1:12" ht="18" customHeight="1">
      <c r="A45" s="86" t="s">
        <v>427</v>
      </c>
      <c r="B45" s="86"/>
      <c r="C45" s="86"/>
      <c r="D45" s="86"/>
      <c r="E45" s="83">
        <f>_xlfn.IFNA(VLOOKUP(封面!B1,一般公共预算财政拨款支出决算具体情况!A:K,11,FALSE),"")</f>
        <v>0</v>
      </c>
      <c r="F45" s="83"/>
      <c r="G45" s="7" t="s">
        <v>179</v>
      </c>
      <c r="H45" s="84" t="s">
        <v>423</v>
      </c>
      <c r="I45" s="84"/>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36" customHeight="1">
      <c r="B47" s="89" t="s">
        <v>194</v>
      </c>
      <c r="C47" s="89"/>
      <c r="D47" s="89"/>
      <c r="E47" s="89"/>
      <c r="F47" s="89"/>
      <c r="G47" s="89"/>
      <c r="H47" s="89"/>
      <c r="I47" s="89"/>
      <c r="J47" s="89"/>
      <c r="K47" s="89"/>
      <c r="L47" s="89"/>
    </row>
    <row r="48" spans="1:12" ht="18" customHeight="1">
      <c r="A48" s="86" t="s">
        <v>428</v>
      </c>
      <c r="B48" s="86"/>
      <c r="C48" s="86"/>
      <c r="D48" s="86"/>
      <c r="E48" s="83">
        <f>_xlfn.IFNA(VLOOKUP(封面!B1,一般公共预算财政拨款支出决算具体情况!A:M,13,FALSE),"")</f>
        <v>80920</v>
      </c>
      <c r="F48" s="83"/>
      <c r="G48" s="7" t="s">
        <v>179</v>
      </c>
      <c r="H48" s="84" t="s">
        <v>423</v>
      </c>
      <c r="I48" s="84"/>
      <c r="J48" s="83">
        <f>_xlfn.IFNA(VLOOKUP(封面!B1,一般公共预算财政拨款支出决算具体情况!A:N,14,FALSE),"")</f>
        <v>80920</v>
      </c>
      <c r="K48" s="83"/>
      <c r="L48" s="11" t="s">
        <v>178</v>
      </c>
    </row>
    <row r="49" spans="1:12" ht="18" customHeight="1">
      <c r="A49" s="15"/>
      <c r="B49" s="15" t="str">
        <f>IF(E48&gt;J48,"增加","减少")</f>
        <v>减少</v>
      </c>
      <c r="C49" s="83">
        <f>ABS(E48-J48)</f>
        <v>0</v>
      </c>
      <c r="D49" s="83"/>
      <c r="E49" s="7" t="s">
        <v>179</v>
      </c>
      <c r="F49" s="15" t="str">
        <f>IF(E48&gt;J48,"增长","下降")</f>
        <v>下降</v>
      </c>
      <c r="G49" s="34">
        <f>IF(J48=0,IF(E48&gt;0,1,""),C49/J48)</f>
        <v>0</v>
      </c>
      <c r="H49" s="7" t="s">
        <v>317</v>
      </c>
    </row>
    <row r="50" spans="1:12" ht="36" customHeight="1">
      <c r="B50" s="89" t="s">
        <v>194</v>
      </c>
      <c r="C50" s="89"/>
      <c r="D50" s="89"/>
      <c r="E50" s="89"/>
      <c r="F50" s="89"/>
      <c r="G50" s="89"/>
      <c r="H50" s="89"/>
      <c r="I50" s="89"/>
      <c r="J50" s="89"/>
      <c r="K50" s="89"/>
      <c r="L50" s="89"/>
    </row>
    <row r="51" spans="1:12" ht="18" customHeight="1">
      <c r="A51" s="85" t="s">
        <v>429</v>
      </c>
      <c r="B51" s="85"/>
      <c r="C51" s="85"/>
      <c r="D51" s="85"/>
      <c r="E51" s="83">
        <f>_xlfn.IFNA(VLOOKUP(封面!B1,一般公共预算财政拨款支出决算具体情况!A:O,15,FALSE),"")</f>
        <v>204877</v>
      </c>
      <c r="F51" s="83"/>
      <c r="G51" s="7" t="s">
        <v>179</v>
      </c>
      <c r="H51" s="84" t="s">
        <v>423</v>
      </c>
      <c r="I51" s="84"/>
      <c r="J51" s="83">
        <f>_xlfn.IFNA(VLOOKUP(封面!B1,一般公共预算财政拨款支出决算具体情况!A:P,16,FALSE),"")</f>
        <v>204877</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317</v>
      </c>
    </row>
    <row r="53" spans="1:12" ht="36" customHeight="1">
      <c r="B53" s="89" t="s">
        <v>194</v>
      </c>
      <c r="C53" s="89"/>
      <c r="D53" s="89"/>
      <c r="E53" s="89"/>
      <c r="F53" s="89"/>
      <c r="G53" s="89"/>
      <c r="H53" s="89"/>
      <c r="I53" s="89"/>
      <c r="J53" s="89"/>
      <c r="K53" s="89"/>
      <c r="L53" s="89"/>
    </row>
    <row r="54" spans="1:12" ht="18" customHeight="1">
      <c r="A54" s="90" t="s">
        <v>430</v>
      </c>
      <c r="B54" s="90"/>
      <c r="C54" s="90"/>
      <c r="D54" s="90"/>
      <c r="E54" s="83">
        <f>_xlfn.IFNA(VLOOKUP(封面!B1,一般公共预算财政拨款支出决算具体情况!A:Q,17,FALSE),"")</f>
        <v>200000</v>
      </c>
      <c r="F54" s="83"/>
      <c r="G54" s="7" t="s">
        <v>179</v>
      </c>
      <c r="H54" s="88" t="s">
        <v>431</v>
      </c>
      <c r="I54" s="88"/>
      <c r="J54" s="88"/>
      <c r="K54" s="88"/>
      <c r="L54" s="11"/>
    </row>
    <row r="55" spans="1:12" ht="18" customHeight="1">
      <c r="A55" s="85" t="s">
        <v>473</v>
      </c>
      <c r="B55" s="85"/>
      <c r="C55" s="85"/>
      <c r="D55" s="85"/>
      <c r="E55" s="83">
        <f>_xlfn.IFNA(VLOOKUP(封面!B1,一般公共预算财政拨款支出决算具体情况!A:S,19,FALSE),"")</f>
        <v>200000</v>
      </c>
      <c r="F55" s="83"/>
      <c r="G55" s="7" t="s">
        <v>179</v>
      </c>
      <c r="H55" s="88" t="s">
        <v>433</v>
      </c>
      <c r="I55" s="88"/>
      <c r="J55" s="88"/>
      <c r="K55" s="88"/>
      <c r="L55" s="11"/>
    </row>
    <row r="56" spans="1:12" ht="36" customHeight="1">
      <c r="B56" s="89" t="s">
        <v>481</v>
      </c>
      <c r="C56" s="89"/>
      <c r="D56" s="89"/>
      <c r="E56" s="89"/>
      <c r="F56" s="89"/>
      <c r="G56" s="89"/>
      <c r="H56" s="89"/>
      <c r="I56" s="89"/>
      <c r="J56" s="89"/>
      <c r="K56" s="89"/>
      <c r="L56" s="89"/>
    </row>
    <row r="57" spans="1:12" ht="18" customHeight="1">
      <c r="A57" s="86" t="s">
        <v>432</v>
      </c>
      <c r="B57" s="86"/>
      <c r="C57" s="86"/>
      <c r="D57" s="86"/>
      <c r="E57" s="83">
        <f>_xlfn.IFNA(VLOOKUP(封面!B1,一般公共预算财政拨款支出决算具体情况!A:U,21,FALSE),"")</f>
        <v>0</v>
      </c>
      <c r="F57" s="83"/>
      <c r="G57" s="7" t="s">
        <v>179</v>
      </c>
      <c r="H57" s="88" t="s">
        <v>433</v>
      </c>
      <c r="I57" s="88"/>
      <c r="J57" s="88"/>
      <c r="K57" s="88"/>
      <c r="L57" s="11"/>
    </row>
    <row r="58" spans="1:12" ht="36" customHeight="1">
      <c r="B58" s="89" t="s">
        <v>194</v>
      </c>
      <c r="C58" s="89"/>
      <c r="D58" s="89"/>
      <c r="E58" s="89"/>
      <c r="F58" s="89"/>
      <c r="G58" s="89"/>
      <c r="H58" s="89"/>
      <c r="I58" s="89"/>
      <c r="J58" s="89"/>
      <c r="K58" s="89"/>
      <c r="L58" s="89"/>
    </row>
    <row r="59" spans="1:12" ht="18" customHeight="1">
      <c r="A59" s="90" t="s">
        <v>434</v>
      </c>
      <c r="B59" s="90"/>
      <c r="C59" s="90"/>
      <c r="D59" s="90"/>
      <c r="E59" s="83">
        <f>_xlfn.IFNA(VLOOKUP(封面!B1,一般公共预算财政拨款支出决算具体情况!A:W,23,FALSE),"")</f>
        <v>9067204.1999999993</v>
      </c>
      <c r="F59" s="83"/>
      <c r="G59" s="7" t="s">
        <v>179</v>
      </c>
      <c r="H59" s="84" t="s">
        <v>423</v>
      </c>
      <c r="I59" s="84"/>
      <c r="J59" s="83">
        <f>_xlfn.IFNA(VLOOKUP(封面!B1,一般公共预算财政拨款支出决算具体情况!A:X,24,FALSE),"")</f>
        <v>8738169.6799999997</v>
      </c>
      <c r="K59" s="83"/>
      <c r="L59" s="11" t="s">
        <v>178</v>
      </c>
    </row>
    <row r="60" spans="1:12" ht="18" customHeight="1">
      <c r="B60" s="15" t="str">
        <f>IF(E59&gt;J59,"增加","减少")</f>
        <v>增加</v>
      </c>
      <c r="C60" s="83">
        <f>ABS(E59-J59)</f>
        <v>329034.51999999955</v>
      </c>
      <c r="D60" s="83"/>
      <c r="E60" s="7" t="s">
        <v>179</v>
      </c>
      <c r="F60" s="15" t="str">
        <f>IF(E59&gt;J59,"增长","下降")</f>
        <v>增长</v>
      </c>
      <c r="G60" s="34">
        <f>IF(J59=0,IF(E59&gt;0,1,""),C60/J59)</f>
        <v>3.7654855885105629E-2</v>
      </c>
      <c r="H60" s="7" t="s">
        <v>317</v>
      </c>
      <c r="I60" s="11" t="s">
        <v>206</v>
      </c>
    </row>
    <row r="61" spans="1:12" ht="18" customHeight="1">
      <c r="A61" s="85" t="s">
        <v>435</v>
      </c>
      <c r="B61" s="85"/>
      <c r="C61" s="85"/>
      <c r="D61" s="85"/>
      <c r="E61" s="83">
        <f>_xlfn.IFNA(VLOOKUP(封面!B1,一般公共预算财政拨款支出决算具体情况!A:Y,25,FALSE),"")</f>
        <v>9067204.1999999993</v>
      </c>
      <c r="F61" s="83"/>
      <c r="G61" s="7" t="s">
        <v>179</v>
      </c>
      <c r="H61" s="84" t="s">
        <v>423</v>
      </c>
      <c r="I61" s="84"/>
      <c r="J61" s="83">
        <f>_xlfn.IFNA(VLOOKUP(封面!B1,一般公共预算财政拨款支出决算具体情况!A:Z,26,FALSE),"")</f>
        <v>8738169.6799999997</v>
      </c>
      <c r="K61" s="83"/>
      <c r="L61" s="11" t="s">
        <v>178</v>
      </c>
    </row>
    <row r="62" spans="1:12" ht="18" customHeight="1">
      <c r="A62" s="15"/>
      <c r="B62" s="15" t="str">
        <f>IF(E61&gt;J61,"增加","减少")</f>
        <v>增加</v>
      </c>
      <c r="C62" s="83">
        <f>ABS(E61-J61)</f>
        <v>329034.51999999955</v>
      </c>
      <c r="D62" s="83"/>
      <c r="E62" s="7" t="s">
        <v>179</v>
      </c>
      <c r="F62" s="15" t="str">
        <f>IF(E61&gt;J61,"增长","下降")</f>
        <v>增长</v>
      </c>
      <c r="G62" s="34">
        <f>IF(J61=0,IF(E61&gt;0,1,""),C62/J61)</f>
        <v>3.7654855885105629E-2</v>
      </c>
      <c r="H62" s="7" t="s">
        <v>317</v>
      </c>
    </row>
    <row r="63" spans="1:12" ht="36" customHeight="1">
      <c r="B63" s="89" t="s">
        <v>483</v>
      </c>
      <c r="C63" s="89"/>
      <c r="D63" s="89"/>
      <c r="E63" s="89"/>
      <c r="F63" s="89"/>
      <c r="G63" s="89"/>
      <c r="H63" s="89"/>
      <c r="I63" s="89"/>
      <c r="J63" s="89"/>
      <c r="K63" s="89"/>
      <c r="L63" s="89"/>
    </row>
    <row r="64" spans="1:12" ht="18" customHeight="1">
      <c r="A64" s="85" t="s">
        <v>436</v>
      </c>
      <c r="B64" s="85"/>
      <c r="C64" s="85"/>
      <c r="D64" s="85"/>
      <c r="E64" s="83">
        <f>_xlfn.IFNA(VLOOKUP(封面!B1,一般公共预算财政拨款支出决算具体情况!A:AA,27,FALSE),"")</f>
        <v>0</v>
      </c>
      <c r="F64" s="83"/>
      <c r="G64" s="7" t="s">
        <v>179</v>
      </c>
      <c r="H64" s="84" t="s">
        <v>433</v>
      </c>
      <c r="I64" s="84"/>
      <c r="J64" s="83"/>
      <c r="K64" s="83"/>
      <c r="L64" s="11"/>
    </row>
    <row r="65" spans="1:12" ht="36" customHeight="1">
      <c r="B65" s="89" t="s">
        <v>194</v>
      </c>
      <c r="C65" s="89"/>
      <c r="D65" s="89"/>
      <c r="E65" s="89"/>
      <c r="F65" s="89"/>
      <c r="G65" s="89"/>
      <c r="H65" s="89"/>
      <c r="I65" s="89"/>
      <c r="J65" s="89"/>
      <c r="K65" s="89"/>
      <c r="L65" s="89"/>
    </row>
    <row r="66" spans="1:12" ht="18" customHeight="1">
      <c r="A66" s="90" t="s">
        <v>437</v>
      </c>
      <c r="B66" s="90"/>
      <c r="C66" s="90"/>
      <c r="D66" s="90"/>
      <c r="E66" s="83">
        <f>_xlfn.IFNA(VLOOKUP(封面!B1,一般公共预算财政拨款支出决算具体情况!A:AC,29,FALSE),"")</f>
        <v>3783227.38</v>
      </c>
      <c r="F66" s="83"/>
      <c r="G66" s="7" t="s">
        <v>179</v>
      </c>
      <c r="H66" s="84" t="s">
        <v>423</v>
      </c>
      <c r="I66" s="84"/>
      <c r="J66" s="83">
        <f>_xlfn.IFNA(VLOOKUP(封面!B1,一般公共预算财政拨款支出决算具体情况!A:AD,30,FALSE),"")</f>
        <v>3243617.66</v>
      </c>
      <c r="K66" s="83"/>
      <c r="L66" s="11" t="s">
        <v>178</v>
      </c>
    </row>
    <row r="67" spans="1:12" ht="18" customHeight="1">
      <c r="B67" s="15" t="str">
        <f>IF(E66&gt;J66,"增加","减少")</f>
        <v>增加</v>
      </c>
      <c r="C67" s="83">
        <f>ABS(E66-J66)</f>
        <v>539609.71999999974</v>
      </c>
      <c r="D67" s="83"/>
      <c r="E67" s="7" t="s">
        <v>179</v>
      </c>
      <c r="F67" s="15" t="str">
        <f>IF(E66&gt;J66,"增长","下降")</f>
        <v>增长</v>
      </c>
      <c r="G67" s="34">
        <f>IF(J66=0,IF(E66&gt;0,1,""),C67/J66)</f>
        <v>0.16636045815584805</v>
      </c>
      <c r="H67" s="7" t="s">
        <v>317</v>
      </c>
      <c r="I67" s="11" t="s">
        <v>206</v>
      </c>
    </row>
    <row r="68" spans="1:12" ht="18" customHeight="1">
      <c r="A68" s="85" t="s">
        <v>438</v>
      </c>
      <c r="B68" s="85"/>
      <c r="C68" s="85"/>
      <c r="D68" s="85"/>
      <c r="E68" s="83">
        <f>_xlfn.IFNA(VLOOKUP(封面!B1,一般公共预算财政拨款支出决算具体情况!A:AE,31,FALSE),"")</f>
        <v>3783227.38</v>
      </c>
      <c r="F68" s="83"/>
      <c r="G68" s="7" t="s">
        <v>179</v>
      </c>
      <c r="H68" s="84" t="s">
        <v>423</v>
      </c>
      <c r="I68" s="84"/>
      <c r="J68" s="83">
        <f>_xlfn.IFNA(VLOOKUP(封面!B1,一般公共预算财政拨款支出决算具体情况!A:AF,32,FALSE),"")</f>
        <v>3243617.66</v>
      </c>
      <c r="K68" s="83"/>
      <c r="L68" s="11" t="s">
        <v>178</v>
      </c>
    </row>
    <row r="69" spans="1:12" ht="18" customHeight="1">
      <c r="A69" s="15"/>
      <c r="B69" s="15" t="str">
        <f>IF(E68&gt;J68,"增加","减少")</f>
        <v>增加</v>
      </c>
      <c r="C69" s="83">
        <f>ABS(E68-J68)</f>
        <v>539609.71999999974</v>
      </c>
      <c r="D69" s="83"/>
      <c r="E69" s="7" t="s">
        <v>179</v>
      </c>
      <c r="F69" s="15" t="str">
        <f>IF(E68&gt;J68,"增长","下降")</f>
        <v>增长</v>
      </c>
      <c r="G69" s="34">
        <f>IF(J68=0,IF(E68&gt;0,1,""),C69/J68)</f>
        <v>0.16636045815584805</v>
      </c>
      <c r="H69" s="7" t="s">
        <v>317</v>
      </c>
    </row>
    <row r="70" spans="1:12" ht="36" customHeight="1">
      <c r="B70" s="89" t="s">
        <v>482</v>
      </c>
      <c r="C70" s="89"/>
      <c r="D70" s="89"/>
      <c r="E70" s="89"/>
      <c r="F70" s="89"/>
      <c r="G70" s="89"/>
      <c r="H70" s="89"/>
      <c r="I70" s="89"/>
      <c r="J70" s="89"/>
      <c r="K70" s="89"/>
      <c r="L70" s="89"/>
    </row>
    <row r="71" spans="1:12" ht="18" customHeight="1">
      <c r="A71" s="90" t="s">
        <v>439</v>
      </c>
      <c r="B71" s="90"/>
      <c r="C71" s="90"/>
      <c r="D71" s="90"/>
      <c r="E71" s="83">
        <f>_xlfn.IFNA(VLOOKUP(封面!B1,一般公共预算财政拨款支出决算具体情况!A:AG,33,FALSE),"")</f>
        <v>0</v>
      </c>
      <c r="F71" s="83"/>
      <c r="G71" s="7" t="s">
        <v>179</v>
      </c>
      <c r="H71" s="84" t="s">
        <v>423</v>
      </c>
      <c r="I71" s="84"/>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314</v>
      </c>
      <c r="I72" s="11" t="s">
        <v>206</v>
      </c>
    </row>
    <row r="73" spans="1:12" ht="18" customHeight="1">
      <c r="A73" s="85" t="s">
        <v>440</v>
      </c>
      <c r="B73" s="85"/>
      <c r="C73" s="85"/>
      <c r="D73" s="85"/>
      <c r="E73" s="83">
        <f>_xlfn.IFNA(VLOOKUP(封面!B1,一般公共预算财政拨款支出决算具体情况!A:AI,35,FALSE),"")</f>
        <v>0</v>
      </c>
      <c r="F73" s="83"/>
      <c r="G73" s="7" t="s">
        <v>179</v>
      </c>
      <c r="H73" s="84" t="s">
        <v>423</v>
      </c>
      <c r="I73" s="84"/>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314</v>
      </c>
      <c r="I74" s="57"/>
      <c r="J74" s="56"/>
      <c r="K74" s="56"/>
      <c r="L74" s="11"/>
    </row>
    <row r="75" spans="1:12" ht="36" customHeight="1">
      <c r="B75" s="89" t="s">
        <v>194</v>
      </c>
      <c r="C75" s="89"/>
      <c r="D75" s="89"/>
      <c r="E75" s="89"/>
      <c r="F75" s="89"/>
      <c r="G75" s="89"/>
      <c r="H75" s="89"/>
      <c r="I75" s="89"/>
      <c r="J75" s="89"/>
      <c r="K75" s="89"/>
      <c r="L75" s="89"/>
    </row>
    <row r="76" spans="1:12" ht="18" customHeight="1">
      <c r="A76" s="90" t="s">
        <v>474</v>
      </c>
      <c r="B76" s="90"/>
      <c r="C76" s="90"/>
      <c r="D76" s="90"/>
      <c r="E76" s="83">
        <f>_xlfn.IFNA(VLOOKUP(封面!B1,一般公共预算财政拨款支出决算具体情况!A:AK,37,FALSE),"")</f>
        <v>6374745</v>
      </c>
      <c r="F76" s="83"/>
      <c r="G76" s="7" t="s">
        <v>179</v>
      </c>
      <c r="H76" s="84" t="s">
        <v>423</v>
      </c>
      <c r="I76" s="84"/>
      <c r="J76" s="83">
        <f>_xlfn.IFNA(VLOOKUP(封面!B1,一般公共预算财政拨款支出决算具体情况!A:AL,38,FALSE),"")</f>
        <v>5951157.8399999999</v>
      </c>
      <c r="K76" s="83"/>
      <c r="L76" s="11" t="s">
        <v>178</v>
      </c>
    </row>
    <row r="77" spans="1:12" ht="18" customHeight="1">
      <c r="B77" s="15" t="str">
        <f>IF(E76&gt;J76,"增加","减少")</f>
        <v>增加</v>
      </c>
      <c r="C77" s="83">
        <f>ABS(E76-J76)</f>
        <v>423587.16000000015</v>
      </c>
      <c r="D77" s="83"/>
      <c r="E77" s="7" t="s">
        <v>179</v>
      </c>
      <c r="F77" s="15" t="str">
        <f>IF(E76&gt;J76,"增长","下降")</f>
        <v>增长</v>
      </c>
      <c r="G77" s="34">
        <f>IF(J76=0,IF(E76&gt;0,1,""),C77/J76)</f>
        <v>7.1177268590140466E-2</v>
      </c>
      <c r="H77" s="7" t="s">
        <v>317</v>
      </c>
      <c r="I77" s="11" t="s">
        <v>206</v>
      </c>
    </row>
    <row r="78" spans="1:12" ht="18" customHeight="1">
      <c r="A78" s="85" t="s">
        <v>441</v>
      </c>
      <c r="B78" s="85"/>
      <c r="C78" s="85"/>
      <c r="D78" s="85"/>
      <c r="E78" s="83">
        <f>_xlfn.IFNA(VLOOKUP(封面!B1,一般公共预算财政拨款支出决算具体情况!A:AM,39,FALSE),"")</f>
        <v>6374745</v>
      </c>
      <c r="F78" s="83"/>
      <c r="G78" s="7" t="s">
        <v>179</v>
      </c>
      <c r="H78" s="84" t="s">
        <v>423</v>
      </c>
      <c r="I78" s="84"/>
      <c r="J78" s="83">
        <f>_xlfn.IFNA(VLOOKUP(封面!B1,一般公共预算财政拨款支出决算具体情况!A:AN,40,FALSE),"")</f>
        <v>5951157.8399999999</v>
      </c>
      <c r="K78" s="83"/>
      <c r="L78" s="11" t="s">
        <v>178</v>
      </c>
    </row>
    <row r="79" spans="1:12" ht="18" customHeight="1">
      <c r="A79" s="15"/>
      <c r="B79" s="15" t="str">
        <f>IF(E78&gt;J78,"增加","减少")</f>
        <v>增加</v>
      </c>
      <c r="C79" s="83">
        <f>ABS(E78-J78)</f>
        <v>423587.16000000015</v>
      </c>
      <c r="D79" s="83"/>
      <c r="E79" s="7" t="s">
        <v>179</v>
      </c>
      <c r="F79" s="15" t="str">
        <f>IF(E78&gt;J78,"增长","下降")</f>
        <v>增长</v>
      </c>
      <c r="G79" s="34">
        <f>IF(J78=0,IF(E78&gt;0,1,""),C79/J78)</f>
        <v>7.1177268590140466E-2</v>
      </c>
      <c r="H79" s="7" t="s">
        <v>317</v>
      </c>
    </row>
    <row r="80" spans="1:12" ht="36" customHeight="1">
      <c r="B80" s="89" t="s">
        <v>484</v>
      </c>
      <c r="C80" s="89"/>
      <c r="D80" s="89"/>
      <c r="E80" s="89"/>
      <c r="F80" s="89"/>
      <c r="G80" s="89"/>
      <c r="H80" s="89"/>
      <c r="I80" s="89"/>
      <c r="J80" s="89"/>
      <c r="K80" s="89"/>
      <c r="L80" s="89"/>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6" t="s">
        <v>442</v>
      </c>
      <c r="B84" s="86"/>
      <c r="C84" s="86"/>
      <c r="D84" s="86"/>
      <c r="E84" s="86"/>
      <c r="F84" s="83">
        <f>_xlfn.IFNA(VLOOKUP(封面!B1,'2021决算导出'!A:W,23,FALSE),"")</f>
        <v>0</v>
      </c>
      <c r="G84" s="83"/>
      <c r="H84" s="7" t="s">
        <v>179</v>
      </c>
      <c r="I84" s="88" t="s">
        <v>197</v>
      </c>
      <c r="J84" s="88"/>
      <c r="K84" s="88"/>
      <c r="L84" s="88"/>
      <c r="M84" s="88"/>
    </row>
    <row r="85" spans="1:13" ht="18" customHeight="1">
      <c r="A85" s="86" t="s">
        <v>209</v>
      </c>
      <c r="B85" s="86"/>
      <c r="C85" s="86"/>
      <c r="D85" s="83">
        <f>_xlfn.IFNA(VLOOKUP(封面!B1,'2021决算导出'!A:Y,25,FALSE),"")</f>
        <v>0</v>
      </c>
      <c r="E85" s="83"/>
      <c r="F85" s="7" t="s">
        <v>179</v>
      </c>
      <c r="G85" s="84" t="s">
        <v>199</v>
      </c>
      <c r="H85" s="84"/>
      <c r="I85" s="13">
        <v>100</v>
      </c>
      <c r="J85" s="7" t="s">
        <v>183</v>
      </c>
      <c r="K85" s="9"/>
      <c r="L85" s="9"/>
      <c r="M85" s="9"/>
    </row>
    <row r="86" spans="1:13" ht="18" customHeight="1">
      <c r="A86" s="7" t="s">
        <v>210</v>
      </c>
    </row>
    <row r="87" spans="1:13" ht="18" customHeight="1">
      <c r="A87" s="88" t="s">
        <v>443</v>
      </c>
      <c r="B87" s="88"/>
      <c r="C87" s="88"/>
      <c r="D87" s="88"/>
      <c r="E87" s="83">
        <f>_xlfn.IFNA(VLOOKUP(封面!B1,'2021决算导出'!A:Y,25,FALSE),"")</f>
        <v>0</v>
      </c>
      <c r="F87" s="83"/>
      <c r="G87" s="7" t="s">
        <v>179</v>
      </c>
      <c r="H87" s="84" t="s">
        <v>423</v>
      </c>
      <c r="I87" s="84"/>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317</v>
      </c>
      <c r="I88" s="11" t="s">
        <v>206</v>
      </c>
    </row>
    <row r="89" spans="1:13" ht="18" customHeight="1">
      <c r="A89" s="85" t="s">
        <v>444</v>
      </c>
      <c r="B89" s="85"/>
      <c r="C89" s="85"/>
      <c r="D89" s="85"/>
      <c r="E89" s="83">
        <f>E87</f>
        <v>0</v>
      </c>
      <c r="F89" s="83"/>
      <c r="G89" s="7" t="s">
        <v>179</v>
      </c>
      <c r="H89" s="84" t="s">
        <v>423</v>
      </c>
      <c r="I89" s="84"/>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317</v>
      </c>
    </row>
    <row r="91" spans="1:13" ht="36" customHeight="1">
      <c r="B91" s="89" t="s">
        <v>194</v>
      </c>
      <c r="C91" s="89"/>
      <c r="D91" s="89"/>
      <c r="E91" s="89"/>
      <c r="F91" s="89"/>
      <c r="G91" s="89"/>
      <c r="H91" s="89"/>
      <c r="I91" s="89"/>
      <c r="J91" s="89"/>
      <c r="K91" s="89"/>
      <c r="L91" s="89"/>
    </row>
    <row r="92" spans="1:13" ht="18" customHeight="1">
      <c r="A92" s="6" t="s">
        <v>211</v>
      </c>
    </row>
    <row r="93" spans="1:13" ht="18" customHeight="1">
      <c r="A93" s="7" t="s">
        <v>212</v>
      </c>
    </row>
    <row r="94" spans="1:13" ht="18" customHeight="1">
      <c r="A94" s="6" t="s">
        <v>213</v>
      </c>
    </row>
    <row r="95" spans="1:13" ht="18" customHeight="1">
      <c r="A95" s="7" t="s">
        <v>445</v>
      </c>
      <c r="G95" s="83">
        <f>_xlfn.IFNA(VLOOKUP(封面!B1,'2021决算导出'!A:AA,27,FALSE),"")</f>
        <v>49850404.920000002</v>
      </c>
      <c r="H95" s="83"/>
      <c r="I95" s="11" t="s">
        <v>179</v>
      </c>
    </row>
    <row r="96" spans="1:13" ht="130.15" customHeight="1">
      <c r="A96" s="89" t="s">
        <v>214</v>
      </c>
      <c r="B96" s="89"/>
      <c r="C96" s="89"/>
      <c r="D96" s="89"/>
      <c r="E96" s="89"/>
      <c r="F96" s="89"/>
      <c r="G96" s="89"/>
      <c r="H96" s="89"/>
      <c r="I96" s="89"/>
      <c r="J96" s="89"/>
      <c r="K96" s="89"/>
      <c r="L96" s="89"/>
      <c r="M96" s="89"/>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1" workbookViewId="0">
      <selection activeCell="A25" sqref="A25:D25"/>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
      </c>
    </row>
    <row r="4" spans="1:14" ht="18" customHeight="1">
      <c r="A4" s="7" t="s">
        <v>446</v>
      </c>
      <c r="F4" s="83">
        <f>_xlfn.IFNA(VLOOKUP(封面!B1,'2021决算导出'!A:AB,28,FALSE),"")</f>
        <v>7872.39</v>
      </c>
      <c r="G4" s="83"/>
      <c r="H4" s="7" t="s">
        <v>179</v>
      </c>
      <c r="I4" s="7" t="s">
        <v>447</v>
      </c>
    </row>
    <row r="5" spans="1:14" ht="18" customHeight="1">
      <c r="A5" s="92">
        <f>_xlfn.IFNA(VLOOKUP(封面!B1,'2021决算导出'!A:AC,29,FALSE),"")</f>
        <v>27000</v>
      </c>
      <c r="B5" s="92"/>
      <c r="C5" s="7" t="s">
        <v>178</v>
      </c>
      <c r="D5" s="30" t="str">
        <f>IF(F4&gt;A5,"增加","减少")</f>
        <v>减少</v>
      </c>
      <c r="E5" s="92">
        <f>ABS(F4-A5)</f>
        <v>19127.61</v>
      </c>
      <c r="F5" s="92"/>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1" t="s">
        <v>449</v>
      </c>
      <c r="B9" s="91"/>
      <c r="C9" s="91"/>
      <c r="D9" s="91"/>
      <c r="E9" s="91"/>
      <c r="F9" s="91"/>
      <c r="G9" s="91"/>
      <c r="H9" s="91"/>
      <c r="I9" s="91"/>
      <c r="J9" s="91"/>
      <c r="K9" s="91"/>
      <c r="L9" s="91"/>
      <c r="M9" s="91"/>
      <c r="N9" s="91"/>
    </row>
    <row r="10" spans="1:14" ht="18" customHeight="1">
      <c r="A10" s="7" t="s">
        <v>220</v>
      </c>
    </row>
    <row r="11" spans="1:14" ht="18" customHeight="1">
      <c r="A11" s="86" t="s">
        <v>450</v>
      </c>
      <c r="B11" s="86"/>
      <c r="C11" s="35">
        <f>_xlfn.IFNA(VLOOKUP(封面!B1,'2021决算导出'!A:AI,35,FALSE),"")</f>
        <v>7872.39</v>
      </c>
      <c r="D11" s="7" t="s">
        <v>179</v>
      </c>
      <c r="E11" s="86" t="s">
        <v>451</v>
      </c>
      <c r="F11" s="86"/>
      <c r="G11" s="86"/>
      <c r="H11" s="92">
        <f>_xlfn.IFNA(VLOOKUP(封面!B1,'2021决算导出'!A:AJ,36,FALSE),"")</f>
        <v>27000</v>
      </c>
      <c r="I11" s="92"/>
      <c r="J11" s="16" t="s">
        <v>178</v>
      </c>
      <c r="K11" s="30" t="str">
        <f>IF(C11&gt;H11,"增加","减少")</f>
        <v>减少</v>
      </c>
      <c r="L11" s="92">
        <f>ABS(C11-H11)</f>
        <v>19127.61</v>
      </c>
      <c r="M11" s="92"/>
      <c r="N11" s="7" t="s">
        <v>216</v>
      </c>
    </row>
    <row r="12" spans="1:14" ht="18" customHeight="1">
      <c r="A12" s="86" t="s">
        <v>452</v>
      </c>
      <c r="B12" s="86"/>
      <c r="C12" s="86"/>
      <c r="D12" s="86"/>
      <c r="E12" s="86"/>
      <c r="F12" s="92">
        <f>_xlfn.IFNA(VLOOKUP(封面!B1,'2021决算导出'!A:AK,37,FALSE),"")</f>
        <v>0</v>
      </c>
      <c r="G12" s="92"/>
      <c r="H12" s="17" t="s">
        <v>179</v>
      </c>
      <c r="I12" s="86" t="s">
        <v>451</v>
      </c>
      <c r="J12" s="86"/>
      <c r="K12" s="86"/>
      <c r="L12" s="92">
        <f>_xlfn.IFNA(VLOOKUP(封面!B1,'2021决算导出'!A:AL,38,FALSE),"")</f>
        <v>0</v>
      </c>
      <c r="M12" s="92"/>
      <c r="N12" s="7" t="s">
        <v>178</v>
      </c>
    </row>
    <row r="13" spans="1:14" ht="18" customHeight="1">
      <c r="A13" s="15" t="str">
        <f>IF(F12&gt;L12,"增加","减少")</f>
        <v>减少</v>
      </c>
      <c r="B13" s="92">
        <f>ABS(F12-L12)</f>
        <v>0</v>
      </c>
      <c r="C13" s="92"/>
      <c r="D13" s="7" t="s">
        <v>216</v>
      </c>
      <c r="H13" s="92"/>
      <c r="I13" s="92"/>
      <c r="J13" s="16"/>
    </row>
    <row r="14" spans="1:14" ht="36" customHeight="1">
      <c r="A14" s="89" t="s">
        <v>194</v>
      </c>
      <c r="B14" s="89"/>
      <c r="C14" s="89"/>
      <c r="D14" s="89"/>
      <c r="E14" s="89"/>
      <c r="F14" s="89"/>
      <c r="G14" s="89"/>
      <c r="H14" s="89"/>
      <c r="I14" s="89"/>
      <c r="J14" s="89"/>
      <c r="K14" s="89"/>
      <c r="L14" s="89"/>
      <c r="M14" s="89"/>
      <c r="N14" s="89"/>
    </row>
    <row r="15" spans="1:14" ht="18" customHeight="1">
      <c r="A15" s="86" t="s">
        <v>453</v>
      </c>
      <c r="B15" s="86"/>
      <c r="C15" s="86"/>
      <c r="D15" s="8">
        <f>_xlfn.IFNA(VLOOKUP(封面!B1,'2021决算导出'!A:AM,39,FALSE),"")</f>
        <v>0</v>
      </c>
      <c r="E15" s="7" t="s">
        <v>221</v>
      </c>
      <c r="F15" s="86" t="s">
        <v>222</v>
      </c>
      <c r="G15" s="86"/>
      <c r="H15" s="92">
        <f>IF(D15=0,0,F12/D15)</f>
        <v>0</v>
      </c>
      <c r="I15" s="92"/>
      <c r="J15" s="7" t="s">
        <v>216</v>
      </c>
    </row>
    <row r="16" spans="1:14" ht="18" customHeight="1">
      <c r="A16" s="84" t="s">
        <v>454</v>
      </c>
      <c r="B16" s="84"/>
      <c r="C16" s="84"/>
      <c r="D16" s="84"/>
      <c r="E16" s="84"/>
      <c r="F16" s="92">
        <f>_xlfn.IFNA(VLOOKUP(封面!B1,'2021决算导出'!A:AO,41,FALSE),"")</f>
        <v>7872.39</v>
      </c>
      <c r="G16" s="92" t="s">
        <v>179</v>
      </c>
      <c r="H16" s="7" t="s">
        <v>179</v>
      </c>
      <c r="I16" s="7" t="s">
        <v>451</v>
      </c>
      <c r="L16" s="92">
        <f>_xlfn.IFNA(VLOOKUP(封面!B1,'2021决算导出'!A:AP,42,FALSE),"")</f>
        <v>27000</v>
      </c>
      <c r="M16" s="92" t="s">
        <v>179</v>
      </c>
      <c r="N16" s="7" t="s">
        <v>179</v>
      </c>
    </row>
    <row r="17" spans="1:14" ht="18" customHeight="1">
      <c r="A17" s="15" t="str">
        <f>IF(F16&gt;L16,"增加","减少")</f>
        <v>减少</v>
      </c>
      <c r="B17" s="92">
        <f>ABS(F16-L16)</f>
        <v>19127.61</v>
      </c>
      <c r="C17" s="92"/>
      <c r="D17" s="7" t="s">
        <v>216</v>
      </c>
    </row>
    <row r="18" spans="1:14" ht="36" customHeight="1">
      <c r="A18" s="89" t="s">
        <v>223</v>
      </c>
      <c r="B18" s="89"/>
      <c r="C18" s="89"/>
      <c r="D18" s="89"/>
      <c r="E18" s="89"/>
      <c r="F18" s="89"/>
      <c r="G18" s="89"/>
      <c r="H18" s="89"/>
      <c r="I18" s="89"/>
      <c r="J18" s="89"/>
      <c r="K18" s="89"/>
      <c r="L18" s="89"/>
      <c r="M18" s="89"/>
      <c r="N18" s="89"/>
    </row>
    <row r="19" spans="1:14" ht="18" customHeight="1">
      <c r="A19" s="86" t="s">
        <v>455</v>
      </c>
      <c r="B19" s="86"/>
      <c r="C19" s="86"/>
      <c r="D19" s="86"/>
      <c r="E19" s="86"/>
      <c r="F19" s="86"/>
      <c r="G19" s="92">
        <f>_xlfn.IFNA(VLOOKUP(封面!B1,'2021决算导出'!A:AQ,43,FALSE),"")</f>
        <v>3000</v>
      </c>
      <c r="H19" s="92" t="s">
        <v>179</v>
      </c>
      <c r="I19" s="7" t="s">
        <v>179</v>
      </c>
      <c r="J19" s="7" t="s">
        <v>224</v>
      </c>
      <c r="L19" s="92">
        <f>_xlfn.IFNA(VLOOKUP(封面!B1,'2021决算导出'!A:AR,44,FALSE),"")</f>
        <v>1073</v>
      </c>
      <c r="M19" s="92" t="s">
        <v>179</v>
      </c>
      <c r="N19" s="7" t="s">
        <v>179</v>
      </c>
    </row>
    <row r="20" spans="1:14" ht="18" customHeight="1">
      <c r="A20" s="86" t="s">
        <v>225</v>
      </c>
      <c r="B20" s="86"/>
      <c r="C20" s="92">
        <f>_xlfn.IFNA(VLOOKUP(封面!B1,'2021决算导出'!A:AS,45,FALSE),"")</f>
        <v>3682.39</v>
      </c>
      <c r="D20" s="92" t="s">
        <v>179</v>
      </c>
      <c r="E20" s="7" t="s">
        <v>179</v>
      </c>
      <c r="F20" s="86" t="s">
        <v>226</v>
      </c>
      <c r="G20" s="86"/>
      <c r="H20" s="86"/>
      <c r="I20" s="92">
        <f>_xlfn.IFNA(VLOOKUP(封面!B1,'2021决算导出'!A:AT,46,FALSE),"")</f>
        <v>117</v>
      </c>
      <c r="J20" s="92" t="s">
        <v>179</v>
      </c>
      <c r="K20" s="7" t="s">
        <v>216</v>
      </c>
    </row>
    <row r="21" spans="1:14" ht="18" customHeight="1">
      <c r="A21" s="86" t="s">
        <v>456</v>
      </c>
      <c r="B21" s="86"/>
      <c r="C21" s="86"/>
      <c r="D21" s="8">
        <f>_xlfn.IFNA(VLOOKUP(封面!B1,'2021决算导出'!A:AU,47,FALSE),"")</f>
        <v>1</v>
      </c>
      <c r="E21" s="88" t="s">
        <v>408</v>
      </c>
      <c r="F21" s="88"/>
      <c r="G21" s="88"/>
      <c r="H21" s="88"/>
      <c r="I21" s="88"/>
      <c r="J21" s="88"/>
      <c r="K21" s="88"/>
      <c r="L21" s="88"/>
      <c r="M21" s="54">
        <f>F16/D21</f>
        <v>7872.39</v>
      </c>
      <c r="N21" s="7" t="s">
        <v>216</v>
      </c>
    </row>
    <row r="22" spans="1:14" ht="18" customHeight="1">
      <c r="A22" s="6" t="s">
        <v>227</v>
      </c>
    </row>
    <row r="23" spans="1:14" ht="18" customHeight="1">
      <c r="A23" s="7" t="s">
        <v>228</v>
      </c>
    </row>
    <row r="24" spans="1:14" ht="18" customHeight="1">
      <c r="A24" s="6" t="s">
        <v>229</v>
      </c>
    </row>
    <row r="25" spans="1:14" ht="18" customHeight="1">
      <c r="A25" s="86" t="s">
        <v>457</v>
      </c>
      <c r="B25" s="86"/>
      <c r="C25" s="86"/>
      <c r="D25" s="86"/>
      <c r="E25" s="83">
        <f>_xlfn.IFNA(VLOOKUP(封面!B1,'2021决算导出'!A:AW,49,FALSE),"")</f>
        <v>810624.23</v>
      </c>
      <c r="F25" s="83"/>
      <c r="G25" s="7" t="s">
        <v>179</v>
      </c>
      <c r="H25" s="86" t="s">
        <v>230</v>
      </c>
      <c r="I25" s="86"/>
      <c r="J25" s="86"/>
      <c r="K25" s="86"/>
      <c r="L25" s="83">
        <f>_xlfn.IFNA(VLOOKUP(封面!B1,'2021决算导出'!A:AX,50,FALSE),"")</f>
        <v>36650</v>
      </c>
      <c r="M25" s="83" t="s">
        <v>179</v>
      </c>
      <c r="N25" s="7" t="s">
        <v>179</v>
      </c>
    </row>
    <row r="26" spans="1:14" ht="18" customHeight="1">
      <c r="A26" s="86" t="s">
        <v>231</v>
      </c>
      <c r="B26" s="86"/>
      <c r="C26" s="86"/>
      <c r="D26" s="83">
        <f>_xlfn.IFNA(VLOOKUP(封面!B1,'2021决算导出'!A:AY,51,FALSE),"")</f>
        <v>0</v>
      </c>
      <c r="E26" s="83" t="s">
        <v>179</v>
      </c>
      <c r="F26" s="7" t="s">
        <v>179</v>
      </c>
      <c r="G26" s="86" t="s">
        <v>232</v>
      </c>
      <c r="H26" s="86"/>
      <c r="I26" s="86"/>
      <c r="J26" s="83">
        <f>_xlfn.IFNA(VLOOKUP(封面!B1,'2021决算导出'!A:AZ,52,FALSE),"")</f>
        <v>773974</v>
      </c>
      <c r="K26" s="83" t="s">
        <v>179</v>
      </c>
      <c r="L26" s="7" t="s">
        <v>216</v>
      </c>
    </row>
    <row r="27" spans="1:14" ht="18" customHeight="1">
      <c r="A27" s="86" t="s">
        <v>233</v>
      </c>
      <c r="B27" s="86"/>
      <c r="C27" s="86"/>
      <c r="D27" s="86"/>
      <c r="E27" s="83">
        <f>_xlfn.IFNA(VLOOKUP(封面!B1,'2021决算导出'!A:BA,53,FALSE),"")</f>
        <v>810624</v>
      </c>
      <c r="F27" s="83" t="s">
        <v>179</v>
      </c>
      <c r="G27" s="7" t="s">
        <v>179</v>
      </c>
      <c r="H27" s="84" t="s">
        <v>234</v>
      </c>
      <c r="I27" s="84"/>
      <c r="J27" s="84"/>
      <c r="K27" s="29">
        <f>E27/$E$25</f>
        <v>0.99999971626804196</v>
      </c>
      <c r="L27" s="18" t="s">
        <v>315</v>
      </c>
      <c r="M27" s="7" t="s">
        <v>409</v>
      </c>
    </row>
    <row r="28" spans="1:14" ht="18" customHeight="1">
      <c r="A28" s="86" t="s">
        <v>235</v>
      </c>
      <c r="B28" s="86"/>
      <c r="C28" s="86"/>
      <c r="D28" s="86"/>
      <c r="E28" s="83">
        <f>_xlfn.IFNA(VLOOKUP(封面!B1,'2021决算导出'!A:BB,54,FALSE),"")</f>
        <v>0</v>
      </c>
      <c r="F28" s="83" t="s">
        <v>179</v>
      </c>
      <c r="G28" s="7" t="s">
        <v>179</v>
      </c>
      <c r="H28" s="84" t="s">
        <v>234</v>
      </c>
      <c r="I28" s="84"/>
      <c r="J28" s="84"/>
      <c r="K28" s="29">
        <f>E28/$E$25</f>
        <v>0</v>
      </c>
      <c r="L28" s="18" t="s">
        <v>317</v>
      </c>
    </row>
    <row r="29" spans="1:14" ht="18" customHeight="1">
      <c r="A29" s="6" t="s">
        <v>236</v>
      </c>
    </row>
    <row r="30" spans="1:14" ht="18" customHeight="1">
      <c r="A30" s="86" t="s">
        <v>458</v>
      </c>
      <c r="B30" s="86"/>
      <c r="C30" s="8">
        <f>_xlfn.IFNA(VLOOKUP(封面!B1,'2021决算导出'!A:BC,55,FALSE),"")</f>
        <v>1</v>
      </c>
      <c r="D30" s="7" t="s">
        <v>237</v>
      </c>
      <c r="M30" s="92">
        <f>_xlfn.IFNA(VLOOKUP(封面!B1,'2021决算导出'!A:BD,56,FALSE),"")</f>
        <v>195400</v>
      </c>
      <c r="N30" s="92" t="s">
        <v>179</v>
      </c>
    </row>
    <row r="31" spans="1:14" ht="18" customHeight="1">
      <c r="A31" s="12" t="s">
        <v>238</v>
      </c>
      <c r="B31" s="86" t="s">
        <v>239</v>
      </c>
      <c r="C31" s="86"/>
      <c r="D31" s="86"/>
      <c r="E31" s="86"/>
      <c r="F31" s="86"/>
      <c r="G31" s="8">
        <f>_xlfn.IFNA(VLOOKUP(封面!B1,'2021决算导出'!A:BE,57,FALSE),"")</f>
        <v>0</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9" t="s">
        <v>475</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xc</cp:lastModifiedBy>
  <cp:lastPrinted>2022-08-25T04:56:47Z</cp:lastPrinted>
  <dcterms:created xsi:type="dcterms:W3CDTF">2021-08-26T09:47:38Z</dcterms:created>
  <dcterms:modified xsi:type="dcterms:W3CDTF">2022-09-01T01:56:18Z</dcterms:modified>
</cp:coreProperties>
</file>