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8" yWindow="-108" windowWidth="23256" windowHeight="14016"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7" i="5"/>
  <c r="E47"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<sst xmlns="http://schemas.openxmlformats.org/spreadsheetml/2006/main" count="4852" uniqueCount="486">
  <si>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</si>
  <si>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</si>
  <si>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</si>
  <si>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</si>
  <si>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</si>
  <si>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</si>
  <si>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</si>
  <si>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</si>
  <si>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</si>
  <si>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</si>
  <si>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</si>
  <si>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</si>
  <si>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</si>
  <si>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</si>
  <si>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</si>
  <si>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</si>
  <si>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</si>
  <si>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</si>
  <si>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</si>
  <si>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</si>
  <si>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</si>
  <si>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</si>
  <si>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</si>
  <si>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</si>
  <si>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</si>
  <si>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</si>
  <si>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</si>
  <si>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</si>
  <si>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</si>
  <si>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</si>
  <si>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</si>
  <si>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</si>
  <si>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</si>
  <si>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</si>
  <si>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</si>
  <si>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</si>
  <si>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</si>
  <si>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</si>
  <si>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</si>
  <si>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</si>
  <si>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</si>
  <si>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</si>
  <si>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</si>
  <si>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</si>
  <si>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</si>
  <si>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</si>
  <si>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</si>
  <si>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</si>
  <si>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</si>
  <si>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</si>
  <si>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</si>
  <si>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</si>
  <si>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</si>
  <si>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</si>
  <si>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</si>
  <si>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</si>
  <si>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</si>
  <si>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</si>
  <si>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</si>
  <si>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</si>
  <si>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</si>
  <si>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</si>
  <si>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</si>
  <si>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</si>
  <si>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</si>
  <si>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</si>
  <si>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</si>
  <si>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</si>
  <si>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</si>
  <si>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</si>
  <si>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</si>
  <si>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</si>
  <si>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</si>
  <si>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</si>
  <si>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</si>
  <si>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</si>
  <si>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</si>
  <si>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</si>
  <si>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</si>
  <si>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</si>
  <si>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</si>
  <si>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</si>
  <si>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</si>
  <si>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</si>
  <si>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</si>
  <si>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</si>
  <si>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</si>
  <si>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</si>
  <si>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</si>
  <si>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</si>
  <si>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</si>
  <si>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</si>
  <si>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</si>
  <si>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</si>
  <si>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</si>
  <si>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</si>
  <si>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</si>
  <si>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</si>
  <si>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</si>
  <si>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</si>
  <si>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</si>
  <si>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</si>
  <si>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</si>
  <si>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</si>
  <si>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</si>
  <si>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</si>
  <si>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</si>
  <si>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</si>
  <si>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</si>
  <si>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</si>
  <si>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</si>
  <si>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</si>
  <si>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</si>
  <si>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</si>
  <si>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</si>
  <si>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</si>
  <si>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</si>
  <si>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</si>
  <si>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</si>
  <si>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</si>
  <si>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</si>
  <si>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</si>
  <si>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</si>
  <si>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</si>
  <si>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</si>
  <si>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</si>
  <si>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</si>
  <si>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</si>
  <si>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</si>
  <si>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</si>
  <si>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</si>
  <si>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</si>
  <si>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</si>
  <si>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</si>
  <si>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</si>
  <si>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</si>
  <si>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</si>
  <si>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</si>
  <si>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</si>
  <si>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</si>
  <si>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</si>
  <si>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</si>
  <si>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</si>
  <si>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</si>
  <si>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</si>
  <si>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</si>
  <si>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</si>
  <si>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</si>
  <si>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</si>
  <si>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</si>
  <si>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</si>
  <si>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</si>
  <si>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</si>
  <si>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</si>
  <si>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</si>
  <si>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</si>
  <si>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</si>
  <si>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</si>
  <si>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</si>
  <si>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</si>
  <si>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</si>
  <si>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</si>
  <si>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</si>
  <si>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</si>
  <si>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</si>
  <si>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</si>
  <si>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</si>
  <si>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</si>
  <si>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</si>
  <si>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</si>
  <si>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</si>
  <si>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</si>
  <si>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</si>
  <si>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</si>
  <si>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</si>
  <si>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</si>
  <si>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</si>
  <si>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</si>
  <si>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</si>
  <si>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</si>
  <si>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</si>
  <si>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</si>
  <si>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</si>
  <si>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</si>
  <si>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</si>
  <si>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</si>
  <si>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</si>
  <si>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</si>
  <si>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</si>
  <si>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</si>
  <si>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</si>
  <si>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</si>
  <si>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</si>
  <si>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</si>
  <si>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</si>
  <si>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</si>
  <si>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</si>
  <si>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</si>
  <si>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</si>
  <si>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</si>
  <si>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</si>
  <si>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</si>
  <si>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</si>
  <si>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</si>
  <si>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</si>
  <si>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</si>
  <si>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</si>
  <si>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</si>
  <si>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</si>
  <si>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</si>
  <si>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</si>
  <si>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</si>
  <si>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</si>
  <si>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</si>
  <si>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</si>
  <si>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</si>
  <si>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</si>
  <si>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</si>
  <si>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</si>
  <si>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</si>
  <si>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</si>
  <si>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</si>
  <si>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</si>
  <si>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</si>
  <si>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</si>
  <si>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</si>
  <si>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</si>
  <si>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</si>
  <si>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</si>
  <si>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</si>
  <si>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</si>
  <si>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</si>
  <si>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</si>
  <si>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</si>
  <si>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</si>
  <si>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</si>
  <si>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</si>
  <si>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</si>
  <si>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</si>
  <si>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</si>
  <si>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</si>
  <si>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</si>
  <si>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</si>
  <si>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</si>
  <si>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</si>
  <si>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</si>
  <si>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</si>
  <si>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</si>
  <si>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</si>
  <si>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</si>
  <si>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</si>
  <si>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</si>
  <si>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</si>
  <si>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</si>
  <si>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</si>
  <si>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</si>
  <si>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</si>
  <si>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</si>
  <si>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</si>
  <si>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</si>
  <si>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</si>
  <si>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</si>
  <si>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</si>
  <si>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</si>
  <si>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</si>
  <si>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</si>
  <si>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</si>
  <si>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</si>
  <si>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</si>
  <si>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</si>
  <si>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</si>
  <si>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</si>
  <si>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</si>
  <si>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</si>
  <si>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</si>
  <si>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</si>
  <si>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</si>
  <si>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</si>
  <si>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</si>
  <si>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</si>
  <si>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</si>
  <si>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</si>
  <si>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</si>
  <si>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</si>
  <si>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</si>
  <si>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</si>
  <si>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</si>
  <si>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</si>
  <si>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</si>
  <si>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</si>
  <si>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</si>
  <si>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</si>
  <si>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</si>
  <si>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</si>
  <si>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</si>
  <si>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</si>
  <si>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</si>
  <si>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</si>
  <si>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</si>
  <si>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</si>
  <si>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</si>
  <si>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</si>
  <si>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</si>
  <si>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</si>
  <si>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</si>
  <si>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</si>
  <si>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</si>
  <si>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</si>
  <si>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</si>
  <si>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</si>
  <si>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</si>
  <si>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</si>
  <si>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</si>
  <si>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</si>
  <si>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</si>
  <si>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</si>
  <si>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</si>
  <si>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</si>
  <si>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</si>
  <si>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</si>
  <si>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</si>
  <si>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</si>
  <si>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</si>
  <si>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</si>
  <si>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</si>
  <si>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</si>
  <si>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</si>
  <si>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</si>
  <si>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</si>
  <si>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</si>
  <si>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</si>
  <si>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</si>
  <si>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</si>
  <si>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</si>
  <si>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</si>
  <si>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</si>
  <si>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</si>
  <si>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</si>
  <si>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</si>
  <si>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</si>
  <si>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</si>
  <si>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</si>
  <si>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</si>
  <si>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</si>
  <si>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</si>
  <si>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</si>
  <si>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</si>
  <si>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</si>
  <si>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</si>
  <si>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</si>
  <si>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</si>
  <si>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</si>
  <si>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</si>
  <si>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</si>
  <si>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</si>
  <si>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</si>
  <si>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</si>
  <si>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</si>
  <si>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</si>
  <si>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</si>
  <si>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</si>
  <si>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</si>
  <si>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</si>
  <si>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</si>
  <si>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</si>
  <si>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</si>
  <si>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</si>
  <si>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</si>
  <si>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</si>
  <si>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</si>
  <si>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</si>
  <si>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</si>
  <si>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</si>
  <si>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</si>
  <si>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</si>
  <si>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</si>
  <si>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</si>
  <si>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</si>
  <si>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</si>
  <si>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</si>
  <si>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</si>
  <si>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</si>
  <si>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</si>
  <si>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</si>
  <si>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</si>
  <si>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</si>
  <si>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</si>
  <si>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</si>
  <si>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</si>
  <si>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</si>
  <si>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</si>
  <si>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</si>
  <si>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</si>
  <si>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</si>
  <si>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</si>
  <si>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</si>
  <si>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</si>
  <si>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</si>
  <si>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</si>
  <si>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</si>
  <si>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</si>
  <si>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</si>
  <si>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</si>
  <si>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</si>
  <si>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</si>
  <si>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</si>
  <si>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</si>
  <si>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</si>
  <si>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</si>
  <si>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</si>
  <si>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</si>
  <si>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</si>
  <si>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</si>
  <si>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</si>
  <si>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</si>
  <si>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</si>
  <si>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</si>
  <si>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</si>
  <si>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</si>
  <si>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</si>
  <si>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</si>
  <si>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</si>
  <si>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</si>
  <si>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</si>
  <si>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</si>
  <si>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</si>
  <si>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</si>
  <si>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</si>
  <si>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</si>
  <si>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</si>
  <si>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</si>
  <si>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</si>
  <si>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</si>
  <si>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</si>
  <si>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</si>
  <si>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</si>
  <si>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</si>
  <si>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</si>
  <si>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</si>
  <si>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</si>
  <si>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</si>
  <si>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</si>
  <si>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</si>
  <si>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</si>
  <si>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</si>
  <si>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</si>
  <si>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</si>
  <si>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</si>
  <si>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</si>
  <si>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</si>
  <si>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</si>
  <si>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</si>
  <si>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</si>
  <si>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</si>
  <si>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</si>
  <si>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</si>
  <si>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</si>
  <si>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</si>
  <si>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</si>
  <si>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</si>
  <si>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</si>
  <si>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</si>
  <si>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</si>
  <si>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</si>
  <si>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</si>
  <si>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</si>
  <si>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</si>
  <si>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</si>
  <si>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</si>
  <si>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</si>
  <si>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</si>
  <si>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</si>
  <si>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</si>
  <si>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</si>
  <si>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</si>
  <si>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</si>
  <si>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</si>
  <si>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</si>
  <si>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请我单位机构数1个，为全额拨款财政补助收入单位。主要机构设置：教务处、德育处、总务处、党政办公室。                                                                               教务处职责：
认真落实上级教育行政部门和学校制定的各项有关教学工作的规章制度，科学地编排作息时间和课程表，维护正常的教学秩序，做好学生学习常规管理工作。其主要职责是：
教师和教务处职员的考查考核工作；编制全校课表，为请假老师调课工作；组织好各阶段的考试；学生报到注册及学习考勤、成绩评定、学籍登记管理工作；教科书和学生教材的预订与发放工作；负责组织招生、新生入学和编班工作；完成校领导交办的其他临时性工作。                                                                                                                                       德育处职责：
在主管校长领导下全面负责学校学生思想政治教育和教育活动的组织与管理工作，其主要职责是：
协助主管校长贯彻执行党的教育方针，制定学校教育工作计划，按照教育规律组织开展教育活动，并经常进行检查、总结，认真、全面完成学校的教育任务。定期召开班主任会，组织班主任进行思想政治和业务理论学习，不断提高班主任工作水平和能力。注意掌握学生的思想动态，认真检查学生执行《中学生守则》和《中学生行为规范》的情况，针对学生的实际，及时提出改进学生思想政治工作的意见，认真落实《守则》和《规范》提出的要求。组织班主任做好学生的操行评定和各级“三好学生”的评选工作；做好后进学生的转化工作。指导共青团、少先队和学生会的工作，积极开展有益于学生身心健康的教育活动。努力培养学生干部和学生骨干，不断提高他们的思想觉悟和工作能力。协助体育组抓好学校的体育课和课间操，开展好群众性的体育活动。保证学生每天一小时的体育锻炼时间。通过组织各种运动队和小型单项体育竞赛，培养学校体育骨干。协助卫生室建立健全卫生保健制度，抓好学生的卫生常识教育，做好卫生扫除和眼保健操，培养良好的卫生习惯，保护学生视力健康。完成校领导交办的其他临时性工作。                                                                                                                                      总务处职责：
领导和组织总务处的全体工作人员努力做好工作,定期向主管校长和行政会报告工作。管理好财物，适时制定预决算,严格执行财会制度,合理使用各项经费,贯彻民主理财,定期审核公布财务收支情况。管好校产,负责安排基建和校舍的使用、各种校产的登记、管理、添置、维修,督促师生执行校产的使用和保管制度。负责有计划地组织办公、教学、维修、生活劳保和清洁卫生等各种设备用品的采购、保管和供应。搞好师生生活福利,抓好师生食堂和供水、供电、供暖工作。负责组织学校的校园绿化美化,校容整建。负责总务处所属部门的职工管理和临时工管理,安排他们的工作, 并注意加强教育。建立和健全总务处各项规章制度,并检查督促各方面认真执行。 适时提出总务处年度、学期、每月、每周的工作计划,并检查督促执行,及时向主管校长汇报。做好学校临时分配的其它工作。                                                                                                                                          党政办公室职责：
在校长领导下全面负责学校办公室的日常行政工作和学校有关事宜的协调工作。负责组织、研究、布置、落实和总结办公室工作。贯彻执行校长的工作指令，协助校长处理学校部分具体工作事宜。配合校长、副校长催办、落实校务行政会议决议的执行和完成。调查、收集并向领导提供有关学校工作的信息、意见和建议。协助校领导召集全校性的各种会议，做好参会人员的考勤登记工作。负责学校各种文件的规范行文，打印、复印的复核和审批等工作。对各种来文、文件资料按程序进行编号、登记、整理，及时送领导传阅并收回。负责学校印鉴和介绍信的保管和使用。安排、落实有关学校的信息，宣传和计划生育工作。车辆服务以及传达收发、门卫工作完成。校领导交办的其他临时性工作。</t>
    <phoneticPr fontId="4" type="noConversion"/>
  </si>
  <si>
    <t>主要原因是人员经费及社保经费增长。</t>
    <phoneticPr fontId="4" type="noConversion"/>
  </si>
  <si>
    <t>主要原因是因为疫情原因，减少了教育费附加安排的项目支出。</t>
    <phoneticPr fontId="4" type="noConversion"/>
  </si>
  <si>
    <t>主要原因是增加了卫生医疗经费。</t>
    <phoneticPr fontId="4" type="noConversion"/>
  </si>
  <si>
    <t>主要原因是增加了住房保障经费。</t>
    <phoneticPr fontId="4" type="noConversion"/>
  </si>
  <si>
    <t>主要原因是按照三公经费逐年递减的要求，进一步落实中央、北京市的有关厉行节约、压缩财政成本等规定，把勤俭节约落实到实处，坚决杜绝各种铺张浪费。</t>
  </si>
  <si>
    <t>主要原因是：因疫情原因，项目的金额有所减少。所以总体经费同去年同期相比略有减少。</t>
    <phoneticPr fontId="4" type="noConversion"/>
  </si>
  <si>
    <t>主要原因是增加了退休人员及养老支出经费，去世人员抚恤金及丧葬费。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</si>
</sst>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6">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0"/>
      <color theme="1"/>
      <name val="FangSong"/>
      <family val="3"/>
      <charset val="134"/>
    </font>
    <font>
      <sz val="14"/>
      <color theme="1"/>
      <name val="FangSong"/>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5">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24"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xf numFmtId="0" fontId="25" fillId="0" borderId="0" xfId="0" applyFont="1" applyAlignment="1">
      <alignment horizontal="left" vertical="top"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16" sqref="C16"/>
    </sheetView>
  </sheetViews>
  <sheetFormatPr defaultRowHeight="13.8"/>
  <cols>
    <col min="1" max="1" width="16.5546875" customWidth="1"/>
    <col min="2" max="2" width="12.77734375" bestFit="1" customWidth="1"/>
  </cols>
  <sheetData>
    <row r="1" spans="1:14" ht="37.799999999999997" customHeight="1">
      <c r="A1" s="27" t="s">
        <v>0</v>
      </c>
      <c r="B1" s="28">
        <v>255119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北京市第六十六中学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640625" defaultRowHeight="12"/>
  <cols>
    <col min="1" max="1" width="7.33203125" style="43" customWidth="1"/>
    <col min="2" max="2" width="19.109375" style="44" customWidth="1"/>
    <col min="3" max="3" width="9.109375" style="44" customWidth="1"/>
    <col min="4" max="4" width="8.88671875" style="44" customWidth="1"/>
    <col min="5" max="5" width="11.44140625" style="47" customWidth="1"/>
    <col min="6" max="6" width="9.88671875" style="47" customWidth="1"/>
    <col min="7" max="7" width="8.5546875" style="47" customWidth="1"/>
    <col min="8" max="10" width="8.6640625" style="47"/>
    <col min="11" max="11" width="7.77734375" style="47" customWidth="1"/>
    <col min="12" max="12" width="8.109375" style="47" customWidth="1"/>
    <col min="13" max="18" width="8.6640625" style="47"/>
    <col min="19" max="19" width="10.77734375" style="47" customWidth="1"/>
    <col min="20" max="20" width="10.6640625" style="47" customWidth="1"/>
    <col min="21" max="21" width="8.6640625" style="47"/>
    <col min="22" max="24" width="8.77734375" style="47" customWidth="1"/>
    <col min="25" max="16384" width="8.6640625" style="47"/>
  </cols>
  <sheetData>
    <row r="1" spans="1:40" s="42" customFormat="1" ht="61.8"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6"/>
    <col min="2" max="2" width="23.6640625" style="36" customWidth="1"/>
    <col min="3" max="4" width="7.21875" style="40" customWidth="1"/>
    <col min="5" max="5" width="8.5546875" style="41" customWidth="1"/>
    <col min="6" max="6" width="19.6640625" style="36" customWidth="1"/>
    <col min="7" max="8" width="13.6640625" style="36" customWidth="1"/>
    <col min="9" max="16384" width="8.88671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640625" defaultRowHeight="15.6"/>
  <cols>
    <col min="1" max="1" width="28.44140625" style="53" bestFit="1" customWidth="1"/>
    <col min="2" max="16384" width="8.6640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0" sqref="A10:N10"/>
    </sheetView>
  </sheetViews>
  <sheetFormatPr defaultRowHeight="13.8"/>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4" zoomScaleNormal="100" workbookViewId="0">
      <selection activeCell="A47" sqref="A47:XFD47"/>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359.4" customHeight="1">
      <c r="A4" s="91" t="s">
        <v>478</v>
      </c>
      <c r="B4" s="91"/>
      <c r="C4" s="91"/>
      <c r="D4" s="91"/>
      <c r="E4" s="91"/>
      <c r="F4" s="91"/>
      <c r="G4" s="91"/>
      <c r="H4" s="91"/>
      <c r="I4" s="91"/>
      <c r="J4" s="91"/>
      <c r="K4" s="91"/>
      <c r="L4" s="91"/>
      <c r="M4" s="91"/>
      <c r="N4" s="19"/>
    </row>
    <row r="5" spans="1:14" ht="18" customHeight="1">
      <c r="A5" s="7" t="s">
        <v>176</v>
      </c>
    </row>
    <row r="6" spans="1:14" ht="18" customHeight="1">
      <c r="A6" s="86" t="s">
        <v>245</v>
      </c>
      <c r="B6" s="86"/>
      <c r="C6" s="10"/>
      <c r="D6" s="10" t="s">
        <v>247</v>
      </c>
      <c r="E6" s="8">
        <f>_xlfn.IFNA(VLOOKUP(封面!B1,'2021决算导出'!A:C,3,FALSE),"")</f>
        <v>269</v>
      </c>
      <c r="F6" s="10" t="s">
        <v>248</v>
      </c>
      <c r="G6" s="10"/>
      <c r="H6" s="10"/>
      <c r="I6" s="10"/>
      <c r="J6" s="10"/>
      <c r="K6" s="10"/>
      <c r="L6" s="10"/>
      <c r="M6" s="10"/>
      <c r="N6" s="10"/>
    </row>
    <row r="7" spans="1:14" ht="18" customHeight="1">
      <c r="A7" s="6" t="s">
        <v>177</v>
      </c>
    </row>
    <row r="8" spans="1:14" ht="18" customHeight="1">
      <c r="A8" s="86" t="s">
        <v>416</v>
      </c>
      <c r="B8" s="86"/>
      <c r="C8" s="86"/>
      <c r="D8" s="14">
        <f>_xlfn.IFNA(VLOOKUP(封面!B1,'2021决算导出'!A:D,4,FALSE),"")</f>
        <v>117629605.69</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2110784.9600000083</v>
      </c>
      <c r="I8" s="16" t="s">
        <v>179</v>
      </c>
      <c r="J8" s="30" t="str">
        <f>IF(ISNA(VLOOKUP(封面!B1,'2020决算导出'!A:D,4,FALSE)),"",IF(D8-VLOOKUP(封面!B1,'2020决算导出'!A:D,4,FALSE)&gt;0,"增长","下降"))</f>
        <v>下降</v>
      </c>
      <c r="K8" s="31">
        <f>IF(ISNA(VLOOKUP(封面!B1,'2020决算导出'!A:D,4,FALSE)),"",H8/VLOOKUP(封面!B1,'2020决算导出'!A:D,4,FALSE))</f>
        <v>1.7628011304638317E-2</v>
      </c>
      <c r="L8" s="7" t="s">
        <v>313</v>
      </c>
    </row>
    <row r="9" spans="1:14" ht="18" customHeight="1">
      <c r="A9" s="7" t="s">
        <v>180</v>
      </c>
      <c r="G9" s="32"/>
      <c r="H9" s="32"/>
      <c r="I9" s="32"/>
      <c r="J9" s="32"/>
      <c r="K9" s="32"/>
    </row>
    <row r="10" spans="1:14" ht="18" customHeight="1">
      <c r="A10" s="86" t="s">
        <v>417</v>
      </c>
      <c r="B10" s="86"/>
      <c r="C10" s="86"/>
      <c r="D10" s="14">
        <f>_xlfn.IFNA(VLOOKUP(封面!B1,'2021决算导出'!A:E,5,FALSE),"")</f>
        <v>117194511.92</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2225984.0399999917</v>
      </c>
      <c r="I10" s="16" t="s">
        <v>179</v>
      </c>
      <c r="J10" s="30" t="str">
        <f>IF(ISNA(VLOOKUP(封面!B1,'2020决算导出'!A:E,5,FALSE)),"",IF(D10-VLOOKUP(封面!B1,'2020决算导出'!A:E,5,FALSE)&gt;0,"增长","下降"))</f>
        <v>下降</v>
      </c>
      <c r="K10" s="31">
        <f>IF(ISNA(VLOOKUP(封面!B1,'2020决算导出'!A:E,5,FALSE)),"",H10/VLOOKUP(封面!B1,'2020决算导出'!A:E,5,FALSE))</f>
        <v>1.8639882727882716E-2</v>
      </c>
      <c r="L10" s="7" t="s">
        <v>314</v>
      </c>
    </row>
    <row r="11" spans="1:14" ht="18" customHeight="1">
      <c r="A11" s="86" t="s">
        <v>181</v>
      </c>
      <c r="B11" s="86"/>
      <c r="C11" s="86"/>
      <c r="D11" s="14">
        <f>_xlfn.IFNA(VLOOKUP(封面!B1,'2021决算导出'!A:F,6,FALSE),"")</f>
        <v>116167511.92</v>
      </c>
      <c r="E11" s="7" t="s">
        <v>179</v>
      </c>
      <c r="F11" s="86" t="s">
        <v>182</v>
      </c>
      <c r="G11" s="86"/>
      <c r="H11" s="29">
        <f>D11/$D$10</f>
        <v>0.99123679101372031</v>
      </c>
      <c r="I11" s="7" t="s">
        <v>315</v>
      </c>
    </row>
    <row r="12" spans="1:14" ht="18" customHeight="1">
      <c r="A12" s="86" t="s">
        <v>184</v>
      </c>
      <c r="B12" s="86"/>
      <c r="C12" s="86"/>
      <c r="D12" s="14">
        <f>_xlfn.IFNA(VLOOKUP(封面!B1,'2021决算导出'!A:G,7,FALSE),"")</f>
        <v>1027000</v>
      </c>
      <c r="E12" s="7" t="s">
        <v>179</v>
      </c>
      <c r="F12" s="86" t="s">
        <v>182</v>
      </c>
      <c r="G12" s="86"/>
      <c r="H12" s="29">
        <f t="shared" ref="H12:H15" si="0">D12/$D$10</f>
        <v>8.7632089862796358E-3</v>
      </c>
      <c r="I12" s="7" t="s">
        <v>315</v>
      </c>
    </row>
    <row r="13" spans="1:14" ht="18" customHeight="1">
      <c r="A13" s="86" t="s">
        <v>185</v>
      </c>
      <c r="B13" s="86"/>
      <c r="C13" s="86"/>
      <c r="D13" s="14">
        <f>_xlfn.IFNA(VLOOKUP(封面!B1,'2021决算导出'!A:H,8,FALSE),"")</f>
        <v>0</v>
      </c>
      <c r="E13" s="7" t="s">
        <v>179</v>
      </c>
      <c r="F13" s="86" t="s">
        <v>182</v>
      </c>
      <c r="G13" s="86"/>
      <c r="H13" s="29">
        <f t="shared" si="0"/>
        <v>0</v>
      </c>
      <c r="I13" s="7" t="s">
        <v>315</v>
      </c>
    </row>
    <row r="14" spans="1:14" ht="18" customHeight="1">
      <c r="A14" s="86" t="s">
        <v>186</v>
      </c>
      <c r="B14" s="86"/>
      <c r="C14" s="86"/>
      <c r="D14" s="14">
        <f>_xlfn.IFNA(VLOOKUP(封面!B1,'2021决算导出'!A:I,9,FALSE),"")</f>
        <v>0</v>
      </c>
      <c r="E14" s="7" t="s">
        <v>179</v>
      </c>
      <c r="F14" s="86" t="s">
        <v>182</v>
      </c>
      <c r="G14" s="86"/>
      <c r="H14" s="29">
        <f t="shared" si="0"/>
        <v>0</v>
      </c>
      <c r="I14" s="7" t="s">
        <v>315</v>
      </c>
    </row>
    <row r="15" spans="1:14" ht="18" customHeight="1">
      <c r="A15" s="86" t="s">
        <v>187</v>
      </c>
      <c r="B15" s="86"/>
      <c r="C15" s="86"/>
      <c r="D15" s="14">
        <f>_xlfn.IFNA(VLOOKUP(封面!B1,'2021决算导出'!A:J,10,FALSE),"")</f>
        <v>0</v>
      </c>
      <c r="E15" s="7" t="s">
        <v>179</v>
      </c>
      <c r="F15" s="86" t="s">
        <v>182</v>
      </c>
      <c r="G15" s="86"/>
      <c r="H15" s="29">
        <f t="shared" si="0"/>
        <v>0</v>
      </c>
      <c r="I15" s="7" t="s">
        <v>316</v>
      </c>
    </row>
    <row r="16" spans="1:14" ht="18" customHeight="1">
      <c r="A16" s="7" t="s">
        <v>188</v>
      </c>
    </row>
    <row r="17" spans="1:13" ht="18" customHeight="1">
      <c r="A17" s="86" t="s">
        <v>418</v>
      </c>
      <c r="B17" s="86"/>
      <c r="C17" s="86"/>
      <c r="D17" s="14">
        <f>_xlfn.IFNA(VLOOKUP(封面!B1,'2021决算导出'!A:K,11,FALSE),"")</f>
        <v>117398231.04000001</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1950059.6099999994</v>
      </c>
      <c r="I17" s="7" t="s">
        <v>179</v>
      </c>
      <c r="J17" s="30" t="str">
        <f>IF(ISNA(VLOOKUP(封面!B1,'2020决算导出'!A:K,11,FALSE)),"",IF(D17-VLOOKUP(封面!B1,'2020决算导出'!A:K,11,FALSE)&gt;0,"增长","下降"))</f>
        <v>下降</v>
      </c>
      <c r="K17" s="31">
        <f>IF(ISNA(VLOOKUP(封面!B1,'2020决算导出'!A:K,11,FALSE)),"",H17/VLOOKUP(封面!B1,'2020决算导出'!A:K,11,FALSE))</f>
        <v>1.6339233677998215E-2</v>
      </c>
      <c r="L17" s="7" t="s">
        <v>317</v>
      </c>
    </row>
    <row r="18" spans="1:13" ht="18" customHeight="1">
      <c r="A18" s="86" t="s">
        <v>189</v>
      </c>
      <c r="B18" s="86"/>
      <c r="C18" s="86"/>
      <c r="D18" s="14">
        <f>_xlfn.IFNA(VLOOKUP(封面!B1,'2021决算导出'!A:L,12,FALSE),"")</f>
        <v>110369709.39</v>
      </c>
      <c r="E18" s="7" t="s">
        <v>179</v>
      </c>
      <c r="F18" s="86" t="s">
        <v>190</v>
      </c>
      <c r="G18" s="86"/>
      <c r="H18" s="29">
        <f>D18/$D$17</f>
        <v>0.94013094074982062</v>
      </c>
      <c r="I18" s="7" t="s">
        <v>315</v>
      </c>
    </row>
    <row r="19" spans="1:13" ht="18" customHeight="1">
      <c r="A19" s="86" t="s">
        <v>191</v>
      </c>
      <c r="B19" s="86"/>
      <c r="C19" s="86"/>
      <c r="D19" s="14">
        <f>_xlfn.IFNA(VLOOKUP(封面!B1,'2021决算导出'!A:M,13,FALSE),"")</f>
        <v>7028521.6500000004</v>
      </c>
      <c r="E19" s="7" t="s">
        <v>179</v>
      </c>
      <c r="F19" s="86" t="s">
        <v>190</v>
      </c>
      <c r="G19" s="86"/>
      <c r="H19" s="29">
        <f t="shared" ref="H19:H20" si="1">D19/$D$17</f>
        <v>5.986905925017931E-2</v>
      </c>
      <c r="I19" s="7" t="s">
        <v>315</v>
      </c>
    </row>
    <row r="20" spans="1:13" ht="18" customHeight="1">
      <c r="A20" s="86" t="s">
        <v>192</v>
      </c>
      <c r="B20" s="86"/>
      <c r="C20" s="86"/>
      <c r="D20" s="14">
        <f>_xlfn.IFNA(VLOOKUP(封面!B1,'2021决算导出'!A:N,14,FALSE),"")</f>
        <v>0</v>
      </c>
      <c r="E20" s="7" t="s">
        <v>179</v>
      </c>
      <c r="F20" s="86" t="s">
        <v>190</v>
      </c>
      <c r="G20" s="86"/>
      <c r="H20" s="29">
        <f t="shared" si="1"/>
        <v>0</v>
      </c>
      <c r="I20" s="7" t="s">
        <v>316</v>
      </c>
    </row>
    <row r="21" spans="1:13" ht="18" customHeight="1">
      <c r="A21" s="6" t="s">
        <v>193</v>
      </c>
    </row>
    <row r="22" spans="1:13" ht="18" customHeight="1">
      <c r="A22" s="86" t="s">
        <v>419</v>
      </c>
      <c r="B22" s="86"/>
      <c r="C22" s="86"/>
      <c r="D22" s="86"/>
      <c r="E22" s="83">
        <f>_xlfn.IFNA(VLOOKUP(封面!B1,'2021决算导出'!A:O,15,FALSE),"")</f>
        <v>116559611.92</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2221531.2300000042</v>
      </c>
      <c r="J22" s="7" t="s">
        <v>179</v>
      </c>
      <c r="K22" s="30" t="str">
        <f>IF(ISNA(VLOOKUP(封面!B1,'2020决算导出'!A:O,15,FALSE)),"",IF(E22-VLOOKUP(封面!B1,'2020决算导出'!A:O,15,FALSE)&gt;0,"增长","下降"))</f>
        <v>下降</v>
      </c>
      <c r="L22" s="31">
        <f>IF(ISNA(VLOOKUP(封面!B1,'2020决算导出'!A:O,15,FALSE)),"",I22/VLOOKUP(封面!B1,'2020决算导出'!A:O,15,FALSE))</f>
        <v>1.8702726468919358E-2</v>
      </c>
      <c r="M22" s="7" t="s">
        <v>313</v>
      </c>
    </row>
    <row r="23" spans="1:13" ht="39" customHeight="1">
      <c r="B23" s="87" t="s">
        <v>484</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420</v>
      </c>
      <c r="B26" s="86"/>
      <c r="C26" s="86"/>
      <c r="D26" s="86"/>
      <c r="E26" s="86"/>
      <c r="F26" s="83">
        <f>_xlfn.IFNA(VLOOKUP(封面!B1,'2021决算导出'!A:P,16,FALSE),"")</f>
        <v>116328237.27</v>
      </c>
      <c r="G26" s="83"/>
      <c r="H26" s="7" t="s">
        <v>179</v>
      </c>
      <c r="I26" s="10" t="s">
        <v>196</v>
      </c>
      <c r="J26" s="10"/>
      <c r="K26" s="10"/>
      <c r="L26" s="10"/>
      <c r="M26" s="10"/>
    </row>
    <row r="27" spans="1:13" ht="18" customHeight="1">
      <c r="A27" s="86" t="s">
        <v>199</v>
      </c>
      <c r="B27" s="86"/>
      <c r="C27" s="86"/>
      <c r="D27" s="83">
        <f>_xlfn.IFNA(VLOOKUP(封面!B1,'2021决算导出'!A:Q,17,FALSE),"")</f>
        <v>74831261.540000007</v>
      </c>
      <c r="E27" s="83"/>
      <c r="F27" s="7" t="s">
        <v>179</v>
      </c>
      <c r="G27" s="84" t="s">
        <v>198</v>
      </c>
      <c r="H27" s="84"/>
      <c r="I27" s="29">
        <f>D27/$F$26</f>
        <v>0.64327684572676247</v>
      </c>
      <c r="J27" s="7" t="s">
        <v>315</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315</v>
      </c>
      <c r="K28" s="9"/>
      <c r="L28" s="9"/>
      <c r="M28" s="9"/>
    </row>
    <row r="29" spans="1:13" ht="18" customHeight="1">
      <c r="A29" s="86" t="s">
        <v>197</v>
      </c>
      <c r="B29" s="86"/>
      <c r="C29" s="86"/>
      <c r="D29" s="83">
        <f>_xlfn.IFNA(VLOOKUP(封面!B1,'2021决算导出'!A:S,19,FALSE),"")</f>
        <v>18148669.780000001</v>
      </c>
      <c r="E29" s="83"/>
      <c r="F29" s="7" t="s">
        <v>179</v>
      </c>
      <c r="G29" s="84" t="s">
        <v>198</v>
      </c>
      <c r="H29" s="84"/>
      <c r="I29" s="29">
        <f t="shared" si="2"/>
        <v>0.15601259166230297</v>
      </c>
      <c r="J29" s="7" t="s">
        <v>315</v>
      </c>
    </row>
    <row r="30" spans="1:13" ht="18" customHeight="1">
      <c r="A30" s="86" t="s">
        <v>201</v>
      </c>
      <c r="B30" s="86"/>
      <c r="C30" s="86"/>
      <c r="D30" s="83">
        <f>_xlfn.IFNA(VLOOKUP(封面!B1,'2021决算导出'!A:T,20,FALSE),"")</f>
        <v>8681344.9499999993</v>
      </c>
      <c r="E30" s="83"/>
      <c r="F30" s="7" t="s">
        <v>179</v>
      </c>
      <c r="G30" s="84" t="s">
        <v>198</v>
      </c>
      <c r="H30" s="84"/>
      <c r="I30" s="29">
        <f t="shared" si="2"/>
        <v>7.4628010822947802E-2</v>
      </c>
      <c r="J30" s="7" t="s">
        <v>315</v>
      </c>
    </row>
    <row r="31" spans="1:13" ht="18" customHeight="1">
      <c r="A31" s="86" t="s">
        <v>202</v>
      </c>
      <c r="B31" s="86"/>
      <c r="C31" s="86"/>
      <c r="D31" s="83">
        <f>_xlfn.IFNA(VLOOKUP(封面!B1,'2021决算导出'!A:U,21,FALSE),"")</f>
        <v>0</v>
      </c>
      <c r="E31" s="83"/>
      <c r="F31" s="7" t="s">
        <v>179</v>
      </c>
      <c r="G31" s="84" t="s">
        <v>198</v>
      </c>
      <c r="H31" s="84"/>
      <c r="I31" s="29">
        <f t="shared" si="2"/>
        <v>0</v>
      </c>
      <c r="J31" s="7" t="s">
        <v>315</v>
      </c>
    </row>
    <row r="32" spans="1:13" ht="18" customHeight="1">
      <c r="A32" s="86" t="s">
        <v>203</v>
      </c>
      <c r="B32" s="86"/>
      <c r="C32" s="86"/>
      <c r="D32" s="83">
        <f>_xlfn.IFNA(VLOOKUP(封面!B1,'2021决算导出'!A:V,22,FALSE),"")</f>
        <v>14666961</v>
      </c>
      <c r="E32" s="83"/>
      <c r="F32" s="7" t="s">
        <v>179</v>
      </c>
      <c r="G32" s="84" t="s">
        <v>198</v>
      </c>
      <c r="H32" s="84"/>
      <c r="I32" s="29">
        <f t="shared" si="2"/>
        <v>0.12608255178798689</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74831261.539999992</v>
      </c>
      <c r="F34" s="83"/>
      <c r="G34" s="7" t="s">
        <v>179</v>
      </c>
      <c r="H34" s="84" t="s">
        <v>422</v>
      </c>
      <c r="I34" s="84"/>
      <c r="J34" s="83">
        <f>_xlfn.IFNA(VLOOKUP(封面!B1,一般公共预算财政拨款支出决算具体情况!A:D,4,FALSE),"")</f>
        <v>71081447.959999993</v>
      </c>
      <c r="K34" s="83"/>
      <c r="L34" s="11" t="s">
        <v>178</v>
      </c>
    </row>
    <row r="35" spans="1:12" ht="18" customHeight="1">
      <c r="B35" s="15" t="str">
        <f>IF(E34&gt;J34,"增加","减少")</f>
        <v>增加</v>
      </c>
      <c r="C35" s="83">
        <f>ABS(E34-J34)</f>
        <v>3749813.5799999982</v>
      </c>
      <c r="D35" s="83"/>
      <c r="E35" s="7" t="s">
        <v>179</v>
      </c>
      <c r="F35" s="15" t="str">
        <f>IF(E34&gt;J34,"增长","下降")</f>
        <v>增长</v>
      </c>
      <c r="G35" s="34">
        <f>IF(J34=0,IF(E34&gt;0,1,""),C35/J34)</f>
        <v>5.2753759069597866E-2</v>
      </c>
      <c r="H35" s="7" t="s">
        <v>316</v>
      </c>
      <c r="I35" s="11" t="s">
        <v>205</v>
      </c>
    </row>
    <row r="36" spans="1:12" ht="18" customHeight="1">
      <c r="A36" s="86" t="s">
        <v>423</v>
      </c>
      <c r="B36" s="86"/>
      <c r="C36" s="86"/>
      <c r="D36" s="86"/>
      <c r="E36" s="83">
        <f>_xlfn.IFNA(VLOOKUP(封面!B1,一般公共预算财政拨款支出决算具体情况!A:E,5,FALSE),"")</f>
        <v>74638321.539999992</v>
      </c>
      <c r="F36" s="83"/>
      <c r="G36" s="7" t="s">
        <v>179</v>
      </c>
      <c r="H36" s="84" t="s">
        <v>422</v>
      </c>
      <c r="I36" s="84"/>
      <c r="J36" s="83">
        <f>_xlfn.IFNA(VLOOKUP(封面!B1,一般公共预算财政拨款支出决算具体情况!A:F,6,FALSE),"")</f>
        <v>70888287.959999993</v>
      </c>
      <c r="K36" s="83"/>
      <c r="L36" s="11" t="s">
        <v>178</v>
      </c>
    </row>
    <row r="37" spans="1:12" ht="18" customHeight="1">
      <c r="A37" s="15"/>
      <c r="B37" s="15" t="str">
        <f>IF(E36&gt;J36,"增加","减少")</f>
        <v>增加</v>
      </c>
      <c r="C37" s="83">
        <f>ABS(E36-J36)</f>
        <v>3750033.5799999982</v>
      </c>
      <c r="D37" s="83"/>
      <c r="E37" s="7" t="s">
        <v>179</v>
      </c>
      <c r="F37" s="15" t="str">
        <f>IF(E36&gt;J36,"增长","下降")</f>
        <v>增长</v>
      </c>
      <c r="G37" s="34">
        <f>IF(J36=0,IF(E36&gt;0,1,""),C37/J36)</f>
        <v>5.2900608660714485E-2</v>
      </c>
      <c r="H37" s="7" t="s">
        <v>316</v>
      </c>
    </row>
    <row r="38" spans="1:12" ht="36" customHeight="1">
      <c r="B38" s="89" t="s">
        <v>479</v>
      </c>
      <c r="C38" s="89"/>
      <c r="D38" s="89"/>
      <c r="E38" s="89"/>
      <c r="F38" s="89"/>
      <c r="G38" s="89"/>
      <c r="H38" s="89"/>
      <c r="I38" s="89"/>
      <c r="J38" s="89"/>
      <c r="K38" s="89"/>
      <c r="L38" s="89"/>
    </row>
    <row r="39" spans="1:12" ht="18" customHeight="1">
      <c r="A39" s="86" t="s">
        <v>424</v>
      </c>
      <c r="B39" s="86"/>
      <c r="C39" s="86"/>
      <c r="D39" s="86"/>
      <c r="E39" s="83">
        <f>_xlfn.IFNA(VLOOKUP(封面!B1,一般公共预算财政拨款支出决算具体情况!A:G,7,FALSE),"")</f>
        <v>0</v>
      </c>
      <c r="F39" s="83"/>
      <c r="G39" s="7" t="s">
        <v>179</v>
      </c>
      <c r="H39" s="84" t="s">
        <v>422</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6" t="s">
        <v>425</v>
      </c>
      <c r="B41" s="86"/>
      <c r="C41" s="86"/>
      <c r="D41" s="86"/>
      <c r="E41" s="83">
        <f>_xlfn.IFNA(VLOOKUP(封面!B1,一般公共预算财政拨款支出决算具体情况!A:I,9,FALSE),"")</f>
        <v>0</v>
      </c>
      <c r="F41" s="83"/>
      <c r="G41" s="7" t="s">
        <v>179</v>
      </c>
      <c r="H41" s="84" t="s">
        <v>422</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6" t="s">
        <v>426</v>
      </c>
      <c r="B43" s="86"/>
      <c r="C43" s="86"/>
      <c r="D43" s="86"/>
      <c r="E43" s="83">
        <f>_xlfn.IFNA(VLOOKUP(封面!B1,一般公共预算财政拨款支出决算具体情况!A:K,11,FALSE),"")</f>
        <v>0</v>
      </c>
      <c r="F43" s="83"/>
      <c r="G43" s="7" t="s">
        <v>179</v>
      </c>
      <c r="H43" s="84" t="s">
        <v>422</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6" t="s">
        <v>427</v>
      </c>
      <c r="B45" s="86"/>
      <c r="C45" s="86"/>
      <c r="D45" s="86"/>
      <c r="E45" s="83">
        <f>_xlfn.IFNA(VLOOKUP(封面!B1,一般公共预算财政拨款支出决算具体情况!A:M,13,FALSE),"")</f>
        <v>178160</v>
      </c>
      <c r="F45" s="83"/>
      <c r="G45" s="7" t="s">
        <v>179</v>
      </c>
      <c r="H45" s="84" t="s">
        <v>422</v>
      </c>
      <c r="I45" s="84"/>
      <c r="J45" s="83">
        <f>_xlfn.IFNA(VLOOKUP(封面!B1,一般公共预算财政拨款支出决算具体情况!A:N,14,FALSE),"")</f>
        <v>178160</v>
      </c>
      <c r="K45" s="83"/>
      <c r="L45" s="11" t="s">
        <v>178</v>
      </c>
    </row>
    <row r="46" spans="1:12" ht="18" customHeight="1">
      <c r="A46" s="15"/>
      <c r="B46" s="15" t="str">
        <f>IF(E45&gt;J45,"增加","减少")</f>
        <v>减少</v>
      </c>
      <c r="C46" s="83">
        <f>ABS(E45-J45)</f>
        <v>0</v>
      </c>
      <c r="D46" s="83"/>
      <c r="E46" s="7" t="s">
        <v>179</v>
      </c>
      <c r="F46" s="15" t="str">
        <f>IF(E45&gt;J45,"增长","下降")</f>
        <v>下降</v>
      </c>
      <c r="G46" s="34">
        <f>IF(J45=0,IF(E45&gt;0,1,""),C46/J45)</f>
        <v>0</v>
      </c>
      <c r="H46" s="7" t="s">
        <v>316</v>
      </c>
    </row>
    <row r="47" spans="1:12" ht="18" customHeight="1">
      <c r="A47" s="85" t="s">
        <v>428</v>
      </c>
      <c r="B47" s="85"/>
      <c r="C47" s="85"/>
      <c r="D47" s="85"/>
      <c r="E47" s="83">
        <f>_xlfn.IFNA(VLOOKUP(封面!B1,一般公共预算财政拨款支出决算具体情况!A:O,15,FALSE),"")</f>
        <v>14780</v>
      </c>
      <c r="F47" s="83"/>
      <c r="G47" s="7" t="s">
        <v>179</v>
      </c>
      <c r="H47" s="84" t="s">
        <v>422</v>
      </c>
      <c r="I47" s="84"/>
      <c r="J47" s="83">
        <f>_xlfn.IFNA(VLOOKUP(封面!B1,一般公共预算财政拨款支出决算具体情况!A:P,16,FALSE),"")</f>
        <v>15000</v>
      </c>
      <c r="K47" s="83"/>
      <c r="L47" s="11" t="s">
        <v>178</v>
      </c>
    </row>
    <row r="48" spans="1:12" ht="18" customHeight="1">
      <c r="A48" s="15"/>
      <c r="B48" s="15" t="str">
        <f>IF(E47&gt;J47,"增加","减少")</f>
        <v>减少</v>
      </c>
      <c r="C48" s="83">
        <f>ABS(E47-J47)</f>
        <v>220</v>
      </c>
      <c r="D48" s="83"/>
      <c r="E48" s="7" t="s">
        <v>179</v>
      </c>
      <c r="F48" s="15" t="str">
        <f>IF(E47&gt;J47,"增长","下降")</f>
        <v>下降</v>
      </c>
      <c r="G48" s="34">
        <f>IF(J47=0,IF(E47&gt;0,1,""),C48/J47)</f>
        <v>1.4666666666666666E-2</v>
      </c>
      <c r="H48" s="7" t="s">
        <v>316</v>
      </c>
    </row>
    <row r="49" spans="1:12" ht="36" customHeight="1">
      <c r="B49" s="89" t="s">
        <v>480</v>
      </c>
      <c r="C49" s="89"/>
      <c r="D49" s="89"/>
      <c r="E49" s="89"/>
      <c r="F49" s="89"/>
      <c r="G49" s="89"/>
      <c r="H49" s="89"/>
      <c r="I49" s="89"/>
      <c r="J49" s="89"/>
      <c r="K49" s="89"/>
      <c r="L49" s="89"/>
    </row>
    <row r="50" spans="1:12" ht="18" customHeight="1">
      <c r="A50" s="90" t="s">
        <v>429</v>
      </c>
      <c r="B50" s="90"/>
      <c r="C50" s="90"/>
      <c r="D50" s="90"/>
      <c r="E50" s="83">
        <f>_xlfn.IFNA(VLOOKUP(封面!B1,一般公共预算财政拨款支出决算具体情况!A:Q,17,FALSE),"")</f>
        <v>0</v>
      </c>
      <c r="F50" s="83"/>
      <c r="G50" s="7" t="s">
        <v>179</v>
      </c>
      <c r="H50" s="88" t="s">
        <v>430</v>
      </c>
      <c r="I50" s="88"/>
      <c r="J50" s="88"/>
      <c r="K50" s="88"/>
      <c r="L50" s="11"/>
    </row>
    <row r="51" spans="1:12" ht="18" customHeight="1">
      <c r="A51" s="85" t="s">
        <v>472</v>
      </c>
      <c r="B51" s="85"/>
      <c r="C51" s="85"/>
      <c r="D51" s="85"/>
      <c r="E51" s="83">
        <f>_xlfn.IFNA(VLOOKUP(封面!B1,一般公共预算财政拨款支出决算具体情况!A:S,19,FALSE),"")</f>
        <v>0</v>
      </c>
      <c r="F51" s="83"/>
      <c r="G51" s="7" t="s">
        <v>179</v>
      </c>
      <c r="H51" s="88" t="s">
        <v>432</v>
      </c>
      <c r="I51" s="88"/>
      <c r="J51" s="88"/>
      <c r="K51" s="88"/>
      <c r="L51" s="11"/>
    </row>
    <row r="52" spans="1:12" ht="18" customHeight="1">
      <c r="A52" s="86" t="s">
        <v>431</v>
      </c>
      <c r="B52" s="86"/>
      <c r="C52" s="86"/>
      <c r="D52" s="86"/>
      <c r="E52" s="83">
        <f>_xlfn.IFNA(VLOOKUP(封面!B1,一般公共预算财政拨款支出决算具体情况!A:U,21,FALSE),"")</f>
        <v>0</v>
      </c>
      <c r="F52" s="83"/>
      <c r="G52" s="7" t="s">
        <v>179</v>
      </c>
      <c r="H52" s="88" t="s">
        <v>432</v>
      </c>
      <c r="I52" s="88"/>
      <c r="J52" s="88"/>
      <c r="K52" s="88"/>
      <c r="L52" s="11"/>
    </row>
    <row r="53" spans="1:12" ht="18" customHeight="1">
      <c r="A53" s="90" t="s">
        <v>433</v>
      </c>
      <c r="B53" s="90"/>
      <c r="C53" s="90"/>
      <c r="D53" s="90"/>
      <c r="E53" s="83">
        <f>_xlfn.IFNA(VLOOKUP(封面!B1,一般公共预算财政拨款支出决算具体情况!A:W,23,FALSE),"")</f>
        <v>18148669.780000001</v>
      </c>
      <c r="F53" s="83"/>
      <c r="G53" s="7" t="s">
        <v>179</v>
      </c>
      <c r="H53" s="84" t="s">
        <v>422</v>
      </c>
      <c r="I53" s="84"/>
      <c r="J53" s="83">
        <f>_xlfn.IFNA(VLOOKUP(封面!B1,一般公共预算财政拨款支出决算具体情况!A:X,24,FALSE),"")</f>
        <v>17263506.549999997</v>
      </c>
      <c r="K53" s="83"/>
      <c r="L53" s="11" t="s">
        <v>178</v>
      </c>
    </row>
    <row r="54" spans="1:12" ht="18" customHeight="1">
      <c r="B54" s="15" t="str">
        <f>IF(E53&gt;J53,"增加","减少")</f>
        <v>增加</v>
      </c>
      <c r="C54" s="83">
        <f>ABS(E53-J53)</f>
        <v>885163.23000000417</v>
      </c>
      <c r="D54" s="83"/>
      <c r="E54" s="7" t="s">
        <v>179</v>
      </c>
      <c r="F54" s="15" t="str">
        <f>IF(E53&gt;J53,"增长","下降")</f>
        <v>增长</v>
      </c>
      <c r="G54" s="34">
        <f>IF(J53=0,IF(E53&gt;0,1,""),C54/J53)</f>
        <v>5.1273663750543444E-2</v>
      </c>
      <c r="H54" s="7" t="s">
        <v>316</v>
      </c>
      <c r="I54" s="11" t="s">
        <v>205</v>
      </c>
    </row>
    <row r="55" spans="1:12" ht="18" customHeight="1">
      <c r="A55" s="85" t="s">
        <v>434</v>
      </c>
      <c r="B55" s="85"/>
      <c r="C55" s="85"/>
      <c r="D55" s="85"/>
      <c r="E55" s="83">
        <f>_xlfn.IFNA(VLOOKUP(封面!B1,一般公共预算财政拨款支出决算具体情况!A:Y,25,FALSE),"")</f>
        <v>18148669.780000001</v>
      </c>
      <c r="F55" s="83"/>
      <c r="G55" s="7" t="s">
        <v>179</v>
      </c>
      <c r="H55" s="84" t="s">
        <v>422</v>
      </c>
      <c r="I55" s="84"/>
      <c r="J55" s="83">
        <f>_xlfn.IFNA(VLOOKUP(封面!B1,一般公共预算财政拨款支出决算具体情况!A:Z,26,FALSE),"")</f>
        <v>17263506.549999997</v>
      </c>
      <c r="K55" s="83"/>
      <c r="L55" s="11" t="s">
        <v>178</v>
      </c>
    </row>
    <row r="56" spans="1:12" ht="18" customHeight="1">
      <c r="A56" s="15"/>
      <c r="B56" s="15" t="str">
        <f>IF(E55&gt;J55,"增加","减少")</f>
        <v>增加</v>
      </c>
      <c r="C56" s="83">
        <f>ABS(E55-J55)</f>
        <v>885163.23000000417</v>
      </c>
      <c r="D56" s="83"/>
      <c r="E56" s="7" t="s">
        <v>179</v>
      </c>
      <c r="F56" s="15" t="str">
        <f>IF(E55&gt;J55,"增长","下降")</f>
        <v>增长</v>
      </c>
      <c r="G56" s="34">
        <f>IF(J55=0,IF(E55&gt;0,1,""),C56/J55)</f>
        <v>5.1273663750543444E-2</v>
      </c>
      <c r="H56" s="7" t="s">
        <v>316</v>
      </c>
    </row>
    <row r="57" spans="1:12" ht="36" customHeight="1">
      <c r="B57" s="89" t="s">
        <v>485</v>
      </c>
      <c r="C57" s="89"/>
      <c r="D57" s="89"/>
      <c r="E57" s="89"/>
      <c r="F57" s="89"/>
      <c r="G57" s="89"/>
      <c r="H57" s="89"/>
      <c r="I57" s="89"/>
      <c r="J57" s="89"/>
      <c r="K57" s="89"/>
      <c r="L57" s="89"/>
    </row>
    <row r="58" spans="1:12" ht="18" customHeight="1">
      <c r="A58" s="85" t="s">
        <v>435</v>
      </c>
      <c r="B58" s="85"/>
      <c r="C58" s="85"/>
      <c r="D58" s="85"/>
      <c r="E58" s="83">
        <f>_xlfn.IFNA(VLOOKUP(封面!B1,一般公共预算财政拨款支出决算具体情况!A:AA,27,FALSE),"")</f>
        <v>0</v>
      </c>
      <c r="F58" s="83"/>
      <c r="G58" s="7" t="s">
        <v>179</v>
      </c>
      <c r="H58" s="84" t="s">
        <v>432</v>
      </c>
      <c r="I58" s="84"/>
      <c r="J58" s="83"/>
      <c r="K58" s="83"/>
      <c r="L58" s="11"/>
    </row>
    <row r="59" spans="1:12" ht="18" customHeight="1">
      <c r="A59" s="90" t="s">
        <v>436</v>
      </c>
      <c r="B59" s="90"/>
      <c r="C59" s="90"/>
      <c r="D59" s="90"/>
      <c r="E59" s="83">
        <f>_xlfn.IFNA(VLOOKUP(封面!B1,一般公共预算财政拨款支出决算具体情况!A:AC,29,FALSE),"")</f>
        <v>8681344.9499999993</v>
      </c>
      <c r="F59" s="83"/>
      <c r="G59" s="7" t="s">
        <v>179</v>
      </c>
      <c r="H59" s="84" t="s">
        <v>422</v>
      </c>
      <c r="I59" s="84"/>
      <c r="J59" s="83">
        <f>_xlfn.IFNA(VLOOKUP(封面!B1,一般公共预算财政拨款支出决算具体情况!A:AD,30,FALSE),"")</f>
        <v>7211163.8799999999</v>
      </c>
      <c r="K59" s="83"/>
      <c r="L59" s="11" t="s">
        <v>178</v>
      </c>
    </row>
    <row r="60" spans="1:12" ht="18" customHeight="1">
      <c r="B60" s="15" t="str">
        <f>IF(E59&gt;J59,"增加","减少")</f>
        <v>增加</v>
      </c>
      <c r="C60" s="83">
        <f>ABS(E59-J59)</f>
        <v>1470181.0699999994</v>
      </c>
      <c r="D60" s="83"/>
      <c r="E60" s="7" t="s">
        <v>179</v>
      </c>
      <c r="F60" s="15" t="str">
        <f>IF(E59&gt;J59,"增长","下降")</f>
        <v>增长</v>
      </c>
      <c r="G60" s="34">
        <f>IF(J59=0,IF(E59&gt;0,1,""),C60/J59)</f>
        <v>0.2038756980794062</v>
      </c>
      <c r="H60" s="7" t="s">
        <v>316</v>
      </c>
      <c r="I60" s="11" t="s">
        <v>205</v>
      </c>
    </row>
    <row r="61" spans="1:12" ht="18" customHeight="1">
      <c r="A61" s="85" t="s">
        <v>437</v>
      </c>
      <c r="B61" s="85"/>
      <c r="C61" s="85"/>
      <c r="D61" s="85"/>
      <c r="E61" s="83">
        <f>_xlfn.IFNA(VLOOKUP(封面!B1,一般公共预算财政拨款支出决算具体情况!A:AE,31,FALSE),"")</f>
        <v>8681344.9499999993</v>
      </c>
      <c r="F61" s="83"/>
      <c r="G61" s="7" t="s">
        <v>179</v>
      </c>
      <c r="H61" s="84" t="s">
        <v>422</v>
      </c>
      <c r="I61" s="84"/>
      <c r="J61" s="83">
        <f>_xlfn.IFNA(VLOOKUP(封面!B1,一般公共预算财政拨款支出决算具体情况!A:AF,32,FALSE),"")</f>
        <v>7211163.8799999999</v>
      </c>
      <c r="K61" s="83"/>
      <c r="L61" s="11" t="s">
        <v>178</v>
      </c>
    </row>
    <row r="62" spans="1:12" ht="18" customHeight="1">
      <c r="A62" s="15"/>
      <c r="B62" s="15" t="str">
        <f>IF(E61&gt;J61,"增加","减少")</f>
        <v>增加</v>
      </c>
      <c r="C62" s="83">
        <f>ABS(E61-J61)</f>
        <v>1470181.0699999994</v>
      </c>
      <c r="D62" s="83"/>
      <c r="E62" s="7" t="s">
        <v>179</v>
      </c>
      <c r="F62" s="15" t="str">
        <f>IF(E61&gt;J61,"增长","下降")</f>
        <v>增长</v>
      </c>
      <c r="G62" s="34">
        <f>IF(J61=0,IF(E61&gt;0,1,""),C62/J61)</f>
        <v>0.2038756980794062</v>
      </c>
      <c r="H62" s="7" t="s">
        <v>316</v>
      </c>
    </row>
    <row r="63" spans="1:12" ht="36" customHeight="1">
      <c r="B63" s="89" t="s">
        <v>481</v>
      </c>
      <c r="C63" s="89"/>
      <c r="D63" s="89"/>
      <c r="E63" s="89"/>
      <c r="F63" s="89"/>
      <c r="G63" s="89"/>
      <c r="H63" s="89"/>
      <c r="I63" s="89"/>
      <c r="J63" s="89"/>
      <c r="K63" s="89"/>
      <c r="L63" s="89"/>
    </row>
    <row r="64" spans="1:12" ht="18" customHeight="1">
      <c r="A64" s="90" t="s">
        <v>438</v>
      </c>
      <c r="B64" s="90"/>
      <c r="C64" s="90"/>
      <c r="D64" s="90"/>
      <c r="E64" s="83">
        <f>_xlfn.IFNA(VLOOKUP(封面!B1,一般公共预算财政拨款支出决算具体情况!A:AG,33,FALSE),"")</f>
        <v>0</v>
      </c>
      <c r="F64" s="83"/>
      <c r="G64" s="7" t="s">
        <v>179</v>
      </c>
      <c r="H64" s="84" t="s">
        <v>422</v>
      </c>
      <c r="I64" s="84"/>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5" t="s">
        <v>439</v>
      </c>
      <c r="B66" s="85"/>
      <c r="C66" s="85"/>
      <c r="D66" s="85"/>
      <c r="E66" s="83">
        <f>_xlfn.IFNA(VLOOKUP(封面!B1,一般公共预算财政拨款支出决算具体情况!A:AI,35,FALSE),"")</f>
        <v>0</v>
      </c>
      <c r="F66" s="83"/>
      <c r="G66" s="7" t="s">
        <v>179</v>
      </c>
      <c r="H66" s="84" t="s">
        <v>422</v>
      </c>
      <c r="I66" s="84"/>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90" t="s">
        <v>473</v>
      </c>
      <c r="B68" s="90"/>
      <c r="C68" s="90"/>
      <c r="D68" s="90"/>
      <c r="E68" s="83">
        <f>_xlfn.IFNA(VLOOKUP(封面!B1,一般公共预算财政拨款支出决算具体情况!A:AK,37,FALSE),"")</f>
        <v>14666961</v>
      </c>
      <c r="F68" s="83"/>
      <c r="G68" s="7" t="s">
        <v>179</v>
      </c>
      <c r="H68" s="84" t="s">
        <v>422</v>
      </c>
      <c r="I68" s="84"/>
      <c r="J68" s="83">
        <f>_xlfn.IFNA(VLOOKUP(封面!B1,一般公共预算财政拨款支出决算具体情况!A:AL,38,FALSE),"")</f>
        <v>13985419.27</v>
      </c>
      <c r="K68" s="83"/>
      <c r="L68" s="11" t="s">
        <v>178</v>
      </c>
    </row>
    <row r="69" spans="1:13" ht="18" customHeight="1">
      <c r="B69" s="15" t="str">
        <f>IF(E68&gt;J68,"增加","减少")</f>
        <v>增加</v>
      </c>
      <c r="C69" s="83">
        <f>ABS(E68-J68)</f>
        <v>681541.73000000045</v>
      </c>
      <c r="D69" s="83"/>
      <c r="E69" s="7" t="s">
        <v>179</v>
      </c>
      <c r="F69" s="15" t="str">
        <f>IF(E68&gt;J68,"增长","下降")</f>
        <v>增长</v>
      </c>
      <c r="G69" s="34">
        <f>IF(J68=0,IF(E68&gt;0,1,""),C69/J68)</f>
        <v>4.8732305899614296E-2</v>
      </c>
      <c r="H69" s="7" t="s">
        <v>316</v>
      </c>
      <c r="I69" s="11" t="s">
        <v>205</v>
      </c>
    </row>
    <row r="70" spans="1:13" ht="18" customHeight="1">
      <c r="A70" s="85" t="s">
        <v>440</v>
      </c>
      <c r="B70" s="85"/>
      <c r="C70" s="85"/>
      <c r="D70" s="85"/>
      <c r="E70" s="83">
        <f>_xlfn.IFNA(VLOOKUP(封面!B1,一般公共预算财政拨款支出决算具体情况!A:AM,39,FALSE),"")</f>
        <v>14666961</v>
      </c>
      <c r="F70" s="83"/>
      <c r="G70" s="7" t="s">
        <v>179</v>
      </c>
      <c r="H70" s="84" t="s">
        <v>422</v>
      </c>
      <c r="I70" s="84"/>
      <c r="J70" s="83">
        <f>_xlfn.IFNA(VLOOKUP(封面!B1,一般公共预算财政拨款支出决算具体情况!A:AN,40,FALSE),"")</f>
        <v>13985419.27</v>
      </c>
      <c r="K70" s="83"/>
      <c r="L70" s="11" t="s">
        <v>178</v>
      </c>
    </row>
    <row r="71" spans="1:13" ht="18" customHeight="1">
      <c r="A71" s="15"/>
      <c r="B71" s="15" t="str">
        <f>IF(E70&gt;J70,"增加","减少")</f>
        <v>增加</v>
      </c>
      <c r="C71" s="83">
        <f>ABS(E70-J70)</f>
        <v>681541.73000000045</v>
      </c>
      <c r="D71" s="83"/>
      <c r="E71" s="7" t="s">
        <v>179</v>
      </c>
      <c r="F71" s="15" t="str">
        <f>IF(E70&gt;J70,"增长","下降")</f>
        <v>增长</v>
      </c>
      <c r="G71" s="34">
        <f>IF(J70=0,IF(E70&gt;0,1,""),C71/J70)</f>
        <v>4.8732305899614296E-2</v>
      </c>
      <c r="H71" s="7" t="s">
        <v>316</v>
      </c>
    </row>
    <row r="72" spans="1:13" ht="36" customHeight="1">
      <c r="B72" s="89" t="s">
        <v>482</v>
      </c>
      <c r="C72" s="89"/>
      <c r="D72" s="89"/>
      <c r="E72" s="89"/>
      <c r="F72" s="89"/>
      <c r="G72" s="89"/>
      <c r="H72" s="89"/>
      <c r="I72" s="89"/>
      <c r="J72" s="89"/>
      <c r="K72" s="89"/>
      <c r="L72" s="89"/>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6" t="s">
        <v>441</v>
      </c>
      <c r="B76" s="86"/>
      <c r="C76" s="86"/>
      <c r="D76" s="86"/>
      <c r="E76" s="86"/>
      <c r="F76" s="83">
        <f>_xlfn.IFNA(VLOOKUP(封面!B1,'2021决算导出'!A:W,23,FALSE),"")</f>
        <v>0</v>
      </c>
      <c r="G76" s="83"/>
      <c r="H76" s="7" t="s">
        <v>179</v>
      </c>
      <c r="I76" s="88" t="s">
        <v>196</v>
      </c>
      <c r="J76" s="88"/>
      <c r="K76" s="88"/>
      <c r="L76" s="88"/>
      <c r="M76" s="88"/>
    </row>
    <row r="77" spans="1:13" ht="18" customHeight="1">
      <c r="A77" s="86" t="s">
        <v>208</v>
      </c>
      <c r="B77" s="86"/>
      <c r="C77" s="86"/>
      <c r="D77" s="83">
        <f>_xlfn.IFNA(VLOOKUP(封面!B1,'2021决算导出'!A:Y,25,FALSE),"")</f>
        <v>0</v>
      </c>
      <c r="E77" s="83"/>
      <c r="F77" s="7" t="s">
        <v>179</v>
      </c>
      <c r="G77" s="84" t="s">
        <v>198</v>
      </c>
      <c r="H77" s="84"/>
      <c r="I77" s="13">
        <v>100</v>
      </c>
      <c r="J77" s="7" t="s">
        <v>183</v>
      </c>
      <c r="K77" s="9"/>
      <c r="L77" s="9"/>
      <c r="M77" s="9"/>
    </row>
    <row r="78" spans="1:13" ht="18" customHeight="1">
      <c r="A78" s="7" t="s">
        <v>209</v>
      </c>
    </row>
    <row r="79" spans="1:13" ht="18" customHeight="1">
      <c r="A79" s="88" t="s">
        <v>442</v>
      </c>
      <c r="B79" s="88"/>
      <c r="C79" s="88"/>
      <c r="D79" s="88"/>
      <c r="E79" s="83">
        <f>_xlfn.IFNA(VLOOKUP(封面!B1,'2021决算导出'!A:Y,25,FALSE),"")</f>
        <v>0</v>
      </c>
      <c r="F79" s="83"/>
      <c r="G79" s="7" t="s">
        <v>179</v>
      </c>
      <c r="H79" s="84" t="s">
        <v>422</v>
      </c>
      <c r="I79" s="84"/>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5" t="s">
        <v>443</v>
      </c>
      <c r="B81" s="85"/>
      <c r="C81" s="85"/>
      <c r="D81" s="85"/>
      <c r="E81" s="83">
        <f>E79</f>
        <v>0</v>
      </c>
      <c r="F81" s="83"/>
      <c r="G81" s="7" t="s">
        <v>179</v>
      </c>
      <c r="H81" s="84" t="s">
        <v>422</v>
      </c>
      <c r="I81" s="84"/>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110369709.39</v>
      </c>
      <c r="H86" s="83"/>
      <c r="I86" s="11" t="s">
        <v>179</v>
      </c>
    </row>
    <row r="87" spans="1:13" ht="130.19999999999999" customHeight="1">
      <c r="A87" s="89" t="s">
        <v>213</v>
      </c>
      <c r="B87" s="89"/>
      <c r="C87" s="89"/>
      <c r="D87" s="89"/>
      <c r="E87" s="89"/>
      <c r="F87" s="89"/>
      <c r="G87" s="89"/>
      <c r="H87" s="89"/>
      <c r="I87" s="89"/>
      <c r="J87" s="89"/>
      <c r="K87" s="89"/>
      <c r="L87" s="89"/>
      <c r="M87" s="89"/>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48:D48"/>
    <mergeCell ref="B49:L49"/>
    <mergeCell ref="A50:D50"/>
    <mergeCell ref="E50:F50"/>
    <mergeCell ref="C46:D46"/>
    <mergeCell ref="A47:D47"/>
    <mergeCell ref="E47:F47"/>
    <mergeCell ref="H47:I47"/>
    <mergeCell ref="J47:K47"/>
    <mergeCell ref="H50:K50"/>
    <mergeCell ref="C44:D44"/>
    <mergeCell ref="A45:D45"/>
    <mergeCell ref="E45:F45"/>
    <mergeCell ref="H45:I45"/>
    <mergeCell ref="J45:K45"/>
    <mergeCell ref="C42:D42"/>
    <mergeCell ref="A43:D43"/>
    <mergeCell ref="E43:F43"/>
    <mergeCell ref="H43:I43"/>
    <mergeCell ref="J43:K43"/>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6" workbookViewId="0">
      <selection activeCell="A14" sqref="A14:N14"/>
    </sheetView>
  </sheetViews>
  <sheetFormatPr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10863.65</v>
      </c>
      <c r="G4" s="83"/>
      <c r="H4" s="7" t="s">
        <v>179</v>
      </c>
      <c r="I4" s="7" t="s">
        <v>446</v>
      </c>
    </row>
    <row r="5" spans="1:14" ht="18" customHeight="1">
      <c r="A5" s="93">
        <f>_xlfn.IFNA(VLOOKUP(封面!B1,'2021决算导出'!A:AC,29,FALSE),"")</f>
        <v>27000</v>
      </c>
      <c r="B5" s="93"/>
      <c r="C5" s="7" t="s">
        <v>178</v>
      </c>
      <c r="D5" s="30" t="str">
        <f>IF(F4&gt;A5,"增加","减少")</f>
        <v>减少</v>
      </c>
      <c r="E5" s="93">
        <f>ABS(F4-A5)</f>
        <v>16136.35</v>
      </c>
      <c r="F5" s="93"/>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6" t="s">
        <v>449</v>
      </c>
      <c r="B11" s="86"/>
      <c r="C11" s="35">
        <f>_xlfn.IFNA(VLOOKUP(封面!B1,'2021决算导出'!A:AI,35,FALSE),"")</f>
        <v>10863.65</v>
      </c>
      <c r="D11" s="7" t="s">
        <v>179</v>
      </c>
      <c r="E11" s="86" t="s">
        <v>450</v>
      </c>
      <c r="F11" s="86"/>
      <c r="G11" s="86"/>
      <c r="H11" s="93">
        <f>_xlfn.IFNA(VLOOKUP(封面!B1,'2021决算导出'!A:AJ,36,FALSE),"")</f>
        <v>27000</v>
      </c>
      <c r="I11" s="93"/>
      <c r="J11" s="16" t="s">
        <v>178</v>
      </c>
      <c r="K11" s="30" t="str">
        <f>IF(C11&gt;H11,"增加","减少")</f>
        <v>减少</v>
      </c>
      <c r="L11" s="93">
        <f>ABS(C11-H11)</f>
        <v>16136.35</v>
      </c>
      <c r="M11" s="93"/>
      <c r="N11" s="7" t="s">
        <v>215</v>
      </c>
    </row>
    <row r="12" spans="1:14" ht="18" customHeight="1">
      <c r="A12" s="86" t="s">
        <v>451</v>
      </c>
      <c r="B12" s="86"/>
      <c r="C12" s="86"/>
      <c r="D12" s="86"/>
      <c r="E12" s="86"/>
      <c r="F12" s="93">
        <f>_xlfn.IFNA(VLOOKUP(封面!B1,'2021决算导出'!A:AK,37,FALSE),"")</f>
        <v>0</v>
      </c>
      <c r="G12" s="93"/>
      <c r="H12" s="17" t="s">
        <v>179</v>
      </c>
      <c r="I12" s="86" t="s">
        <v>450</v>
      </c>
      <c r="J12" s="86"/>
      <c r="K12" s="86"/>
      <c r="L12" s="93">
        <f>_xlfn.IFNA(VLOOKUP(封面!B1,'2021决算导出'!A:AL,38,FALSE),"")</f>
        <v>0</v>
      </c>
      <c r="M12" s="93"/>
      <c r="N12" s="7" t="s">
        <v>178</v>
      </c>
    </row>
    <row r="13" spans="1:14" ht="18" customHeight="1">
      <c r="A13" s="15" t="str">
        <f>IF(F12&gt;L12,"增加","减少")</f>
        <v>减少</v>
      </c>
      <c r="B13" s="93">
        <f>ABS(F12-L12)</f>
        <v>0</v>
      </c>
      <c r="C13" s="93"/>
      <c r="D13" s="7" t="s">
        <v>215</v>
      </c>
      <c r="H13" s="93"/>
      <c r="I13" s="93"/>
      <c r="J13" s="16"/>
    </row>
    <row r="14" spans="1:14" ht="36" customHeight="1">
      <c r="A14" s="94" t="s">
        <v>483</v>
      </c>
      <c r="B14" s="94"/>
      <c r="C14" s="94"/>
      <c r="D14" s="94"/>
      <c r="E14" s="94"/>
      <c r="F14" s="94"/>
      <c r="G14" s="94"/>
      <c r="H14" s="94"/>
      <c r="I14" s="94"/>
      <c r="J14" s="94"/>
      <c r="K14" s="94"/>
      <c r="L14" s="94"/>
      <c r="M14" s="94"/>
      <c r="N14" s="94"/>
    </row>
    <row r="15" spans="1:14" ht="18" customHeight="1">
      <c r="A15" s="86" t="s">
        <v>452</v>
      </c>
      <c r="B15" s="86"/>
      <c r="C15" s="86"/>
      <c r="D15" s="8">
        <f>_xlfn.IFNA(VLOOKUP(封面!B1,'2021决算导出'!A:AM,39,FALSE),"")</f>
        <v>0</v>
      </c>
      <c r="E15" s="7" t="s">
        <v>220</v>
      </c>
      <c r="F15" s="86" t="s">
        <v>221</v>
      </c>
      <c r="G15" s="86"/>
      <c r="H15" s="93">
        <f>IF(D15=0,0,F12/D15)</f>
        <v>0</v>
      </c>
      <c r="I15" s="93"/>
      <c r="J15" s="7" t="s">
        <v>215</v>
      </c>
    </row>
    <row r="16" spans="1:14" ht="18" customHeight="1">
      <c r="A16" s="84" t="s">
        <v>453</v>
      </c>
      <c r="B16" s="84"/>
      <c r="C16" s="84"/>
      <c r="D16" s="84"/>
      <c r="E16" s="84"/>
      <c r="F16" s="93">
        <f>_xlfn.IFNA(VLOOKUP(封面!B1,'2021决算导出'!A:AO,41,FALSE),"")</f>
        <v>10863.65</v>
      </c>
      <c r="G16" s="93" t="s">
        <v>179</v>
      </c>
      <c r="H16" s="7" t="s">
        <v>179</v>
      </c>
      <c r="I16" s="7" t="s">
        <v>450</v>
      </c>
      <c r="L16" s="93">
        <f>_xlfn.IFNA(VLOOKUP(封面!B1,'2021决算导出'!A:AP,42,FALSE),"")</f>
        <v>27000</v>
      </c>
      <c r="M16" s="93" t="s">
        <v>179</v>
      </c>
      <c r="N16" s="7" t="s">
        <v>179</v>
      </c>
    </row>
    <row r="17" spans="1:14" ht="18" customHeight="1">
      <c r="A17" s="15" t="str">
        <f>IF(F16&gt;L16,"增加","减少")</f>
        <v>减少</v>
      </c>
      <c r="B17" s="93">
        <f>ABS(F16-L16)</f>
        <v>16136.35</v>
      </c>
      <c r="C17" s="93"/>
      <c r="D17" s="7" t="s">
        <v>215</v>
      </c>
    </row>
    <row r="18" spans="1:14" ht="36" customHeight="1">
      <c r="A18" s="89" t="s">
        <v>222</v>
      </c>
      <c r="B18" s="89"/>
      <c r="C18" s="89"/>
      <c r="D18" s="89"/>
      <c r="E18" s="89"/>
      <c r="F18" s="89"/>
      <c r="G18" s="89"/>
      <c r="H18" s="89"/>
      <c r="I18" s="89"/>
      <c r="J18" s="89"/>
      <c r="K18" s="89"/>
      <c r="L18" s="89"/>
      <c r="M18" s="89"/>
      <c r="N18" s="89"/>
    </row>
    <row r="19" spans="1:14" ht="18" customHeight="1">
      <c r="A19" s="86" t="s">
        <v>454</v>
      </c>
      <c r="B19" s="86"/>
      <c r="C19" s="86"/>
      <c r="D19" s="86"/>
      <c r="E19" s="86"/>
      <c r="F19" s="86"/>
      <c r="G19" s="93">
        <f>_xlfn.IFNA(VLOOKUP(封面!B1,'2021决算导出'!A:AQ,43,FALSE),"")</f>
        <v>0</v>
      </c>
      <c r="H19" s="93" t="s">
        <v>179</v>
      </c>
      <c r="I19" s="7" t="s">
        <v>179</v>
      </c>
      <c r="J19" s="7" t="s">
        <v>223</v>
      </c>
      <c r="L19" s="93">
        <f>_xlfn.IFNA(VLOOKUP(封面!B1,'2021决算导出'!A:AR,44,FALSE),"")</f>
        <v>6940.78</v>
      </c>
      <c r="M19" s="93" t="s">
        <v>179</v>
      </c>
      <c r="N19" s="7" t="s">
        <v>179</v>
      </c>
    </row>
    <row r="20" spans="1:14" ht="18" customHeight="1">
      <c r="A20" s="86" t="s">
        <v>224</v>
      </c>
      <c r="B20" s="86"/>
      <c r="C20" s="93">
        <f>_xlfn.IFNA(VLOOKUP(封面!B1,'2021决算导出'!A:AS,45,FALSE),"")</f>
        <v>3522.87</v>
      </c>
      <c r="D20" s="93" t="s">
        <v>179</v>
      </c>
      <c r="E20" s="7" t="s">
        <v>179</v>
      </c>
      <c r="F20" s="86" t="s">
        <v>225</v>
      </c>
      <c r="G20" s="86"/>
      <c r="H20" s="86"/>
      <c r="I20" s="93">
        <f>_xlfn.IFNA(VLOOKUP(封面!B1,'2021决算导出'!A:AT,46,FALSE),"")</f>
        <v>400</v>
      </c>
      <c r="J20" s="93" t="s">
        <v>179</v>
      </c>
      <c r="K20" s="7" t="s">
        <v>215</v>
      </c>
    </row>
    <row r="21" spans="1:14" ht="18" customHeight="1">
      <c r="A21" s="86" t="s">
        <v>455</v>
      </c>
      <c r="B21" s="86"/>
      <c r="C21" s="86"/>
      <c r="D21" s="8">
        <f>_xlfn.IFNA(VLOOKUP(封面!B1,'2021决算导出'!A:AU,47,FALSE),"")</f>
        <v>1</v>
      </c>
      <c r="E21" s="88" t="s">
        <v>407</v>
      </c>
      <c r="F21" s="88"/>
      <c r="G21" s="88"/>
      <c r="H21" s="88"/>
      <c r="I21" s="88"/>
      <c r="J21" s="88"/>
      <c r="K21" s="88"/>
      <c r="L21" s="88"/>
      <c r="M21" s="54">
        <f>F16/D21</f>
        <v>10863.65</v>
      </c>
      <c r="N21" s="7" t="s">
        <v>215</v>
      </c>
    </row>
    <row r="22" spans="1:14" ht="18" customHeight="1">
      <c r="A22" s="6" t="s">
        <v>226</v>
      </c>
    </row>
    <row r="23" spans="1:14" ht="18" customHeight="1">
      <c r="A23" s="7" t="s">
        <v>227</v>
      </c>
    </row>
    <row r="24" spans="1:14" ht="18" customHeight="1">
      <c r="A24" s="6" t="s">
        <v>228</v>
      </c>
    </row>
    <row r="25" spans="1:14" ht="18" customHeight="1">
      <c r="A25" s="86" t="s">
        <v>456</v>
      </c>
      <c r="B25" s="86"/>
      <c r="C25" s="86"/>
      <c r="D25" s="86"/>
      <c r="E25" s="83">
        <f>_xlfn.IFNA(VLOOKUP(封面!B1,'2021决算导出'!A:AW,49,FALSE),"")</f>
        <v>884533.3</v>
      </c>
      <c r="F25" s="83"/>
      <c r="G25" s="7" t="s">
        <v>179</v>
      </c>
      <c r="H25" s="86" t="s">
        <v>229</v>
      </c>
      <c r="I25" s="86"/>
      <c r="J25" s="86"/>
      <c r="K25" s="86"/>
      <c r="L25" s="83">
        <f>_xlfn.IFNA(VLOOKUP(封面!B1,'2021决算导出'!A:AX,50,FALSE),"")</f>
        <v>0</v>
      </c>
      <c r="M25" s="83" t="s">
        <v>179</v>
      </c>
      <c r="N25" s="7" t="s">
        <v>179</v>
      </c>
    </row>
    <row r="26" spans="1:14" ht="18" customHeight="1">
      <c r="A26" s="86" t="s">
        <v>230</v>
      </c>
      <c r="B26" s="86"/>
      <c r="C26" s="86"/>
      <c r="D26" s="83">
        <f>_xlfn.IFNA(VLOOKUP(封面!B1,'2021决算导出'!A:AY,51,FALSE),"")</f>
        <v>0</v>
      </c>
      <c r="E26" s="83" t="s">
        <v>179</v>
      </c>
      <c r="F26" s="7" t="s">
        <v>179</v>
      </c>
      <c r="G26" s="86" t="s">
        <v>231</v>
      </c>
      <c r="H26" s="86"/>
      <c r="I26" s="86"/>
      <c r="J26" s="83">
        <f>_xlfn.IFNA(VLOOKUP(封面!B1,'2021决算导出'!A:AZ,52,FALSE),"")</f>
        <v>884533</v>
      </c>
      <c r="K26" s="83" t="s">
        <v>179</v>
      </c>
      <c r="L26" s="7" t="s">
        <v>215</v>
      </c>
    </row>
    <row r="27" spans="1:14" ht="18" customHeight="1">
      <c r="A27" s="86" t="s">
        <v>232</v>
      </c>
      <c r="B27" s="86"/>
      <c r="C27" s="86"/>
      <c r="D27" s="86"/>
      <c r="E27" s="83">
        <f>_xlfn.IFNA(VLOOKUP(封面!B1,'2021决算导出'!A:BA,53,FALSE),"")</f>
        <v>0</v>
      </c>
      <c r="F27" s="83" t="s">
        <v>179</v>
      </c>
      <c r="G27" s="7" t="s">
        <v>179</v>
      </c>
      <c r="H27" s="84" t="s">
        <v>233</v>
      </c>
      <c r="I27" s="84"/>
      <c r="J27" s="84"/>
      <c r="K27" s="29">
        <f>E27/$E$25</f>
        <v>0</v>
      </c>
      <c r="L27" s="18" t="s">
        <v>314</v>
      </c>
      <c r="M27" s="7" t="s">
        <v>408</v>
      </c>
    </row>
    <row r="28" spans="1:14" ht="18" customHeight="1">
      <c r="A28" s="86" t="s">
        <v>234</v>
      </c>
      <c r="B28" s="86"/>
      <c r="C28" s="86"/>
      <c r="D28" s="86"/>
      <c r="E28" s="83">
        <f>_xlfn.IFNA(VLOOKUP(封面!B1,'2021决算导出'!A:BB,54,FALSE),"")</f>
        <v>0</v>
      </c>
      <c r="F28" s="83" t="s">
        <v>179</v>
      </c>
      <c r="G28" s="7" t="s">
        <v>179</v>
      </c>
      <c r="H28" s="84" t="s">
        <v>233</v>
      </c>
      <c r="I28" s="84"/>
      <c r="J28" s="84"/>
      <c r="K28" s="29">
        <f>E28/$E$25</f>
        <v>0</v>
      </c>
      <c r="L28" s="18" t="s">
        <v>316</v>
      </c>
    </row>
    <row r="29" spans="1:14" ht="18" customHeight="1">
      <c r="A29" s="6" t="s">
        <v>235</v>
      </c>
    </row>
    <row r="30" spans="1:14" ht="18" customHeight="1">
      <c r="A30" s="86" t="s">
        <v>457</v>
      </c>
      <c r="B30" s="86"/>
      <c r="C30" s="8">
        <f>_xlfn.IFNA(VLOOKUP(封面!B1,'2021决算导出'!A:BC,55,FALSE),"")</f>
        <v>1</v>
      </c>
      <c r="D30" s="7" t="s">
        <v>236</v>
      </c>
      <c r="M30" s="93">
        <f>_xlfn.IFNA(VLOOKUP(封面!B1,'2021决算导出'!A:BD,56,FALSE),"")</f>
        <v>112880</v>
      </c>
      <c r="N30" s="93" t="s">
        <v>179</v>
      </c>
    </row>
    <row r="31" spans="1:14" ht="18" customHeight="1">
      <c r="A31" s="12" t="s">
        <v>237</v>
      </c>
      <c r="B31" s="86" t="s">
        <v>238</v>
      </c>
      <c r="C31" s="86"/>
      <c r="D31" s="86"/>
      <c r="E31" s="86"/>
      <c r="F31" s="86"/>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9" t="s">
        <v>474</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topLeftCell="A4" zoomScale="90" zoomScaleNormal="90" workbookViewId="0">
      <selection activeCell="A11" sqref="A11:N11"/>
    </sheetView>
  </sheetViews>
  <sheetFormatPr defaultRowHeight="13.8"/>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7.33203125" style="69" customWidth="1"/>
    <col min="2" max="2" width="15.44140625" style="61" customWidth="1"/>
    <col min="3" max="3" width="5.88671875" style="61" customWidth="1"/>
    <col min="4" max="6" width="13.33203125" style="61" customWidth="1"/>
    <col min="7" max="8" width="12.44140625" style="61" customWidth="1"/>
    <col min="9" max="9" width="9" style="61" customWidth="1"/>
    <col min="10" max="10" width="12.21875" style="61" customWidth="1"/>
    <col min="11" max="13" width="13.33203125" style="61" customWidth="1"/>
    <col min="14" max="14" width="12.6640625" style="61" customWidth="1"/>
    <col min="15" max="20" width="13.33203125" style="61" customWidth="1"/>
    <col min="21" max="21" width="11.5546875" style="61" customWidth="1"/>
    <col min="22" max="22" width="13.33203125" style="61" customWidth="1"/>
    <col min="23" max="23" width="11" style="61" customWidth="1"/>
    <col min="24" max="24" width="11.6640625" style="70" customWidth="1"/>
    <col min="25" max="25" width="10.5546875" style="61" customWidth="1"/>
    <col min="26" max="26" width="10.33203125" style="61" customWidth="1"/>
    <col min="27" max="27" width="13.33203125" style="61" customWidth="1"/>
    <col min="28" max="28" width="11" style="61" customWidth="1"/>
    <col min="29" max="29" width="10.88671875" style="61" customWidth="1"/>
    <col min="30" max="34" width="7.5546875" style="61" customWidth="1"/>
    <col min="35" max="35" width="13.33203125" style="61" customWidth="1"/>
    <col min="36" max="36" width="11.21875" style="61" customWidth="1"/>
    <col min="37" max="40" width="6.88671875" style="61" customWidth="1"/>
    <col min="41" max="41" width="12.44140625" style="61" customWidth="1"/>
    <col min="42" max="42" width="11.77734375" style="61" customWidth="1"/>
    <col min="43" max="46" width="11.109375" style="61" customWidth="1"/>
    <col min="47" max="47" width="8.5546875" style="61" customWidth="1"/>
    <col min="48" max="51" width="13.33203125" style="61" customWidth="1"/>
    <col min="52" max="52" width="12.33203125" style="61" customWidth="1"/>
    <col min="53" max="53" width="12" style="61" customWidth="1"/>
    <col min="54" max="54" width="13.33203125" style="61" customWidth="1"/>
    <col min="55" max="55" width="10" style="61" customWidth="1"/>
    <col min="56" max="56" width="13.33203125" style="61" customWidth="1"/>
    <col min="57" max="57" width="9" style="61" customWidth="1"/>
    <col min="58" max="58" width="9.5546875" style="61" customWidth="1"/>
    <col min="59" max="16384" width="8.88671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7"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7"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7"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7"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7"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7"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7"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7"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7"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7"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7"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7"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7"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7"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7"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7"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7"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7"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7"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7"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7"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7"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7"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7"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7"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7"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7"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7"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7"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7"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7"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7"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7"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7"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7"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7"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7"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7"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7"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7"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7"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7"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7"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7"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7"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7"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7"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7"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7"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7"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7"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7"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7"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7"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7"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7"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7"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7"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7"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7"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7"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7"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7"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7"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7"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7"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7"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7"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7"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7"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7"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7"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7"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7"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7"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7"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7"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7"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7"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7"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7"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7"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7"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7"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7"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7"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7"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7"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7"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7"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7"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7"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7"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7"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7"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7"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7"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7"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7"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7"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7"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7"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7"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7"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7"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7"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7"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7"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7"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7"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7"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7"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7"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7"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7"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7"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7"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7"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7"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7"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7"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7"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7"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7"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7"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7"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7"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7"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7"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7"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7"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7"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7"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7"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7"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7"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7"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7"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7"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7"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7"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7"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7"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7"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7"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7"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7"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7"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7"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7"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7"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7"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7"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7"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7"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7"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7"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7"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7"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7"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7"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7"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7"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RowHeight="13.8"/>
  <cols>
    <col min="1" max="1" width="8.88671875" style="36"/>
    <col min="2" max="2" width="18.88671875" style="36" customWidth="1"/>
    <col min="3" max="3" width="8.88671875" style="36"/>
    <col min="4" max="4" width="11.109375" style="73" customWidth="1"/>
    <col min="5" max="5" width="8.88671875" style="73"/>
    <col min="6" max="10" width="8.88671875" style="36"/>
    <col min="11" max="11" width="8.88671875" style="73"/>
    <col min="12" max="14" width="8.88671875" style="36"/>
    <col min="15" max="15" width="8.88671875" style="73"/>
    <col min="16" max="16384" width="8.88671875" style="36"/>
  </cols>
  <sheetData>
    <row r="1" spans="1:58" ht="60">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RowHeight="13.8"/>
  <cols>
    <col min="1" max="1" width="8.88671875" style="36"/>
    <col min="2" max="2" width="24.21875" style="36" customWidth="1"/>
    <col min="3" max="3" width="16.5546875" style="36" customWidth="1"/>
    <col min="4" max="4" width="13.109375" style="36" customWidth="1"/>
    <col min="5" max="5" width="14.44140625" style="36" customWidth="1"/>
    <col min="6" max="6" width="15.21875" style="36" customWidth="1"/>
    <col min="7" max="16384" width="8.88671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cp:lastPrinted>2022-08-25T04:56:47Z</cp:lastPrinted>
  <dcterms:created xsi:type="dcterms:W3CDTF">2021-08-26T09:47:38Z</dcterms:created>
  <dcterms:modified xsi:type="dcterms:W3CDTF">2022-08-30T07:40:19Z</dcterms:modified>
</cp:coreProperties>
</file>