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2021年决算公开\上报\"/>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5" i="5"/>
  <c r="A73" i="5"/>
  <c r="J69" i="5"/>
  <c r="E69" i="5"/>
  <c r="J67" i="5"/>
  <c r="E67" i="5"/>
  <c r="J64" i="5"/>
  <c r="E64" i="5"/>
  <c r="J62" i="5"/>
  <c r="J57" i="5"/>
  <c r="E62" i="5"/>
  <c r="J59" i="5"/>
  <c r="E59" i="5"/>
  <c r="E57" i="5"/>
  <c r="E55" i="5"/>
  <c r="J52" i="5"/>
  <c r="E52" i="5"/>
  <c r="J50" i="5"/>
  <c r="E50" i="5"/>
  <c r="E48" i="5"/>
  <c r="E46"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3" i="5" l="1"/>
  <c r="G63" i="5" s="1"/>
  <c r="F65" i="5"/>
  <c r="B65" i="5"/>
  <c r="C65" i="5"/>
  <c r="G65" i="5" s="1"/>
  <c r="F63" i="5"/>
  <c r="B63" i="5"/>
  <c r="H10" i="5"/>
  <c r="K10" i="5" s="1"/>
  <c r="G10" i="5"/>
  <c r="G86" i="5"/>
  <c r="J78" i="5"/>
  <c r="E78" i="5"/>
  <c r="D76"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45" i="5" l="1"/>
  <c r="J42" i="5"/>
  <c r="E42" i="5"/>
  <c r="J39" i="5"/>
  <c r="E39" i="5"/>
  <c r="J36" i="5"/>
  <c r="E36" i="5"/>
  <c r="J34" i="5"/>
  <c r="E34" i="5"/>
  <c r="B70" i="5" l="1"/>
  <c r="F53" i="5"/>
  <c r="C58" i="5"/>
  <c r="G58" i="5" s="1"/>
  <c r="C68" i="5"/>
  <c r="G68" i="5" s="1"/>
  <c r="F35" i="5"/>
  <c r="F60" i="5"/>
  <c r="C70" i="5"/>
  <c r="G70" i="5" s="1"/>
  <c r="F70" i="5"/>
  <c r="F68" i="5"/>
  <c r="B68" i="5"/>
  <c r="B60" i="5"/>
  <c r="C60" i="5"/>
  <c r="G60" i="5" s="1"/>
  <c r="F58" i="5"/>
  <c r="B58" i="5"/>
  <c r="C53" i="5"/>
  <c r="G53" i="5" s="1"/>
  <c r="F37" i="5"/>
  <c r="F40" i="5"/>
  <c r="F51" i="5"/>
  <c r="B53" i="5"/>
  <c r="B51" i="5"/>
  <c r="C51" i="5"/>
  <c r="G51"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0" i="5" l="1"/>
  <c r="K11" i="6" l="1"/>
  <c r="I31" i="5"/>
  <c r="L11" i="6"/>
  <c r="F79" i="5"/>
  <c r="F81" i="5" s="1"/>
  <c r="E5" i="6"/>
  <c r="D5" i="6"/>
  <c r="H12" i="5"/>
  <c r="H19" i="5"/>
  <c r="H11" i="5"/>
  <c r="H20" i="5"/>
  <c r="H14" i="5"/>
  <c r="H15" i="5"/>
  <c r="C79" i="5"/>
  <c r="G79" i="5" s="1"/>
  <c r="E80" i="5"/>
  <c r="B79" i="5"/>
  <c r="B81" i="5" s="1"/>
  <c r="H13" i="5"/>
  <c r="H18" i="5"/>
  <c r="I27" i="5"/>
  <c r="I30" i="5"/>
  <c r="I29" i="5"/>
  <c r="I32" i="5"/>
  <c r="I28" i="5"/>
  <c r="C81" i="5" l="1"/>
  <c r="G81" i="5" s="1"/>
</calcChain>
</file>

<file path=xl/sharedStrings.xml><?xml version="1.0" encoding="utf-8"?>
<sst xmlns="http://schemas.openxmlformats.org/spreadsheetml/2006/main" count="4836" uniqueCount="482">
  <si>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</si>
  <si>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</si>
  <si>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</si>
  <si>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</si>
  <si>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</si>
  <si>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</si>
  <si>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</si>
  <si>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</si>
  <si>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</si>
  <si>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</si>
  <si>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</si>
  <si>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</si>
  <si>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</si>
  <si>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</si>
  <si>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</si>
  <si>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</si>
  <si>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</si>
  <si>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</si>
  <si>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</si>
  <si>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</si>
  <si>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</si>
  <si>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</si>
  <si>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</si>
  <si>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</si>
  <si>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</si>
  <si>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</si>
  <si>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</si>
  <si>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</si>
  <si>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</si>
  <si>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</si>
  <si>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</si>
  <si>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</si>
  <si>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</si>
  <si>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</si>
  <si>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</si>
  <si>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</si>
  <si>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</si>
  <si>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</si>
  <si>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</si>
  <si>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</si>
  <si>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</si>
  <si>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</si>
  <si>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</si>
  <si>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</si>
  <si>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</si>
  <si>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</si>
  <si>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</si>
  <si>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</si>
  <si>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</si>
  <si>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</si>
  <si>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</si>
  <si>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</si>
  <si>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</si>
  <si>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</si>
  <si>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</si>
  <si>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</si>
  <si>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</si>
  <si>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</si>
  <si>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</si>
  <si>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</si>
  <si>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</si>
  <si>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</si>
  <si>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</si>
  <si>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</si>
  <si>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</si>
  <si>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</si>
  <si>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</si>
  <si>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</si>
  <si>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</si>
  <si>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</si>
  <si>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</si>
  <si>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</si>
  <si>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</si>
  <si>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</si>
  <si>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</si>
  <si>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</si>
  <si>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</si>
  <si>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</si>
  <si>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</si>
  <si>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</si>
  <si>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</si>
  <si>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</si>
  <si>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</si>
  <si>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</si>
  <si>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</si>
  <si>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</si>
  <si>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</si>
  <si>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</si>
  <si>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</si>
  <si>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</si>
  <si>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</si>
  <si>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</si>
  <si>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</si>
  <si>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</si>
  <si>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</si>
  <si>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</si>
  <si>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</si>
  <si>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</si>
  <si>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</si>
  <si>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</si>
  <si>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</si>
  <si>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</si>
  <si>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</si>
  <si>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</si>
  <si>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</si>
  <si>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</si>
  <si>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</si>
  <si>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</si>
  <si>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</si>
  <si>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</si>
  <si>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</si>
  <si>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</si>
  <si>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</si>
  <si>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</si>
  <si>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</si>
  <si>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</si>
  <si>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</si>
  <si>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</si>
  <si>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</si>
  <si>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</si>
  <si>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</si>
  <si>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</si>
  <si>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</si>
  <si>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</si>
  <si>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</si>
  <si>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</si>
  <si>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</si>
  <si>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</si>
  <si>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</si>
  <si>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</si>
  <si>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</si>
  <si>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</si>
  <si>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</si>
  <si>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</si>
  <si>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</si>
  <si>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</si>
  <si>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</si>
  <si>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</si>
  <si>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</si>
  <si>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</si>
  <si>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</si>
  <si>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</si>
  <si>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</si>
  <si>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</si>
  <si>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</si>
  <si>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</si>
  <si>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</si>
  <si>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</si>
  <si>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</si>
  <si>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</si>
  <si>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</si>
  <si>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</si>
  <si>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</si>
  <si>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</si>
  <si>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</si>
  <si>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</si>
  <si>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</si>
  <si>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</si>
  <si>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</si>
  <si>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</si>
  <si>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</si>
  <si>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</si>
  <si>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</si>
  <si>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</si>
  <si>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</si>
  <si>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</si>
  <si>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</si>
  <si>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</si>
  <si>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</si>
  <si>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</si>
  <si>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</si>
  <si>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</si>
  <si>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</si>
  <si>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</si>
  <si>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</si>
  <si>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</si>
  <si>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</si>
  <si>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</si>
  <si>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</si>
  <si>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</si>
  <si>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</si>
  <si>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</si>
  <si>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</si>
  <si>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</si>
  <si>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</si>
  <si>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</si>
  <si>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</si>
  <si>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</si>
  <si>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</si>
  <si>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</si>
  <si>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</si>
  <si>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</si>
  <si>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</si>
  <si>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</si>
  <si>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</si>
  <si>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</si>
  <si>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</si>
  <si>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</si>
  <si>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</si>
  <si>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</si>
  <si>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</si>
  <si>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</si>
  <si>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</si>
  <si>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</si>
  <si>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</si>
  <si>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</si>
  <si>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</si>
  <si>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</si>
  <si>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</si>
  <si>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</si>
  <si>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</si>
  <si>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</si>
  <si>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</si>
  <si>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</si>
  <si>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</si>
  <si>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</si>
  <si>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</si>
  <si>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</si>
  <si>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</si>
  <si>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</si>
  <si>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</si>
  <si>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</si>
  <si>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</si>
  <si>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</si>
  <si>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</si>
  <si>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</si>
  <si>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</si>
  <si>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</si>
  <si>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</si>
  <si>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</si>
  <si>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</si>
  <si>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</si>
  <si>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</si>
  <si>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</si>
  <si>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</si>
  <si>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</si>
  <si>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</si>
  <si>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</si>
  <si>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</si>
  <si>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</si>
  <si>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</si>
  <si>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</si>
  <si>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</si>
  <si>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</si>
  <si>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</si>
  <si>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</si>
  <si>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</si>
  <si>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</si>
  <si>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</si>
  <si>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</si>
  <si>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</si>
  <si>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</si>
  <si>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</si>
  <si>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</si>
  <si>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</si>
  <si>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</si>
  <si>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</si>
  <si>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</si>
  <si>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</si>
  <si>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</si>
  <si>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</si>
  <si>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</si>
  <si>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</si>
  <si>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</si>
  <si>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</si>
  <si>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</si>
  <si>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</si>
  <si>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</si>
  <si>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</si>
  <si>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</si>
  <si>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</si>
  <si>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</si>
  <si>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</si>
  <si>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</si>
  <si>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</si>
  <si>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</si>
  <si>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</si>
  <si>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</si>
  <si>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</si>
  <si>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</si>
  <si>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</si>
  <si>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</si>
  <si>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</si>
  <si>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</si>
  <si>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</si>
  <si>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</si>
  <si>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</si>
  <si>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</si>
  <si>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</si>
  <si>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</si>
  <si>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</si>
  <si>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</si>
  <si>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</si>
  <si>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</si>
  <si>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</si>
  <si>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</si>
  <si>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</si>
  <si>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</si>
  <si>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</si>
  <si>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</si>
  <si>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</si>
  <si>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</si>
  <si>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</si>
  <si>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</si>
  <si>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</si>
  <si>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</si>
  <si>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</si>
  <si>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</si>
  <si>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</si>
  <si>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</si>
  <si>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</si>
  <si>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</si>
  <si>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</si>
  <si>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</si>
  <si>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</si>
  <si>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</si>
  <si>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</si>
  <si>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</si>
  <si>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</si>
  <si>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</si>
  <si>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</si>
  <si>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</si>
  <si>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</si>
  <si>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</si>
  <si>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</si>
  <si>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</si>
  <si>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</si>
  <si>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</si>
  <si>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</si>
  <si>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</si>
  <si>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</si>
  <si>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</si>
  <si>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</si>
  <si>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</si>
  <si>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</si>
  <si>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</si>
  <si>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</si>
  <si>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</si>
  <si>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</si>
  <si>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</si>
  <si>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</si>
  <si>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</si>
  <si>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</si>
  <si>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</si>
  <si>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</si>
  <si>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</si>
  <si>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</si>
  <si>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</si>
  <si>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</si>
  <si>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</si>
  <si>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</si>
  <si>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</si>
  <si>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</si>
  <si>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</si>
  <si>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</si>
  <si>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</si>
  <si>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</si>
  <si>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</si>
  <si>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</si>
  <si>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</si>
  <si>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</si>
  <si>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</si>
  <si>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</si>
  <si>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</si>
  <si>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</si>
  <si>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</si>
  <si>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</si>
  <si>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</si>
  <si>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</si>
  <si>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</si>
  <si>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</si>
  <si>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</si>
  <si>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</si>
  <si>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</si>
  <si>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</si>
  <si>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</si>
  <si>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</si>
  <si>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</si>
  <si>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</si>
  <si>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</si>
  <si>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</si>
  <si>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</si>
  <si>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</si>
  <si>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</si>
  <si>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</si>
  <si>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</si>
  <si>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</si>
  <si>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</si>
  <si>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</si>
  <si>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</si>
  <si>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</si>
  <si>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</si>
  <si>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</si>
  <si>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</si>
  <si>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</si>
  <si>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</si>
  <si>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</si>
  <si>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</si>
  <si>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</si>
  <si>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</si>
  <si>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</si>
  <si>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</si>
  <si>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</si>
  <si>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</si>
  <si>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</si>
  <si>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</si>
  <si>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</si>
  <si>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</si>
  <si>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</si>
  <si>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</si>
  <si>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</si>
  <si>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</si>
  <si>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</si>
  <si>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</si>
  <si>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</si>
  <si>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</si>
  <si>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</si>
  <si>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</si>
  <si>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</si>
  <si>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</si>
  <si>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</si>
  <si>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</si>
  <si>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</si>
  <si>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</si>
  <si>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</si>
  <si>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</si>
  <si>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</si>
  <si>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</si>
  <si>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</si>
  <si>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</si>
  <si>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</si>
  <si>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</si>
  <si>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</si>
  <si>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</si>
  <si>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</si>
  <si>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</si>
  <si>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</si>
  <si>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</si>
  <si>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</si>
  <si>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</si>
  <si>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</si>
  <si>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</si>
  <si>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</si>
  <si>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</si>
  <si>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</si>
  <si>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</si>
  <si>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</si>
  <si>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</si>
  <si>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</si>
  <si>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</si>
  <si>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</si>
  <si>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</si>
  <si>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</si>
  <si>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</si>
  <si>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</si>
  <si>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</si>
  <si>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</si>
  <si>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</si>
  <si>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</si>
  <si>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</si>
  <si>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</si>
  <si>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</si>
  <si>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</si>
  <si>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</si>
  <si>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</si>
  <si>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</si>
  <si>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</si>
  <si>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</si>
  <si>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</si>
  <si>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</si>
  <si>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</si>
  <si>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</si>
  <si>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</si>
  <si>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</si>
  <si>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</si>
  <si>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本单位为西城区教育委员会所属二级预算单位，单位性质为财政补助事业单位，决算编报类型为单户表，按照政府会计制度填报决算数据。纳入本套决算编制范围的独立核算单位共1个。
    本单位主要职责为实施初、高中教育，促进教育事业发展。</t>
    <phoneticPr fontId="4" type="noConversion"/>
  </si>
  <si>
    <t>主要原因是2021年项目经费以及人员经费比上年减少。</t>
    <phoneticPr fontId="4" type="noConversion"/>
  </si>
  <si>
    <t>主要原因是按照年初预算安排正常支出资金。</t>
    <phoneticPr fontId="4" type="noConversion"/>
  </si>
  <si>
    <t>主要原因是正常人员增减导致。</t>
    <phoneticPr fontId="4" type="noConversion"/>
  </si>
  <si>
    <t>主要原因是正常人员增减导致。</t>
    <phoneticPr fontId="4" type="noConversion"/>
  </si>
  <si>
    <t>主要原因是退休人员去世导致。</t>
    <phoneticPr fontId="4" type="noConversion"/>
  </si>
  <si>
    <t>主要原因是按照三公经费逐年递减的要求，进一步落实中央、北京市的有关厉行节约、压缩财政成本等规定，把勤俭节约落实到实处，坚决杜绝各种铺张浪费。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</si>
</sst>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11" fillId="0" borderId="0" xfId="0" applyFont="1" applyAlignment="1">
      <alignment horizontal="center"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255127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80" t="str">
        <f>_xlfn.IFNA(VLOOKUP(B1,'2021决算导出'!A:B,2,FALSE),"")</f>
        <v>北京市宣武外国语实验学校</v>
      </c>
      <c r="B11" s="80"/>
      <c r="C11" s="80"/>
      <c r="D11" s="80"/>
      <c r="E11" s="80"/>
      <c r="F11" s="80"/>
      <c r="G11" s="80"/>
      <c r="H11" s="80"/>
      <c r="I11" s="80"/>
      <c r="J11" s="80"/>
      <c r="K11" s="80"/>
      <c r="L11" s="80"/>
      <c r="M11" s="80"/>
      <c r="N11" s="1"/>
    </row>
    <row r="12" spans="1:14" ht="72" customHeight="1">
      <c r="A12" s="80" t="s">
        <v>410</v>
      </c>
      <c r="B12" s="80"/>
      <c r="C12" s="80"/>
      <c r="D12" s="80"/>
      <c r="E12" s="80"/>
      <c r="F12" s="80"/>
      <c r="G12" s="80"/>
      <c r="H12" s="80"/>
      <c r="I12" s="80"/>
      <c r="J12" s="80"/>
      <c r="K12" s="80"/>
      <c r="L12" s="80"/>
      <c r="M12" s="80"/>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1" t="s">
        <v>173</v>
      </c>
      <c r="B1" s="81"/>
      <c r="C1" s="81"/>
      <c r="D1" s="81"/>
      <c r="E1" s="81"/>
      <c r="F1" s="81"/>
      <c r="G1" s="81"/>
      <c r="H1" s="81"/>
      <c r="I1" s="81"/>
      <c r="J1" s="81"/>
      <c r="K1" s="81"/>
      <c r="L1" s="81"/>
      <c r="M1" s="81"/>
      <c r="N1" s="81"/>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2" t="s">
        <v>415</v>
      </c>
      <c r="B10" s="82"/>
      <c r="C10" s="82"/>
      <c r="D10" s="82"/>
      <c r="E10" s="82"/>
      <c r="F10" s="82"/>
      <c r="G10" s="82"/>
      <c r="H10" s="82"/>
      <c r="I10" s="82"/>
      <c r="J10" s="82"/>
      <c r="K10" s="82"/>
      <c r="L10" s="82"/>
      <c r="M10" s="82"/>
      <c r="N10" s="82"/>
    </row>
    <row r="11" spans="1:14" ht="78" customHeight="1">
      <c r="A11" s="83" t="s">
        <v>472</v>
      </c>
      <c r="B11" s="83"/>
      <c r="C11" s="83"/>
      <c r="D11" s="83"/>
      <c r="E11" s="83"/>
      <c r="F11" s="83"/>
      <c r="G11" s="83"/>
      <c r="H11" s="83"/>
      <c r="I11" s="83"/>
      <c r="J11" s="83"/>
      <c r="K11" s="83"/>
      <c r="L11" s="83"/>
      <c r="M11" s="83"/>
      <c r="N11" s="83"/>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opLeftCell="A13" zoomScaleNormal="100" workbookViewId="0">
      <selection activeCell="E84" sqref="E8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2" t="s">
        <v>412</v>
      </c>
      <c r="B1" s="82"/>
      <c r="C1" s="82"/>
      <c r="D1" s="82"/>
      <c r="E1" s="82"/>
      <c r="F1" s="82"/>
      <c r="G1" s="82"/>
      <c r="H1" s="82"/>
      <c r="I1" s="82"/>
      <c r="J1" s="82"/>
      <c r="K1" s="82"/>
      <c r="L1" s="82"/>
      <c r="M1" s="82"/>
      <c r="N1" s="59"/>
    </row>
    <row r="2" spans="1:14" ht="18" customHeight="1">
      <c r="A2" s="6" t="s">
        <v>174</v>
      </c>
    </row>
    <row r="3" spans="1:14" ht="18" customHeight="1">
      <c r="A3" s="7" t="s">
        <v>175</v>
      </c>
    </row>
    <row r="4" spans="1:14" ht="68.25" customHeight="1">
      <c r="A4" s="84" t="s">
        <v>475</v>
      </c>
      <c r="B4" s="84"/>
      <c r="C4" s="84"/>
      <c r="D4" s="84"/>
      <c r="E4" s="84"/>
      <c r="F4" s="84"/>
      <c r="G4" s="84"/>
      <c r="H4" s="84"/>
      <c r="I4" s="84"/>
      <c r="J4" s="84"/>
      <c r="K4" s="84"/>
      <c r="L4" s="84"/>
      <c r="M4" s="84"/>
      <c r="N4" s="19"/>
    </row>
    <row r="5" spans="1:14" ht="18" customHeight="1">
      <c r="A5" s="7" t="s">
        <v>176</v>
      </c>
    </row>
    <row r="6" spans="1:14" ht="18" customHeight="1">
      <c r="A6" s="89" t="s">
        <v>245</v>
      </c>
      <c r="B6" s="89"/>
      <c r="C6" s="79">
        <v>142</v>
      </c>
      <c r="D6" s="10" t="s">
        <v>247</v>
      </c>
      <c r="E6" s="8">
        <f>_xlfn.IFNA(VLOOKUP(封面!B1,'2021决算导出'!A:C,3,FALSE),"")</f>
        <v>135</v>
      </c>
      <c r="F6" s="10" t="s">
        <v>248</v>
      </c>
      <c r="G6" s="10"/>
      <c r="H6" s="10"/>
      <c r="I6" s="10"/>
      <c r="J6" s="10"/>
      <c r="K6" s="10"/>
      <c r="L6" s="10"/>
      <c r="M6" s="10"/>
      <c r="N6" s="10"/>
    </row>
    <row r="7" spans="1:14" ht="18" customHeight="1">
      <c r="A7" s="6" t="s">
        <v>177</v>
      </c>
    </row>
    <row r="8" spans="1:14" ht="18" customHeight="1">
      <c r="A8" s="89" t="s">
        <v>416</v>
      </c>
      <c r="B8" s="89"/>
      <c r="C8" s="89"/>
      <c r="D8" s="14">
        <f>_xlfn.IFNA(VLOOKUP(封面!B1,'2021决算导出'!A:D,4,FALSE),"")</f>
        <v>58349649.880000003</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1825694.3900000006</v>
      </c>
      <c r="I8" s="16" t="s">
        <v>179</v>
      </c>
      <c r="J8" s="30" t="str">
        <f>IF(ISNA(VLOOKUP(封面!B1,'2020决算导出'!A:D,4,FALSE)),"",IF(D8-VLOOKUP(封面!B1,'2020决算导出'!A:D,4,FALSE)&gt;0,"增长","下降"))</f>
        <v>下降</v>
      </c>
      <c r="K8" s="31">
        <f>IF(ISNA(VLOOKUP(封面!B1,'2020决算导出'!A:D,4,FALSE)),"",H8/VLOOKUP(封面!B1,'2020决算导出'!A:D,4,FALSE))</f>
        <v>3.0339575321884579E-2</v>
      </c>
      <c r="L8" s="7" t="s">
        <v>313</v>
      </c>
    </row>
    <row r="9" spans="1:14" ht="18" customHeight="1">
      <c r="A9" s="7" t="s">
        <v>180</v>
      </c>
      <c r="G9" s="32"/>
      <c r="H9" s="32"/>
      <c r="I9" s="32"/>
      <c r="J9" s="32"/>
      <c r="K9" s="32"/>
    </row>
    <row r="10" spans="1:14" ht="18" customHeight="1">
      <c r="A10" s="89" t="s">
        <v>417</v>
      </c>
      <c r="B10" s="89"/>
      <c r="C10" s="89"/>
      <c r="D10" s="14">
        <f>_xlfn.IFNA(VLOOKUP(封面!B1,'2021决算导出'!A:E,5,FALSE),"")</f>
        <v>58342550.210000001</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1420011.3599999994</v>
      </c>
      <c r="I10" s="16" t="s">
        <v>179</v>
      </c>
      <c r="J10" s="30" t="str">
        <f>IF(ISNA(VLOOKUP(封面!B1,'2020决算导出'!A:E,5,FALSE)),"",IF(D10-VLOOKUP(封面!B1,'2020决算导出'!A:E,5,FALSE)&gt;0,"增长","下降"))</f>
        <v>下降</v>
      </c>
      <c r="K10" s="31">
        <f>IF(ISNA(VLOOKUP(封面!B1,'2020决算导出'!A:E,5,FALSE)),"",H10/VLOOKUP(封面!B1,'2020决算导出'!A:E,5,FALSE))</f>
        <v>2.3760885120975569E-2</v>
      </c>
      <c r="L10" s="7" t="s">
        <v>314</v>
      </c>
    </row>
    <row r="11" spans="1:14" ht="18" customHeight="1">
      <c r="A11" s="89" t="s">
        <v>181</v>
      </c>
      <c r="B11" s="89"/>
      <c r="C11" s="89"/>
      <c r="D11" s="14">
        <f>_xlfn.IFNA(VLOOKUP(封面!B1,'2021决算导出'!A:F,6,FALSE),"")</f>
        <v>58166150.210000001</v>
      </c>
      <c r="E11" s="7" t="s">
        <v>179</v>
      </c>
      <c r="F11" s="89" t="s">
        <v>182</v>
      </c>
      <c r="G11" s="89"/>
      <c r="H11" s="29">
        <f>D11/$D$10</f>
        <v>0.99697647772740372</v>
      </c>
      <c r="I11" s="7" t="s">
        <v>315</v>
      </c>
    </row>
    <row r="12" spans="1:14" ht="18" customHeight="1">
      <c r="A12" s="89" t="s">
        <v>184</v>
      </c>
      <c r="B12" s="89"/>
      <c r="C12" s="89"/>
      <c r="D12" s="14">
        <f>_xlfn.IFNA(VLOOKUP(封面!B1,'2021决算导出'!A:G,7,FALSE),"")</f>
        <v>176400</v>
      </c>
      <c r="E12" s="7" t="s">
        <v>179</v>
      </c>
      <c r="F12" s="89" t="s">
        <v>182</v>
      </c>
      <c r="G12" s="89"/>
      <c r="H12" s="29">
        <f t="shared" ref="H12:H15" si="0">D12/$D$10</f>
        <v>3.0235222725962497E-3</v>
      </c>
      <c r="I12" s="7" t="s">
        <v>315</v>
      </c>
    </row>
    <row r="13" spans="1:14" ht="18" customHeight="1">
      <c r="A13" s="89" t="s">
        <v>185</v>
      </c>
      <c r="B13" s="89"/>
      <c r="C13" s="89"/>
      <c r="D13" s="14">
        <f>_xlfn.IFNA(VLOOKUP(封面!B1,'2021决算导出'!A:H,8,FALSE),"")</f>
        <v>0</v>
      </c>
      <c r="E13" s="7" t="s">
        <v>179</v>
      </c>
      <c r="F13" s="89" t="s">
        <v>182</v>
      </c>
      <c r="G13" s="89"/>
      <c r="H13" s="29">
        <f t="shared" si="0"/>
        <v>0</v>
      </c>
      <c r="I13" s="7" t="s">
        <v>315</v>
      </c>
    </row>
    <row r="14" spans="1:14" ht="18" customHeight="1">
      <c r="A14" s="89" t="s">
        <v>186</v>
      </c>
      <c r="B14" s="89"/>
      <c r="C14" s="89"/>
      <c r="D14" s="14">
        <f>_xlfn.IFNA(VLOOKUP(封面!B1,'2021决算导出'!A:I,9,FALSE),"")</f>
        <v>0</v>
      </c>
      <c r="E14" s="7" t="s">
        <v>179</v>
      </c>
      <c r="F14" s="89" t="s">
        <v>182</v>
      </c>
      <c r="G14" s="89"/>
      <c r="H14" s="29">
        <f t="shared" si="0"/>
        <v>0</v>
      </c>
      <c r="I14" s="7" t="s">
        <v>315</v>
      </c>
    </row>
    <row r="15" spans="1:14" ht="18" customHeight="1">
      <c r="A15" s="89" t="s">
        <v>187</v>
      </c>
      <c r="B15" s="89"/>
      <c r="C15" s="89"/>
      <c r="D15" s="14">
        <f>_xlfn.IFNA(VLOOKUP(封面!B1,'2021决算导出'!A:J,10,FALSE),"")</f>
        <v>0</v>
      </c>
      <c r="E15" s="7" t="s">
        <v>179</v>
      </c>
      <c r="F15" s="89" t="s">
        <v>182</v>
      </c>
      <c r="G15" s="89"/>
      <c r="H15" s="29">
        <f t="shared" si="0"/>
        <v>0</v>
      </c>
      <c r="I15" s="7" t="s">
        <v>316</v>
      </c>
    </row>
    <row r="16" spans="1:14" ht="18" customHeight="1">
      <c r="A16" s="7" t="s">
        <v>188</v>
      </c>
    </row>
    <row r="17" spans="1:13" ht="18" customHeight="1">
      <c r="A17" s="89" t="s">
        <v>418</v>
      </c>
      <c r="B17" s="89"/>
      <c r="C17" s="89"/>
      <c r="D17" s="14">
        <f>_xlfn.IFNA(VLOOKUP(封面!B1,'2021决算导出'!A:K,11,FALSE),"")</f>
        <v>58347655.799999997</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1820588.8000000045</v>
      </c>
      <c r="I17" s="7" t="s">
        <v>179</v>
      </c>
      <c r="J17" s="30" t="str">
        <f>IF(ISNA(VLOOKUP(封面!B1,'2020决算导出'!A:K,11,FALSE)),"",IF(D17-VLOOKUP(封面!B1,'2020决算导出'!A:K,11,FALSE)&gt;0,"增长","下降"))</f>
        <v>下降</v>
      </c>
      <c r="K17" s="31">
        <f>IF(ISNA(VLOOKUP(封面!B1,'2020决算导出'!A:K,11,FALSE)),"",H17/VLOOKUP(封面!B1,'2020决算导出'!A:K,11,FALSE))</f>
        <v>3.0258300073457759E-2</v>
      </c>
      <c r="L17" s="7" t="s">
        <v>317</v>
      </c>
    </row>
    <row r="18" spans="1:13" ht="18" customHeight="1">
      <c r="A18" s="89" t="s">
        <v>189</v>
      </c>
      <c r="B18" s="89"/>
      <c r="C18" s="89"/>
      <c r="D18" s="14">
        <f>_xlfn.IFNA(VLOOKUP(封面!B1,'2021决算导出'!A:L,12,FALSE),"")</f>
        <v>55443101.549999997</v>
      </c>
      <c r="E18" s="7" t="s">
        <v>179</v>
      </c>
      <c r="F18" s="89" t="s">
        <v>190</v>
      </c>
      <c r="G18" s="89"/>
      <c r="H18" s="29">
        <f>D18/$D$17</f>
        <v>0.95021986384584112</v>
      </c>
      <c r="I18" s="7" t="s">
        <v>315</v>
      </c>
    </row>
    <row r="19" spans="1:13" ht="18" customHeight="1">
      <c r="A19" s="89" t="s">
        <v>191</v>
      </c>
      <c r="B19" s="89"/>
      <c r="C19" s="89"/>
      <c r="D19" s="14">
        <f>_xlfn.IFNA(VLOOKUP(封面!B1,'2021决算导出'!A:M,13,FALSE),"")</f>
        <v>2904554.25</v>
      </c>
      <c r="E19" s="7" t="s">
        <v>179</v>
      </c>
      <c r="F19" s="89" t="s">
        <v>190</v>
      </c>
      <c r="G19" s="89"/>
      <c r="H19" s="29">
        <f t="shared" ref="H19:H20" si="1">D19/$D$17</f>
        <v>4.9780136154158917E-2</v>
      </c>
      <c r="I19" s="7" t="s">
        <v>315</v>
      </c>
    </row>
    <row r="20" spans="1:13" ht="18" customHeight="1">
      <c r="A20" s="89" t="s">
        <v>192</v>
      </c>
      <c r="B20" s="89"/>
      <c r="C20" s="89"/>
      <c r="D20" s="14">
        <f>_xlfn.IFNA(VLOOKUP(封面!B1,'2021决算导出'!A:N,14,FALSE),"")</f>
        <v>0</v>
      </c>
      <c r="E20" s="7" t="s">
        <v>179</v>
      </c>
      <c r="F20" s="89" t="s">
        <v>190</v>
      </c>
      <c r="G20" s="89"/>
      <c r="H20" s="29">
        <f t="shared" si="1"/>
        <v>0</v>
      </c>
      <c r="I20" s="7" t="s">
        <v>316</v>
      </c>
    </row>
    <row r="21" spans="1:13" ht="18" customHeight="1">
      <c r="A21" s="6" t="s">
        <v>193</v>
      </c>
    </row>
    <row r="22" spans="1:13" ht="18" customHeight="1">
      <c r="A22" s="89" t="s">
        <v>419</v>
      </c>
      <c r="B22" s="89"/>
      <c r="C22" s="89"/>
      <c r="D22" s="89"/>
      <c r="E22" s="87">
        <f>_xlfn.IFNA(VLOOKUP(封面!B1,'2021决算导出'!A:O,15,FALSE),"")</f>
        <v>58173249.880000003</v>
      </c>
      <c r="F22" s="87"/>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1825344.3900000006</v>
      </c>
      <c r="J22" s="7" t="s">
        <v>179</v>
      </c>
      <c r="K22" s="30" t="str">
        <f>IF(ISNA(VLOOKUP(封面!B1,'2020决算导出'!A:O,15,FALSE)),"",IF(E22-VLOOKUP(封面!B1,'2020决算导出'!A:O,15,FALSE)&gt;0,"增长","下降"))</f>
        <v>下降</v>
      </c>
      <c r="L22" s="31">
        <f>IF(ISNA(VLOOKUP(封面!B1,'2020决算导出'!A:O,15,FALSE)),"",I22/VLOOKUP(封面!B1,'2020决算导出'!A:O,15,FALSE))</f>
        <v>3.0423119278191055E-2</v>
      </c>
      <c r="M22" s="7" t="s">
        <v>313</v>
      </c>
    </row>
    <row r="23" spans="1:13" ht="30.75" customHeight="1">
      <c r="B23" s="91" t="s">
        <v>476</v>
      </c>
      <c r="C23" s="91"/>
      <c r="D23" s="91"/>
      <c r="E23" s="91"/>
      <c r="F23" s="91"/>
      <c r="G23" s="91"/>
      <c r="H23" s="91"/>
      <c r="I23" s="91"/>
      <c r="J23" s="91"/>
      <c r="K23" s="91"/>
      <c r="L23" s="91"/>
      <c r="M23" s="91"/>
    </row>
    <row r="24" spans="1:13" ht="18" customHeight="1">
      <c r="A24" s="6" t="s">
        <v>194</v>
      </c>
    </row>
    <row r="25" spans="1:13" ht="18" customHeight="1">
      <c r="A25" s="7" t="s">
        <v>195</v>
      </c>
    </row>
    <row r="26" spans="1:13" ht="18" customHeight="1">
      <c r="A26" s="89" t="s">
        <v>420</v>
      </c>
      <c r="B26" s="89"/>
      <c r="C26" s="89"/>
      <c r="D26" s="89"/>
      <c r="E26" s="89"/>
      <c r="F26" s="87">
        <f>_xlfn.IFNA(VLOOKUP(封面!B1,'2021决算导出'!A:P,16,FALSE),"")</f>
        <v>58171255.799999997</v>
      </c>
      <c r="G26" s="87"/>
      <c r="H26" s="7" t="s">
        <v>179</v>
      </c>
      <c r="I26" s="10" t="s">
        <v>196</v>
      </c>
      <c r="J26" s="10"/>
      <c r="K26" s="10"/>
      <c r="L26" s="10"/>
      <c r="M26" s="10"/>
    </row>
    <row r="27" spans="1:13" ht="18" customHeight="1">
      <c r="A27" s="89" t="s">
        <v>199</v>
      </c>
      <c r="B27" s="89"/>
      <c r="C27" s="89"/>
      <c r="D27" s="87">
        <f>_xlfn.IFNA(VLOOKUP(封面!B1,'2021决算导出'!A:Q,17,FALSE),"")</f>
        <v>37568414.939999998</v>
      </c>
      <c r="E27" s="87"/>
      <c r="F27" s="7" t="s">
        <v>179</v>
      </c>
      <c r="G27" s="88" t="s">
        <v>198</v>
      </c>
      <c r="H27" s="88"/>
      <c r="I27" s="29">
        <f>D27/$F$26</f>
        <v>0.64582437534381021</v>
      </c>
      <c r="J27" s="7" t="s">
        <v>315</v>
      </c>
      <c r="K27" s="9"/>
      <c r="L27" s="9"/>
      <c r="M27" s="9"/>
    </row>
    <row r="28" spans="1:13" ht="18" customHeight="1">
      <c r="A28" s="89" t="s">
        <v>200</v>
      </c>
      <c r="B28" s="89"/>
      <c r="C28" s="89"/>
      <c r="D28" s="87">
        <f>_xlfn.IFNA(VLOOKUP(封面!B1,'2021决算导出'!A:R,18,FALSE),"")</f>
        <v>0</v>
      </c>
      <c r="E28" s="87"/>
      <c r="F28" s="7" t="s">
        <v>179</v>
      </c>
      <c r="G28" s="88" t="s">
        <v>198</v>
      </c>
      <c r="H28" s="88"/>
      <c r="I28" s="29">
        <f t="shared" ref="I28:I32" si="2">D28/$F$26</f>
        <v>0</v>
      </c>
      <c r="J28" s="7" t="s">
        <v>315</v>
      </c>
      <c r="K28" s="9"/>
      <c r="L28" s="9"/>
      <c r="M28" s="9"/>
    </row>
    <row r="29" spans="1:13" ht="18" customHeight="1">
      <c r="A29" s="89" t="s">
        <v>197</v>
      </c>
      <c r="B29" s="89"/>
      <c r="C29" s="89"/>
      <c r="D29" s="87">
        <f>_xlfn.IFNA(VLOOKUP(封面!B1,'2021决算导出'!A:S,19,FALSE),"")</f>
        <v>9342071.3599999994</v>
      </c>
      <c r="E29" s="87"/>
      <c r="F29" s="7" t="s">
        <v>179</v>
      </c>
      <c r="G29" s="88" t="s">
        <v>198</v>
      </c>
      <c r="H29" s="88"/>
      <c r="I29" s="29">
        <f t="shared" si="2"/>
        <v>0.1605960062495333</v>
      </c>
      <c r="J29" s="7" t="s">
        <v>315</v>
      </c>
    </row>
    <row r="30" spans="1:13" ht="18" customHeight="1">
      <c r="A30" s="89" t="s">
        <v>201</v>
      </c>
      <c r="B30" s="89"/>
      <c r="C30" s="89"/>
      <c r="D30" s="87">
        <f>_xlfn.IFNA(VLOOKUP(封面!B1,'2021决算导出'!A:T,20,FALSE),"")</f>
        <v>3983300.82</v>
      </c>
      <c r="E30" s="87"/>
      <c r="F30" s="7" t="s">
        <v>179</v>
      </c>
      <c r="G30" s="88" t="s">
        <v>198</v>
      </c>
      <c r="H30" s="88"/>
      <c r="I30" s="29">
        <f t="shared" si="2"/>
        <v>6.8475413934591389E-2</v>
      </c>
      <c r="J30" s="7" t="s">
        <v>315</v>
      </c>
    </row>
    <row r="31" spans="1:13" ht="18" customHeight="1">
      <c r="A31" s="89" t="s">
        <v>202</v>
      </c>
      <c r="B31" s="89"/>
      <c r="C31" s="89"/>
      <c r="D31" s="87">
        <f>_xlfn.IFNA(VLOOKUP(封面!B1,'2021决算导出'!A:U,21,FALSE),"")</f>
        <v>0</v>
      </c>
      <c r="E31" s="87"/>
      <c r="F31" s="7" t="s">
        <v>179</v>
      </c>
      <c r="G31" s="88" t="s">
        <v>198</v>
      </c>
      <c r="H31" s="88"/>
      <c r="I31" s="29">
        <f t="shared" si="2"/>
        <v>0</v>
      </c>
      <c r="J31" s="7" t="s">
        <v>315</v>
      </c>
    </row>
    <row r="32" spans="1:13" ht="18" customHeight="1">
      <c r="A32" s="89" t="s">
        <v>203</v>
      </c>
      <c r="B32" s="89"/>
      <c r="C32" s="89"/>
      <c r="D32" s="87">
        <f>_xlfn.IFNA(VLOOKUP(封面!B1,'2021决算导出'!A:V,22,FALSE),"")</f>
        <v>7277468.6799999997</v>
      </c>
      <c r="E32" s="87"/>
      <c r="F32" s="7" t="s">
        <v>179</v>
      </c>
      <c r="G32" s="88" t="s">
        <v>198</v>
      </c>
      <c r="H32" s="88"/>
      <c r="I32" s="29">
        <f t="shared" si="2"/>
        <v>0.12510420447206505</v>
      </c>
      <c r="J32" s="7" t="s">
        <v>315</v>
      </c>
    </row>
    <row r="33" spans="1:12" ht="18" customHeight="1">
      <c r="A33" s="7" t="s">
        <v>204</v>
      </c>
    </row>
    <row r="34" spans="1:12" ht="18" customHeight="1">
      <c r="A34" s="85" t="s">
        <v>421</v>
      </c>
      <c r="B34" s="85"/>
      <c r="C34" s="85"/>
      <c r="D34" s="85"/>
      <c r="E34" s="87">
        <f>_xlfn.IFNA(VLOOKUP(封面!B1,一般公共预算财政拨款支出决算具体情况!A:C,3,FALSE),"")</f>
        <v>37568414.940000005</v>
      </c>
      <c r="F34" s="87"/>
      <c r="G34" s="7" t="s">
        <v>179</v>
      </c>
      <c r="H34" s="88" t="s">
        <v>422</v>
      </c>
      <c r="I34" s="88"/>
      <c r="J34" s="87">
        <f>_xlfn.IFNA(VLOOKUP(封面!B1,一般公共预算财政拨款支出决算具体情况!A:D,4,FALSE),"")</f>
        <v>35299339.539999999</v>
      </c>
      <c r="K34" s="87"/>
      <c r="L34" s="11" t="s">
        <v>178</v>
      </c>
    </row>
    <row r="35" spans="1:12" ht="18" customHeight="1">
      <c r="B35" s="15" t="str">
        <f>IF(E34&gt;J34,"增加","减少")</f>
        <v>增加</v>
      </c>
      <c r="C35" s="87">
        <f>ABS(E34-J34)</f>
        <v>2269075.400000006</v>
      </c>
      <c r="D35" s="87"/>
      <c r="E35" s="7" t="s">
        <v>179</v>
      </c>
      <c r="F35" s="15" t="str">
        <f>IF(E34&gt;J34,"增长","下降")</f>
        <v>增长</v>
      </c>
      <c r="G35" s="34">
        <f>IF(J34=0,IF(E34&gt;0,1,""),C35/J34)</f>
        <v>6.4280959065218982E-2</v>
      </c>
      <c r="H35" s="7" t="s">
        <v>316</v>
      </c>
      <c r="I35" s="11" t="s">
        <v>205</v>
      </c>
    </row>
    <row r="36" spans="1:12" ht="18" customHeight="1">
      <c r="A36" s="89" t="s">
        <v>423</v>
      </c>
      <c r="B36" s="89"/>
      <c r="C36" s="89"/>
      <c r="D36" s="89"/>
      <c r="E36" s="87">
        <f>_xlfn.IFNA(VLOOKUP(封面!B1,一般公共预算财政拨款支出决算具体情况!A:E,5,FALSE),"")</f>
        <v>37321364.940000005</v>
      </c>
      <c r="F36" s="87"/>
      <c r="G36" s="7" t="s">
        <v>179</v>
      </c>
      <c r="H36" s="88" t="s">
        <v>422</v>
      </c>
      <c r="I36" s="88"/>
      <c r="J36" s="87">
        <f>_xlfn.IFNA(VLOOKUP(封面!B1,一般公共预算财政拨款支出决算具体情况!A:F,6,FALSE),"")</f>
        <v>35052289.539999999</v>
      </c>
      <c r="K36" s="87"/>
      <c r="L36" s="11" t="s">
        <v>178</v>
      </c>
    </row>
    <row r="37" spans="1:12" ht="18" customHeight="1">
      <c r="A37" s="15"/>
      <c r="B37" s="15" t="str">
        <f>IF(E36&gt;J36,"增加","减少")</f>
        <v>增加</v>
      </c>
      <c r="C37" s="87">
        <f>ABS(E36-J36)</f>
        <v>2269075.400000006</v>
      </c>
      <c r="D37" s="87"/>
      <c r="E37" s="7" t="s">
        <v>179</v>
      </c>
      <c r="F37" s="15" t="str">
        <f>IF(E36&gt;J36,"增长","下降")</f>
        <v>增长</v>
      </c>
      <c r="G37" s="34">
        <f>IF(J36=0,IF(E36&gt;0,1,""),C37/J36)</f>
        <v>6.4734013948237121E-2</v>
      </c>
      <c r="H37" s="7" t="s">
        <v>316</v>
      </c>
    </row>
    <row r="38" spans="1:12" ht="27" customHeight="1">
      <c r="B38" s="84" t="s">
        <v>477</v>
      </c>
      <c r="C38" s="84"/>
      <c r="D38" s="84"/>
      <c r="E38" s="84"/>
      <c r="F38" s="84"/>
      <c r="G38" s="84"/>
      <c r="H38" s="84"/>
      <c r="I38" s="84"/>
      <c r="J38" s="84"/>
      <c r="K38" s="84"/>
      <c r="L38" s="84"/>
    </row>
    <row r="39" spans="1:12" ht="18" customHeight="1">
      <c r="A39" s="89" t="s">
        <v>424</v>
      </c>
      <c r="B39" s="89"/>
      <c r="C39" s="89"/>
      <c r="D39" s="89"/>
      <c r="E39" s="87">
        <f>_xlfn.IFNA(VLOOKUP(封面!B1,一般公共预算财政拨款支出决算具体情况!A:M,13,FALSE),"")</f>
        <v>91800</v>
      </c>
      <c r="F39" s="87"/>
      <c r="G39" s="7" t="s">
        <v>179</v>
      </c>
      <c r="H39" s="88" t="s">
        <v>422</v>
      </c>
      <c r="I39" s="88"/>
      <c r="J39" s="87">
        <f>_xlfn.IFNA(VLOOKUP(封面!B1,一般公共预算财政拨款支出决算具体情况!A:N,14,FALSE),"")</f>
        <v>91800</v>
      </c>
      <c r="K39" s="87"/>
      <c r="L39" s="11" t="s">
        <v>178</v>
      </c>
    </row>
    <row r="40" spans="1:12" ht="18" customHeight="1">
      <c r="A40" s="15"/>
      <c r="B40" s="15" t="str">
        <f>IF(E39&gt;J39,"增加","减少")</f>
        <v>减少</v>
      </c>
      <c r="C40" s="87">
        <f>ABS(E39-J39)</f>
        <v>0</v>
      </c>
      <c r="D40" s="87"/>
      <c r="E40" s="7" t="s">
        <v>179</v>
      </c>
      <c r="F40" s="15" t="str">
        <f>IF(E39&gt;J39,"增长","下降")</f>
        <v>下降</v>
      </c>
      <c r="G40" s="34">
        <f>IF(J39=0,IF(E39&gt;0,1,""),C40/J39)</f>
        <v>0</v>
      </c>
      <c r="H40" s="7" t="s">
        <v>316</v>
      </c>
    </row>
    <row r="41" spans="1:12" ht="36" customHeight="1">
      <c r="B41" s="84" t="s">
        <v>477</v>
      </c>
      <c r="C41" s="84"/>
      <c r="D41" s="84"/>
      <c r="E41" s="84"/>
      <c r="F41" s="84"/>
      <c r="G41" s="84"/>
      <c r="H41" s="84"/>
      <c r="I41" s="84"/>
      <c r="J41" s="84"/>
      <c r="K41" s="84"/>
      <c r="L41" s="84"/>
    </row>
    <row r="42" spans="1:12" ht="18" customHeight="1">
      <c r="A42" s="90" t="s">
        <v>425</v>
      </c>
      <c r="B42" s="90"/>
      <c r="C42" s="90"/>
      <c r="D42" s="90"/>
      <c r="E42" s="87">
        <f>_xlfn.IFNA(VLOOKUP(封面!B1,一般公共预算财政拨款支出决算具体情况!A:O,15,FALSE),"")</f>
        <v>155250</v>
      </c>
      <c r="F42" s="87"/>
      <c r="G42" s="7" t="s">
        <v>179</v>
      </c>
      <c r="H42" s="88" t="s">
        <v>422</v>
      </c>
      <c r="I42" s="88"/>
      <c r="J42" s="87">
        <f>_xlfn.IFNA(VLOOKUP(封面!B1,一般公共预算财政拨款支出决算具体情况!A:P,16,FALSE),"")</f>
        <v>155250</v>
      </c>
      <c r="K42" s="87"/>
      <c r="L42" s="11" t="s">
        <v>178</v>
      </c>
    </row>
    <row r="43" spans="1:12" ht="18" customHeight="1">
      <c r="A43" s="15"/>
      <c r="B43" s="15" t="str">
        <f>IF(E42&gt;J42,"增加","减少")</f>
        <v>减少</v>
      </c>
      <c r="C43" s="87">
        <f>ABS(E42-J42)</f>
        <v>0</v>
      </c>
      <c r="D43" s="87"/>
      <c r="E43" s="7" t="s">
        <v>179</v>
      </c>
      <c r="F43" s="15" t="str">
        <f>IF(E42&gt;J42,"增长","下降")</f>
        <v>下降</v>
      </c>
      <c r="G43" s="34">
        <f>IF(J42=0,IF(E42&gt;0,1,""),C43/J42)</f>
        <v>0</v>
      </c>
      <c r="H43" s="7" t="s">
        <v>316</v>
      </c>
    </row>
    <row r="44" spans="1:12" ht="36" customHeight="1">
      <c r="B44" s="84" t="s">
        <v>477</v>
      </c>
      <c r="C44" s="84"/>
      <c r="D44" s="84"/>
      <c r="E44" s="84"/>
      <c r="F44" s="84"/>
      <c r="G44" s="84"/>
      <c r="H44" s="84"/>
      <c r="I44" s="84"/>
      <c r="J44" s="84"/>
      <c r="K44" s="84"/>
      <c r="L44" s="84"/>
    </row>
    <row r="45" spans="1:12" ht="18" customHeight="1">
      <c r="A45" s="86" t="s">
        <v>426</v>
      </c>
      <c r="B45" s="86"/>
      <c r="C45" s="86"/>
      <c r="D45" s="86"/>
      <c r="E45" s="87">
        <f>_xlfn.IFNA(VLOOKUP(封面!B1,一般公共预算财政拨款支出决算具体情况!A:Q,17,FALSE),"")</f>
        <v>0</v>
      </c>
      <c r="F45" s="87"/>
      <c r="G45" s="7" t="s">
        <v>179</v>
      </c>
      <c r="H45" s="85" t="s">
        <v>427</v>
      </c>
      <c r="I45" s="85"/>
      <c r="J45" s="85"/>
      <c r="K45" s="85"/>
      <c r="L45" s="11"/>
    </row>
    <row r="46" spans="1:12" ht="18" customHeight="1">
      <c r="A46" s="90" t="s">
        <v>469</v>
      </c>
      <c r="B46" s="90"/>
      <c r="C46" s="90"/>
      <c r="D46" s="90"/>
      <c r="E46" s="87">
        <f>_xlfn.IFNA(VLOOKUP(封面!B1,一般公共预算财政拨款支出决算具体情况!A:S,19,FALSE),"")</f>
        <v>0</v>
      </c>
      <c r="F46" s="87"/>
      <c r="G46" s="7" t="s">
        <v>179</v>
      </c>
      <c r="H46" s="85" t="s">
        <v>429</v>
      </c>
      <c r="I46" s="85"/>
      <c r="J46" s="85"/>
      <c r="K46" s="85"/>
      <c r="L46" s="11"/>
    </row>
    <row r="47" spans="1:12" ht="36" customHeight="1">
      <c r="B47" s="84"/>
      <c r="C47" s="84"/>
      <c r="D47" s="84"/>
      <c r="E47" s="84"/>
      <c r="F47" s="84"/>
      <c r="G47" s="84"/>
      <c r="H47" s="84"/>
      <c r="I47" s="84"/>
      <c r="J47" s="84"/>
      <c r="K47" s="84"/>
      <c r="L47" s="84"/>
    </row>
    <row r="48" spans="1:12" ht="18" customHeight="1">
      <c r="A48" s="89" t="s">
        <v>428</v>
      </c>
      <c r="B48" s="89"/>
      <c r="C48" s="89"/>
      <c r="D48" s="89"/>
      <c r="E48" s="87">
        <f>_xlfn.IFNA(VLOOKUP(封面!B1,一般公共预算财政拨款支出决算具体情况!A:U,21,FALSE),"")</f>
        <v>0</v>
      </c>
      <c r="F48" s="87"/>
      <c r="G48" s="7" t="s">
        <v>179</v>
      </c>
      <c r="H48" s="85" t="s">
        <v>429</v>
      </c>
      <c r="I48" s="85"/>
      <c r="J48" s="85"/>
      <c r="K48" s="85"/>
      <c r="L48" s="11"/>
    </row>
    <row r="49" spans="1:12" ht="36" customHeight="1">
      <c r="B49" s="84"/>
      <c r="C49" s="84"/>
      <c r="D49" s="84"/>
      <c r="E49" s="84"/>
      <c r="F49" s="84"/>
      <c r="G49" s="84"/>
      <c r="H49" s="84"/>
      <c r="I49" s="84"/>
      <c r="J49" s="84"/>
      <c r="K49" s="84"/>
      <c r="L49" s="84"/>
    </row>
    <row r="50" spans="1:12" ht="18" customHeight="1">
      <c r="A50" s="86" t="s">
        <v>430</v>
      </c>
      <c r="B50" s="86"/>
      <c r="C50" s="86"/>
      <c r="D50" s="86"/>
      <c r="E50" s="87">
        <f>_xlfn.IFNA(VLOOKUP(封面!B1,一般公共预算财政拨款支出决算具体情况!A:W,23,FALSE),"")</f>
        <v>9342071.3599999994</v>
      </c>
      <c r="F50" s="87"/>
      <c r="G50" s="7" t="s">
        <v>179</v>
      </c>
      <c r="H50" s="88" t="s">
        <v>422</v>
      </c>
      <c r="I50" s="88"/>
      <c r="J50" s="87">
        <f>_xlfn.IFNA(VLOOKUP(封面!B1,一般公共预算财政拨款支出决算具体情况!A:X,24,FALSE),"")</f>
        <v>8257096.3600000003</v>
      </c>
      <c r="K50" s="87"/>
      <c r="L50" s="11" t="s">
        <v>178</v>
      </c>
    </row>
    <row r="51" spans="1:12" ht="18" customHeight="1">
      <c r="B51" s="15" t="str">
        <f>IF(E50&gt;J50,"增加","减少")</f>
        <v>增加</v>
      </c>
      <c r="C51" s="87">
        <f>ABS(E50-J50)</f>
        <v>1084974.9999999991</v>
      </c>
      <c r="D51" s="87"/>
      <c r="E51" s="7" t="s">
        <v>179</v>
      </c>
      <c r="F51" s="15" t="str">
        <f>IF(E50&gt;J50,"增长","下降")</f>
        <v>增长</v>
      </c>
      <c r="G51" s="34">
        <f>IF(J50=0,IF(E50&gt;0,1,""),C51/J50)</f>
        <v>0.1313990963283368</v>
      </c>
      <c r="H51" s="7" t="s">
        <v>316</v>
      </c>
      <c r="I51" s="11" t="s">
        <v>205</v>
      </c>
    </row>
    <row r="52" spans="1:12" ht="18" customHeight="1">
      <c r="A52" s="90" t="s">
        <v>431</v>
      </c>
      <c r="B52" s="90"/>
      <c r="C52" s="90"/>
      <c r="D52" s="90"/>
      <c r="E52" s="87">
        <f>_xlfn.IFNA(VLOOKUP(封面!B1,一般公共预算财政拨款支出决算具体情况!A:Y,25,FALSE),"")</f>
        <v>9152993.3599999994</v>
      </c>
      <c r="F52" s="87"/>
      <c r="G52" s="7" t="s">
        <v>179</v>
      </c>
      <c r="H52" s="88" t="s">
        <v>422</v>
      </c>
      <c r="I52" s="88"/>
      <c r="J52" s="87">
        <f>_xlfn.IFNA(VLOOKUP(封面!B1,一般公共预算财政拨款支出决算具体情况!A:Z,26,FALSE),"")</f>
        <v>8257096.3600000003</v>
      </c>
      <c r="K52" s="87"/>
      <c r="L52" s="11" t="s">
        <v>178</v>
      </c>
    </row>
    <row r="53" spans="1:12" ht="18" customHeight="1">
      <c r="A53" s="15"/>
      <c r="B53" s="15" t="str">
        <f>IF(E52&gt;J52,"增加","减少")</f>
        <v>增加</v>
      </c>
      <c r="C53" s="87">
        <f>ABS(E52-J52)</f>
        <v>895896.99999999907</v>
      </c>
      <c r="D53" s="87"/>
      <c r="E53" s="7" t="s">
        <v>179</v>
      </c>
      <c r="F53" s="15" t="str">
        <f>IF(E52&gt;J52,"增长","下降")</f>
        <v>增长</v>
      </c>
      <c r="G53" s="34">
        <f>IF(J52=0,IF(E52&gt;0,1,""),C53/J52)</f>
        <v>0.10850024765848791</v>
      </c>
      <c r="H53" s="7" t="s">
        <v>316</v>
      </c>
    </row>
    <row r="54" spans="1:12" ht="36" customHeight="1">
      <c r="B54" s="84" t="s">
        <v>479</v>
      </c>
      <c r="C54" s="84"/>
      <c r="D54" s="84"/>
      <c r="E54" s="84"/>
      <c r="F54" s="84"/>
      <c r="G54" s="84"/>
      <c r="H54" s="84"/>
      <c r="I54" s="84"/>
      <c r="J54" s="84"/>
      <c r="K54" s="84"/>
      <c r="L54" s="84"/>
    </row>
    <row r="55" spans="1:12" ht="18" customHeight="1">
      <c r="A55" s="90" t="s">
        <v>432</v>
      </c>
      <c r="B55" s="90"/>
      <c r="C55" s="90"/>
      <c r="D55" s="90"/>
      <c r="E55" s="87">
        <f>_xlfn.IFNA(VLOOKUP(封面!B1,一般公共预算财政拨款支出决算具体情况!A:AA,27,FALSE),"")</f>
        <v>189078</v>
      </c>
      <c r="F55" s="87"/>
      <c r="G55" s="7" t="s">
        <v>179</v>
      </c>
      <c r="H55" s="88" t="s">
        <v>429</v>
      </c>
      <c r="I55" s="88"/>
      <c r="J55" s="87"/>
      <c r="K55" s="87"/>
      <c r="L55" s="11"/>
    </row>
    <row r="56" spans="1:12" ht="36" customHeight="1">
      <c r="B56" s="84" t="s">
        <v>480</v>
      </c>
      <c r="C56" s="84"/>
      <c r="D56" s="84"/>
      <c r="E56" s="84"/>
      <c r="F56" s="84"/>
      <c r="G56" s="84"/>
      <c r="H56" s="84"/>
      <c r="I56" s="84"/>
      <c r="J56" s="84"/>
      <c r="K56" s="84"/>
      <c r="L56" s="84"/>
    </row>
    <row r="57" spans="1:12" ht="18" customHeight="1">
      <c r="A57" s="86" t="s">
        <v>433</v>
      </c>
      <c r="B57" s="86"/>
      <c r="C57" s="86"/>
      <c r="D57" s="86"/>
      <c r="E57" s="87">
        <f>_xlfn.IFNA(VLOOKUP(封面!B1,一般公共预算财政拨款支出决算具体情况!A:AC,29,FALSE),"")</f>
        <v>3983300.82</v>
      </c>
      <c r="F57" s="87"/>
      <c r="G57" s="7" t="s">
        <v>179</v>
      </c>
      <c r="H57" s="88" t="s">
        <v>422</v>
      </c>
      <c r="I57" s="88"/>
      <c r="J57" s="87">
        <f>_xlfn.IFNA(VLOOKUP(封面!B1,一般公共预算财政拨款支出决算具体情况!A:AD,30,FALSE),"")</f>
        <v>3547300.82</v>
      </c>
      <c r="K57" s="87"/>
      <c r="L57" s="11" t="s">
        <v>178</v>
      </c>
    </row>
    <row r="58" spans="1:12" ht="18" customHeight="1">
      <c r="B58" s="15" t="str">
        <f>IF(E57&gt;J57,"增加","减少")</f>
        <v>增加</v>
      </c>
      <c r="C58" s="87">
        <f>ABS(E57-J57)</f>
        <v>436000</v>
      </c>
      <c r="D58" s="87"/>
      <c r="E58" s="7" t="s">
        <v>179</v>
      </c>
      <c r="F58" s="15" t="str">
        <f>IF(E57&gt;J57,"增长","下降")</f>
        <v>增长</v>
      </c>
      <c r="G58" s="34">
        <f>IF(J57=0,IF(E57&gt;0,1,""),C58/J57)</f>
        <v>0.12291035413230052</v>
      </c>
      <c r="H58" s="7" t="s">
        <v>316</v>
      </c>
      <c r="I58" s="11" t="s">
        <v>205</v>
      </c>
    </row>
    <row r="59" spans="1:12" ht="18" customHeight="1">
      <c r="A59" s="90" t="s">
        <v>434</v>
      </c>
      <c r="B59" s="90"/>
      <c r="C59" s="90"/>
      <c r="D59" s="90"/>
      <c r="E59" s="87">
        <f>_xlfn.IFNA(VLOOKUP(封面!B1,一般公共预算财政拨款支出决算具体情况!A:AE,31,FALSE),"")</f>
        <v>3983300.82</v>
      </c>
      <c r="F59" s="87"/>
      <c r="G59" s="7" t="s">
        <v>179</v>
      </c>
      <c r="H59" s="88" t="s">
        <v>422</v>
      </c>
      <c r="I59" s="88"/>
      <c r="J59" s="87">
        <f>_xlfn.IFNA(VLOOKUP(封面!B1,一般公共预算财政拨款支出决算具体情况!A:AF,32,FALSE),"")</f>
        <v>3547300.82</v>
      </c>
      <c r="K59" s="87"/>
      <c r="L59" s="11" t="s">
        <v>178</v>
      </c>
    </row>
    <row r="60" spans="1:12" ht="18" customHeight="1">
      <c r="A60" s="15"/>
      <c r="B60" s="15" t="str">
        <f>IF(E59&gt;J59,"增加","减少")</f>
        <v>增加</v>
      </c>
      <c r="C60" s="87">
        <f>ABS(E59-J59)</f>
        <v>436000</v>
      </c>
      <c r="D60" s="87"/>
      <c r="E60" s="7" t="s">
        <v>179</v>
      </c>
      <c r="F60" s="15" t="str">
        <f>IF(E59&gt;J59,"增长","下降")</f>
        <v>增长</v>
      </c>
      <c r="G60" s="34">
        <f>IF(J59=0,IF(E59&gt;0,1,""),C60/J59)</f>
        <v>0.12291035413230052</v>
      </c>
      <c r="H60" s="7" t="s">
        <v>316</v>
      </c>
    </row>
    <row r="61" spans="1:12" ht="36" customHeight="1">
      <c r="B61" s="84" t="s">
        <v>478</v>
      </c>
      <c r="C61" s="84"/>
      <c r="D61" s="84"/>
      <c r="E61" s="84"/>
      <c r="F61" s="84"/>
      <c r="G61" s="84"/>
      <c r="H61" s="84"/>
      <c r="I61" s="84"/>
      <c r="J61" s="84"/>
      <c r="K61" s="84"/>
      <c r="L61" s="84"/>
    </row>
    <row r="62" spans="1:12" ht="18" customHeight="1">
      <c r="A62" s="86" t="s">
        <v>435</v>
      </c>
      <c r="B62" s="86"/>
      <c r="C62" s="86"/>
      <c r="D62" s="86"/>
      <c r="E62" s="87">
        <f>_xlfn.IFNA(VLOOKUP(封面!B1,一般公共预算财政拨款支出决算具体情况!A:AG,33,FALSE),"")</f>
        <v>0</v>
      </c>
      <c r="F62" s="87"/>
      <c r="G62" s="7" t="s">
        <v>179</v>
      </c>
      <c r="H62" s="88" t="s">
        <v>422</v>
      </c>
      <c r="I62" s="88"/>
      <c r="J62" s="87">
        <f>_xlfn.IFNA(VLOOKUP(封面!B1,一般公共预算财政拨款支出决算具体情况!A:AH,34,FALSE),"")</f>
        <v>0</v>
      </c>
      <c r="K62" s="87"/>
      <c r="L62" s="11" t="s">
        <v>178</v>
      </c>
    </row>
    <row r="63" spans="1:12" ht="18" customHeight="1">
      <c r="B63" s="15" t="str">
        <f>IF(E62&gt;J62,"增加","减少")</f>
        <v>减少</v>
      </c>
      <c r="C63" s="87">
        <f>ABS(E62-J62)</f>
        <v>0</v>
      </c>
      <c r="D63" s="87"/>
      <c r="E63" s="7" t="s">
        <v>179</v>
      </c>
      <c r="F63" s="15" t="str">
        <f>IF(E62&gt;J62,"增长","下降")</f>
        <v>下降</v>
      </c>
      <c r="G63" s="34" t="str">
        <f>IF(J62=0,IF(E62&gt;0,1,""),C63/J62)</f>
        <v/>
      </c>
      <c r="H63" s="7" t="s">
        <v>313</v>
      </c>
      <c r="I63" s="11" t="s">
        <v>205</v>
      </c>
    </row>
    <row r="64" spans="1:12" ht="18" customHeight="1">
      <c r="A64" s="90" t="s">
        <v>436</v>
      </c>
      <c r="B64" s="90"/>
      <c r="C64" s="90"/>
      <c r="D64" s="90"/>
      <c r="E64" s="87">
        <f>_xlfn.IFNA(VLOOKUP(封面!B1,一般公共预算财政拨款支出决算具体情况!A:AI,35,FALSE),"")</f>
        <v>0</v>
      </c>
      <c r="F64" s="87"/>
      <c r="G64" s="7" t="s">
        <v>179</v>
      </c>
      <c r="H64" s="88" t="s">
        <v>422</v>
      </c>
      <c r="I64" s="88"/>
      <c r="J64" s="87">
        <f>_xlfn.IFNA(VLOOKUP(封面!B1,一般公共预算财政拨款支出决算具体情况!A:AJ,36,FALSE),"")</f>
        <v>0</v>
      </c>
      <c r="K64" s="87"/>
      <c r="L64" s="11" t="s">
        <v>178</v>
      </c>
    </row>
    <row r="65" spans="1:13" ht="18" customHeight="1">
      <c r="A65" s="58"/>
      <c r="B65" s="15" t="str">
        <f>IF(E64&gt;J64,"增加","减少")</f>
        <v>减少</v>
      </c>
      <c r="C65" s="87">
        <f>ABS(E64-J64)</f>
        <v>0</v>
      </c>
      <c r="D65" s="87"/>
      <c r="E65" s="7" t="s">
        <v>179</v>
      </c>
      <c r="F65" s="15" t="str">
        <f>IF(E64&gt;J64,"增长","下降")</f>
        <v>下降</v>
      </c>
      <c r="G65" s="34" t="str">
        <f>IF(J64=0,IF(E64&gt;0,1,""),C65/J64)</f>
        <v/>
      </c>
      <c r="H65" s="7" t="s">
        <v>313</v>
      </c>
      <c r="I65" s="57"/>
      <c r="J65" s="56"/>
      <c r="K65" s="56"/>
      <c r="L65" s="11"/>
    </row>
    <row r="66" spans="1:13" ht="36" customHeight="1">
      <c r="B66" s="84"/>
      <c r="C66" s="84"/>
      <c r="D66" s="84"/>
      <c r="E66" s="84"/>
      <c r="F66" s="84"/>
      <c r="G66" s="84"/>
      <c r="H66" s="84"/>
      <c r="I66" s="84"/>
      <c r="J66" s="84"/>
      <c r="K66" s="84"/>
      <c r="L66" s="84"/>
    </row>
    <row r="67" spans="1:13" ht="18" customHeight="1">
      <c r="A67" s="86" t="s">
        <v>470</v>
      </c>
      <c r="B67" s="86"/>
      <c r="C67" s="86"/>
      <c r="D67" s="86"/>
      <c r="E67" s="87">
        <f>_xlfn.IFNA(VLOOKUP(封面!B1,一般公共预算财政拨款支出决算具体情况!A:AK,37,FALSE),"")</f>
        <v>7277468.6799999997</v>
      </c>
      <c r="F67" s="87"/>
      <c r="G67" s="7" t="s">
        <v>179</v>
      </c>
      <c r="H67" s="88" t="s">
        <v>422</v>
      </c>
      <c r="I67" s="88"/>
      <c r="J67" s="87">
        <f>_xlfn.IFNA(VLOOKUP(封面!B1,一般公共预算财政拨款支出决算具体情况!A:AL,38,FALSE),"")</f>
        <v>6866893.6799999997</v>
      </c>
      <c r="K67" s="87"/>
      <c r="L67" s="11" t="s">
        <v>178</v>
      </c>
    </row>
    <row r="68" spans="1:13" ht="18" customHeight="1">
      <c r="B68" s="15" t="str">
        <f>IF(E67&gt;J67,"增加","减少")</f>
        <v>增加</v>
      </c>
      <c r="C68" s="87">
        <f>ABS(E67-J67)</f>
        <v>410575</v>
      </c>
      <c r="D68" s="87"/>
      <c r="E68" s="7" t="s">
        <v>179</v>
      </c>
      <c r="F68" s="15" t="str">
        <f>IF(E67&gt;J67,"增长","下降")</f>
        <v>增长</v>
      </c>
      <c r="G68" s="34">
        <f>IF(J67=0,IF(E67&gt;0,1,""),C68/J67)</f>
        <v>5.9790499042647188E-2</v>
      </c>
      <c r="H68" s="7" t="s">
        <v>316</v>
      </c>
      <c r="I68" s="11" t="s">
        <v>205</v>
      </c>
    </row>
    <row r="69" spans="1:13" ht="18" customHeight="1">
      <c r="A69" s="90" t="s">
        <v>437</v>
      </c>
      <c r="B69" s="90"/>
      <c r="C69" s="90"/>
      <c r="D69" s="90"/>
      <c r="E69" s="87">
        <f>_xlfn.IFNA(VLOOKUP(封面!B1,一般公共预算财政拨款支出决算具体情况!A:AM,39,FALSE),"")</f>
        <v>7277468.6799999997</v>
      </c>
      <c r="F69" s="87"/>
      <c r="G69" s="7" t="s">
        <v>179</v>
      </c>
      <c r="H69" s="88" t="s">
        <v>422</v>
      </c>
      <c r="I69" s="88"/>
      <c r="J69" s="87">
        <f>_xlfn.IFNA(VLOOKUP(封面!B1,一般公共预算财政拨款支出决算具体情况!A:AN,40,FALSE),"")</f>
        <v>6866893.6799999997</v>
      </c>
      <c r="K69" s="87"/>
      <c r="L69" s="11" t="s">
        <v>178</v>
      </c>
    </row>
    <row r="70" spans="1:13" ht="18" customHeight="1">
      <c r="A70" s="15"/>
      <c r="B70" s="15" t="str">
        <f>IF(E69&gt;J69,"增加","减少")</f>
        <v>增加</v>
      </c>
      <c r="C70" s="87">
        <f>ABS(E69-J69)</f>
        <v>410575</v>
      </c>
      <c r="D70" s="87"/>
      <c r="E70" s="7" t="s">
        <v>179</v>
      </c>
      <c r="F70" s="15" t="str">
        <f>IF(E69&gt;J69,"增长","下降")</f>
        <v>增长</v>
      </c>
      <c r="G70" s="34">
        <f>IF(J69=0,IF(E69&gt;0,1,""),C70/J69)</f>
        <v>5.9790499042647188E-2</v>
      </c>
      <c r="H70" s="7" t="s">
        <v>316</v>
      </c>
    </row>
    <row r="71" spans="1:13" ht="36" customHeight="1">
      <c r="B71" s="84" t="s">
        <v>478</v>
      </c>
      <c r="C71" s="84"/>
      <c r="D71" s="84"/>
      <c r="E71" s="84"/>
      <c r="F71" s="84"/>
      <c r="G71" s="84"/>
      <c r="H71" s="84"/>
      <c r="I71" s="84"/>
      <c r="J71" s="84"/>
      <c r="K71" s="84"/>
      <c r="L71" s="84"/>
    </row>
    <row r="72" spans="1:13" ht="18" customHeight="1">
      <c r="A72" s="6" t="s">
        <v>206</v>
      </c>
    </row>
    <row r="73" spans="1:13" ht="18" customHeight="1">
      <c r="A73" s="7" t="str">
        <f>IF(_xlfn.IFNA(VLOOKUP(封面!B1,'2021决算导出'!A:W,23,FALSE),"")=0,"本年度无此项支出。","")</f>
        <v>本年度无此项支出。</v>
      </c>
    </row>
    <row r="74" spans="1:13" ht="18" customHeight="1">
      <c r="A74" s="7" t="s">
        <v>207</v>
      </c>
    </row>
    <row r="75" spans="1:13" ht="18" customHeight="1">
      <c r="A75" s="89" t="s">
        <v>438</v>
      </c>
      <c r="B75" s="89"/>
      <c r="C75" s="89"/>
      <c r="D75" s="89"/>
      <c r="E75" s="89"/>
      <c r="F75" s="87">
        <f>_xlfn.IFNA(VLOOKUP(封面!B1,'2021决算导出'!A:W,23,FALSE),"")</f>
        <v>0</v>
      </c>
      <c r="G75" s="87"/>
      <c r="H75" s="7" t="s">
        <v>179</v>
      </c>
      <c r="I75" s="85" t="s">
        <v>196</v>
      </c>
      <c r="J75" s="85"/>
      <c r="K75" s="85"/>
      <c r="L75" s="85"/>
      <c r="M75" s="85"/>
    </row>
    <row r="76" spans="1:13" ht="18" customHeight="1">
      <c r="A76" s="89" t="s">
        <v>208</v>
      </c>
      <c r="B76" s="89"/>
      <c r="C76" s="89"/>
      <c r="D76" s="87">
        <f>_xlfn.IFNA(VLOOKUP(封面!B1,'2021决算导出'!A:Y,25,FALSE),"")</f>
        <v>0</v>
      </c>
      <c r="E76" s="87"/>
      <c r="F76" s="7" t="s">
        <v>179</v>
      </c>
      <c r="G76" s="88" t="s">
        <v>198</v>
      </c>
      <c r="H76" s="88"/>
      <c r="I76" s="13">
        <v>100</v>
      </c>
      <c r="J76" s="7" t="s">
        <v>183</v>
      </c>
      <c r="K76" s="9"/>
      <c r="L76" s="9"/>
      <c r="M76" s="9"/>
    </row>
    <row r="77" spans="1:13" ht="18" customHeight="1">
      <c r="A77" s="7" t="s">
        <v>209</v>
      </c>
    </row>
    <row r="78" spans="1:13" ht="18" customHeight="1">
      <c r="A78" s="85" t="s">
        <v>439</v>
      </c>
      <c r="B78" s="85"/>
      <c r="C78" s="85"/>
      <c r="D78" s="85"/>
      <c r="E78" s="87">
        <f>_xlfn.IFNA(VLOOKUP(封面!B1,'2021决算导出'!A:Y,25,FALSE),"")</f>
        <v>0</v>
      </c>
      <c r="F78" s="87"/>
      <c r="G78" s="7" t="s">
        <v>179</v>
      </c>
      <c r="H78" s="88" t="s">
        <v>422</v>
      </c>
      <c r="I78" s="88"/>
      <c r="J78" s="87">
        <f>_xlfn.IFNA(VLOOKUP(封面!B1,'2021决算导出'!A:Z,26,FALSE),"")</f>
        <v>0</v>
      </c>
      <c r="K78" s="87"/>
      <c r="L78" s="11" t="s">
        <v>178</v>
      </c>
    </row>
    <row r="79" spans="1:13" ht="18" customHeight="1">
      <c r="B79" s="15" t="str">
        <f>IF(E78&gt;J78,"增加","减少")</f>
        <v>减少</v>
      </c>
      <c r="C79" s="87">
        <f>ABS(E78-J78)</f>
        <v>0</v>
      </c>
      <c r="D79" s="87"/>
      <c r="E79" s="7" t="s">
        <v>179</v>
      </c>
      <c r="F79" s="15" t="str">
        <f>IF(E78&gt;J78,"增长","下降")</f>
        <v>下降</v>
      </c>
      <c r="G79" s="34" t="str">
        <f>IF(J78=0,IF(E78&gt;0,1,""),C79/J78)</f>
        <v/>
      </c>
      <c r="H79" s="7" t="s">
        <v>316</v>
      </c>
      <c r="I79" s="11" t="s">
        <v>205</v>
      </c>
    </row>
    <row r="80" spans="1:13" ht="18" customHeight="1">
      <c r="A80" s="90" t="s">
        <v>440</v>
      </c>
      <c r="B80" s="90"/>
      <c r="C80" s="90"/>
      <c r="D80" s="90"/>
      <c r="E80" s="87">
        <f>E78</f>
        <v>0</v>
      </c>
      <c r="F80" s="87"/>
      <c r="G80" s="7" t="s">
        <v>179</v>
      </c>
      <c r="H80" s="88" t="s">
        <v>422</v>
      </c>
      <c r="I80" s="88"/>
      <c r="J80" s="87">
        <f>J78</f>
        <v>0</v>
      </c>
      <c r="K80" s="87"/>
      <c r="L80" s="11" t="s">
        <v>178</v>
      </c>
    </row>
    <row r="81" spans="1:13" ht="18" customHeight="1">
      <c r="A81" s="15"/>
      <c r="B81" s="15" t="str">
        <f>B79</f>
        <v>减少</v>
      </c>
      <c r="C81" s="87">
        <f>C79</f>
        <v>0</v>
      </c>
      <c r="D81" s="87"/>
      <c r="E81" s="7" t="s">
        <v>179</v>
      </c>
      <c r="F81" s="15" t="str">
        <f>F79</f>
        <v>下降</v>
      </c>
      <c r="G81" s="34" t="str">
        <f>IF(J80=0,IF(E80&gt;0,1,""),C81/J80)</f>
        <v/>
      </c>
      <c r="H81" s="7" t="s">
        <v>316</v>
      </c>
    </row>
    <row r="82" spans="1:13" ht="36" customHeight="1">
      <c r="B82" s="84"/>
      <c r="C82" s="84"/>
      <c r="D82" s="84"/>
      <c r="E82" s="84"/>
      <c r="F82" s="84"/>
      <c r="G82" s="84"/>
      <c r="H82" s="84"/>
      <c r="I82" s="84"/>
      <c r="J82" s="84"/>
      <c r="K82" s="84"/>
      <c r="L82" s="84"/>
    </row>
    <row r="83" spans="1:13" ht="18" customHeight="1">
      <c r="A83" s="6" t="s">
        <v>210</v>
      </c>
    </row>
    <row r="84" spans="1:13" ht="18" customHeight="1">
      <c r="A84" s="7" t="s">
        <v>211</v>
      </c>
    </row>
    <row r="85" spans="1:13" ht="18" customHeight="1">
      <c r="A85" s="6" t="s">
        <v>212</v>
      </c>
    </row>
    <row r="86" spans="1:13" ht="18" customHeight="1">
      <c r="A86" s="7" t="s">
        <v>441</v>
      </c>
      <c r="G86" s="87">
        <f>_xlfn.IFNA(VLOOKUP(封面!B1,'2021决算导出'!A:AA,27,FALSE),"")</f>
        <v>55443101.549999997</v>
      </c>
      <c r="H86" s="87"/>
      <c r="I86" s="11" t="s">
        <v>179</v>
      </c>
    </row>
    <row r="87" spans="1:13" ht="130.15" customHeight="1">
      <c r="A87" s="84" t="s">
        <v>213</v>
      </c>
      <c r="B87" s="84"/>
      <c r="C87" s="84"/>
      <c r="D87" s="84"/>
      <c r="E87" s="84"/>
      <c r="F87" s="84"/>
      <c r="G87" s="84"/>
      <c r="H87" s="84"/>
      <c r="I87" s="84"/>
      <c r="J87" s="84"/>
      <c r="K87" s="84"/>
      <c r="L87" s="84"/>
      <c r="M87" s="84"/>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47">
    <mergeCell ref="G86:H86"/>
    <mergeCell ref="A87:M87"/>
    <mergeCell ref="A4:M4"/>
    <mergeCell ref="A78:D78"/>
    <mergeCell ref="E78:F78"/>
    <mergeCell ref="H78:I78"/>
    <mergeCell ref="J78:K78"/>
    <mergeCell ref="C79:D79"/>
    <mergeCell ref="A80:D80"/>
    <mergeCell ref="E80:F80"/>
    <mergeCell ref="H80:I80"/>
    <mergeCell ref="J80:K80"/>
    <mergeCell ref="B71:L71"/>
    <mergeCell ref="A75:E75"/>
    <mergeCell ref="F75:G75"/>
    <mergeCell ref="I75:M75"/>
    <mergeCell ref="A76:C76"/>
    <mergeCell ref="D76:E76"/>
    <mergeCell ref="G76:H76"/>
    <mergeCell ref="C68:D68"/>
    <mergeCell ref="A69:D69"/>
    <mergeCell ref="E69:F69"/>
    <mergeCell ref="H69:I69"/>
    <mergeCell ref="J69:K69"/>
    <mergeCell ref="C70:D70"/>
    <mergeCell ref="A67:D67"/>
    <mergeCell ref="E67:F67"/>
    <mergeCell ref="H67:I67"/>
    <mergeCell ref="J67:K67"/>
    <mergeCell ref="C81:D81"/>
    <mergeCell ref="B82:L82"/>
    <mergeCell ref="E52:F52"/>
    <mergeCell ref="H52:I52"/>
    <mergeCell ref="J52:K52"/>
    <mergeCell ref="C53:D53"/>
    <mergeCell ref="B66:L66"/>
    <mergeCell ref="C65:D65"/>
    <mergeCell ref="C63:D63"/>
    <mergeCell ref="H64:I64"/>
    <mergeCell ref="J64:K64"/>
    <mergeCell ref="B56:L56"/>
    <mergeCell ref="A57:D57"/>
    <mergeCell ref="E57:F57"/>
    <mergeCell ref="H57:I57"/>
    <mergeCell ref="J57:K57"/>
    <mergeCell ref="C58:D58"/>
    <mergeCell ref="B54:L54"/>
    <mergeCell ref="A46:D46"/>
    <mergeCell ref="E46:F46"/>
    <mergeCell ref="H46:K46"/>
    <mergeCell ref="B47:L47"/>
    <mergeCell ref="A62:D62"/>
    <mergeCell ref="E62:F62"/>
    <mergeCell ref="A64:D64"/>
    <mergeCell ref="E64:F64"/>
    <mergeCell ref="A59:D59"/>
    <mergeCell ref="E59:F59"/>
    <mergeCell ref="H59:I59"/>
    <mergeCell ref="J59:K59"/>
    <mergeCell ref="C60:D60"/>
    <mergeCell ref="B61:L61"/>
    <mergeCell ref="H62:I62"/>
    <mergeCell ref="J62:K62"/>
    <mergeCell ref="C43:D43"/>
    <mergeCell ref="B44:L44"/>
    <mergeCell ref="A45:D45"/>
    <mergeCell ref="E45:F45"/>
    <mergeCell ref="C40:D40"/>
    <mergeCell ref="B41:L41"/>
    <mergeCell ref="A42:D42"/>
    <mergeCell ref="E42:F42"/>
    <mergeCell ref="H42:I42"/>
    <mergeCell ref="J42:K42"/>
    <mergeCell ref="H45:K45"/>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B49:L49"/>
    <mergeCell ref="H48:K48"/>
    <mergeCell ref="A50:D50"/>
    <mergeCell ref="E50:F50"/>
    <mergeCell ref="H50:I50"/>
    <mergeCell ref="J50:K50"/>
    <mergeCell ref="A48:D48"/>
    <mergeCell ref="E48:F48"/>
    <mergeCell ref="A55:D55"/>
    <mergeCell ref="E55:F55"/>
    <mergeCell ref="H55:I55"/>
    <mergeCell ref="J55:K55"/>
    <mergeCell ref="C51:D51"/>
    <mergeCell ref="A52:D52"/>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selection activeCell="E20" sqref="E2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2" t="s">
        <v>413</v>
      </c>
      <c r="B1" s="82"/>
      <c r="C1" s="82"/>
      <c r="D1" s="82"/>
      <c r="E1" s="82"/>
      <c r="F1" s="82"/>
      <c r="G1" s="82"/>
      <c r="H1" s="82"/>
      <c r="I1" s="82"/>
      <c r="J1" s="82"/>
      <c r="K1" s="82"/>
      <c r="L1" s="82"/>
      <c r="M1" s="82"/>
      <c r="N1" s="82"/>
    </row>
    <row r="2" spans="1:14" ht="18" customHeight="1">
      <c r="A2" s="6" t="s">
        <v>214</v>
      </c>
    </row>
    <row r="3" spans="1:14" ht="18" customHeight="1">
      <c r="A3" s="16" t="str">
        <f>IF(_xlfn.IFNA(VLOOKUP(封面!B1,'2021决算导出'!A:AB,28,FALSE),"")=0,"本年度无此项支出。","")</f>
        <v/>
      </c>
    </row>
    <row r="4" spans="1:14" ht="18" customHeight="1">
      <c r="A4" s="7" t="s">
        <v>442</v>
      </c>
      <c r="F4" s="87">
        <f>_xlfn.IFNA(VLOOKUP(封面!B1,'2021决算导出'!A:AB,28,FALSE),"")</f>
        <v>5959.88</v>
      </c>
      <c r="G4" s="87"/>
      <c r="H4" s="7" t="s">
        <v>179</v>
      </c>
      <c r="I4" s="7" t="s">
        <v>443</v>
      </c>
    </row>
    <row r="5" spans="1:14" ht="18" customHeight="1">
      <c r="A5" s="93">
        <f>_xlfn.IFNA(VLOOKUP(封面!B1,'2021决算导出'!A:AC,29,FALSE),"")</f>
        <v>27000</v>
      </c>
      <c r="B5" s="93"/>
      <c r="C5" s="7" t="s">
        <v>178</v>
      </c>
      <c r="D5" s="30" t="str">
        <f>IF(F4&gt;A5,"增加","减少")</f>
        <v>减少</v>
      </c>
      <c r="E5" s="93">
        <f>ABS(F4-A5)</f>
        <v>21040.12</v>
      </c>
      <c r="F5" s="93"/>
      <c r="G5" s="7" t="s">
        <v>216</v>
      </c>
    </row>
    <row r="6" spans="1:14" ht="18" customHeight="1">
      <c r="A6" s="7" t="s">
        <v>217</v>
      </c>
    </row>
    <row r="7" spans="1:14" ht="18" customHeight="1">
      <c r="A7" s="55" t="s">
        <v>444</v>
      </c>
      <c r="B7" s="19"/>
      <c r="C7" s="19"/>
      <c r="D7" s="19"/>
      <c r="E7" s="19"/>
      <c r="F7" s="19"/>
      <c r="G7" s="19"/>
      <c r="H7" s="19"/>
      <c r="I7" s="19"/>
      <c r="J7" s="19"/>
      <c r="K7" s="19"/>
      <c r="L7" s="19"/>
      <c r="M7" s="19"/>
      <c r="N7" s="19"/>
    </row>
    <row r="8" spans="1:14" ht="18" customHeight="1">
      <c r="A8" s="7" t="s">
        <v>218</v>
      </c>
    </row>
    <row r="9" spans="1:14" ht="39" customHeight="1">
      <c r="A9" s="92" t="s">
        <v>445</v>
      </c>
      <c r="B9" s="92"/>
      <c r="C9" s="92"/>
      <c r="D9" s="92"/>
      <c r="E9" s="92"/>
      <c r="F9" s="92"/>
      <c r="G9" s="92"/>
      <c r="H9" s="92"/>
      <c r="I9" s="92"/>
      <c r="J9" s="92"/>
      <c r="K9" s="92"/>
      <c r="L9" s="92"/>
      <c r="M9" s="92"/>
      <c r="N9" s="92"/>
    </row>
    <row r="10" spans="1:14" ht="18" customHeight="1">
      <c r="A10" s="7" t="s">
        <v>219</v>
      </c>
    </row>
    <row r="11" spans="1:14" ht="18" customHeight="1">
      <c r="A11" s="89" t="s">
        <v>446</v>
      </c>
      <c r="B11" s="89"/>
      <c r="C11" s="35">
        <f>_xlfn.IFNA(VLOOKUP(封面!B1,'2021决算导出'!A:AI,35,FALSE),"")</f>
        <v>5959.88</v>
      </c>
      <c r="D11" s="7" t="s">
        <v>179</v>
      </c>
      <c r="E11" s="89" t="s">
        <v>447</v>
      </c>
      <c r="F11" s="89"/>
      <c r="G11" s="89"/>
      <c r="H11" s="93">
        <f>_xlfn.IFNA(VLOOKUP(封面!B1,'2021决算导出'!A:AJ,36,FALSE),"")</f>
        <v>27000</v>
      </c>
      <c r="I11" s="93"/>
      <c r="J11" s="16" t="s">
        <v>178</v>
      </c>
      <c r="K11" s="30" t="str">
        <f>IF(C11&gt;H11,"增加","减少")</f>
        <v>减少</v>
      </c>
      <c r="L11" s="93">
        <f>ABS(C11-H11)</f>
        <v>21040.12</v>
      </c>
      <c r="M11" s="93"/>
      <c r="N11" s="7" t="s">
        <v>215</v>
      </c>
    </row>
    <row r="12" spans="1:14" ht="18" customHeight="1">
      <c r="A12" s="89" t="s">
        <v>448</v>
      </c>
      <c r="B12" s="89"/>
      <c r="C12" s="89"/>
      <c r="D12" s="89"/>
      <c r="E12" s="89"/>
      <c r="F12" s="93">
        <f>_xlfn.IFNA(VLOOKUP(封面!B1,'2021决算导出'!A:AK,37,FALSE),"")</f>
        <v>0</v>
      </c>
      <c r="G12" s="93"/>
      <c r="H12" s="17" t="s">
        <v>179</v>
      </c>
      <c r="I12" s="89" t="s">
        <v>447</v>
      </c>
      <c r="J12" s="89"/>
      <c r="K12" s="89"/>
      <c r="L12" s="93">
        <f>_xlfn.IFNA(VLOOKUP(封面!B1,'2021决算导出'!A:AL,38,FALSE),"")</f>
        <v>0</v>
      </c>
      <c r="M12" s="93"/>
      <c r="N12" s="7" t="s">
        <v>178</v>
      </c>
    </row>
    <row r="13" spans="1:14" ht="18" customHeight="1">
      <c r="A13" s="15" t="str">
        <f>IF(F12&gt;L12,"增加","减少")</f>
        <v>减少</v>
      </c>
      <c r="B13" s="93">
        <f>ABS(F12-L12)</f>
        <v>0</v>
      </c>
      <c r="C13" s="93"/>
      <c r="D13" s="7" t="s">
        <v>215</v>
      </c>
      <c r="H13" s="93"/>
      <c r="I13" s="93"/>
      <c r="J13" s="16"/>
    </row>
    <row r="14" spans="1:14" ht="39.950000000000003" customHeight="1">
      <c r="A14" s="84" t="s">
        <v>481</v>
      </c>
      <c r="B14" s="84"/>
      <c r="C14" s="84"/>
      <c r="D14" s="84"/>
      <c r="E14" s="84"/>
      <c r="F14" s="84"/>
      <c r="G14" s="84"/>
      <c r="H14" s="84"/>
      <c r="I14" s="84"/>
      <c r="J14" s="84"/>
      <c r="K14" s="84"/>
      <c r="L14" s="84"/>
      <c r="M14" s="84"/>
      <c r="N14" s="84"/>
    </row>
    <row r="15" spans="1:14" ht="18" customHeight="1">
      <c r="A15" s="89" t="s">
        <v>449</v>
      </c>
      <c r="B15" s="89"/>
      <c r="C15" s="89"/>
      <c r="D15" s="8">
        <f>_xlfn.IFNA(VLOOKUP(封面!B1,'2021决算导出'!A:AM,39,FALSE),"")</f>
        <v>0</v>
      </c>
      <c r="E15" s="7" t="s">
        <v>220</v>
      </c>
      <c r="F15" s="89" t="s">
        <v>221</v>
      </c>
      <c r="G15" s="89"/>
      <c r="H15" s="93">
        <f>IF(D15=0,0,F12/D15)</f>
        <v>0</v>
      </c>
      <c r="I15" s="93"/>
      <c r="J15" s="7" t="s">
        <v>215</v>
      </c>
    </row>
    <row r="16" spans="1:14" ht="18" customHeight="1">
      <c r="A16" s="88" t="s">
        <v>450</v>
      </c>
      <c r="B16" s="88"/>
      <c r="C16" s="88"/>
      <c r="D16" s="88"/>
      <c r="E16" s="88"/>
      <c r="F16" s="93">
        <f>_xlfn.IFNA(VLOOKUP(封面!B1,'2021决算导出'!A:AO,41,FALSE),"")</f>
        <v>5959.88</v>
      </c>
      <c r="G16" s="93" t="s">
        <v>179</v>
      </c>
      <c r="H16" s="7" t="s">
        <v>179</v>
      </c>
      <c r="I16" s="7" t="s">
        <v>447</v>
      </c>
      <c r="L16" s="93">
        <f>_xlfn.IFNA(VLOOKUP(封面!B1,'2021决算导出'!A:AP,42,FALSE),"")</f>
        <v>27000</v>
      </c>
      <c r="M16" s="93" t="s">
        <v>179</v>
      </c>
      <c r="N16" s="7" t="s">
        <v>179</v>
      </c>
    </row>
    <row r="17" spans="1:14" ht="18" customHeight="1">
      <c r="A17" s="15" t="str">
        <f>IF(F16&gt;L16,"增加","减少")</f>
        <v>减少</v>
      </c>
      <c r="B17" s="93">
        <f>ABS(F16-L16)</f>
        <v>21040.12</v>
      </c>
      <c r="C17" s="93"/>
      <c r="D17" s="7" t="s">
        <v>215</v>
      </c>
    </row>
    <row r="18" spans="1:14" ht="36" customHeight="1">
      <c r="A18" s="84" t="s">
        <v>222</v>
      </c>
      <c r="B18" s="84"/>
      <c r="C18" s="84"/>
      <c r="D18" s="84"/>
      <c r="E18" s="84"/>
      <c r="F18" s="84"/>
      <c r="G18" s="84"/>
      <c r="H18" s="84"/>
      <c r="I18" s="84"/>
      <c r="J18" s="84"/>
      <c r="K18" s="84"/>
      <c r="L18" s="84"/>
      <c r="M18" s="84"/>
      <c r="N18" s="84"/>
    </row>
    <row r="19" spans="1:14" ht="18" customHeight="1">
      <c r="A19" s="89" t="s">
        <v>451</v>
      </c>
      <c r="B19" s="89"/>
      <c r="C19" s="89"/>
      <c r="D19" s="89"/>
      <c r="E19" s="89"/>
      <c r="F19" s="89"/>
      <c r="G19" s="93">
        <f>_xlfn.IFNA(VLOOKUP(封面!B1,'2021决算导出'!A:AQ,43,FALSE),"")</f>
        <v>0</v>
      </c>
      <c r="H19" s="93" t="s">
        <v>179</v>
      </c>
      <c r="I19" s="7" t="s">
        <v>179</v>
      </c>
      <c r="J19" s="7" t="s">
        <v>223</v>
      </c>
      <c r="L19" s="93">
        <f>_xlfn.IFNA(VLOOKUP(封面!B1,'2021决算导出'!A:AR,44,FALSE),"")</f>
        <v>1139.6199999999999</v>
      </c>
      <c r="M19" s="93" t="s">
        <v>179</v>
      </c>
      <c r="N19" s="7" t="s">
        <v>179</v>
      </c>
    </row>
    <row r="20" spans="1:14" ht="18" customHeight="1">
      <c r="A20" s="89" t="s">
        <v>224</v>
      </c>
      <c r="B20" s="89"/>
      <c r="C20" s="93">
        <f>_xlfn.IFNA(VLOOKUP(封面!B1,'2021决算导出'!A:AS,45,FALSE),"")</f>
        <v>4593.26</v>
      </c>
      <c r="D20" s="93" t="s">
        <v>179</v>
      </c>
      <c r="E20" s="7" t="s">
        <v>179</v>
      </c>
      <c r="F20" s="89" t="s">
        <v>225</v>
      </c>
      <c r="G20" s="89"/>
      <c r="H20" s="89"/>
      <c r="I20" s="93">
        <f>_xlfn.IFNA(VLOOKUP(封面!B1,'2021决算导出'!A:AT,46,FALSE),"")</f>
        <v>227</v>
      </c>
      <c r="J20" s="93" t="s">
        <v>179</v>
      </c>
      <c r="K20" s="7" t="s">
        <v>215</v>
      </c>
    </row>
    <row r="21" spans="1:14" ht="18" customHeight="1">
      <c r="A21" s="89" t="s">
        <v>452</v>
      </c>
      <c r="B21" s="89"/>
      <c r="C21" s="89"/>
      <c r="D21" s="8">
        <f>_xlfn.IFNA(VLOOKUP(封面!B1,'2021决算导出'!A:AU,47,FALSE),"")</f>
        <v>1</v>
      </c>
      <c r="E21" s="85" t="s">
        <v>407</v>
      </c>
      <c r="F21" s="85"/>
      <c r="G21" s="85"/>
      <c r="H21" s="85"/>
      <c r="I21" s="85"/>
      <c r="J21" s="85"/>
      <c r="K21" s="85"/>
      <c r="L21" s="85"/>
      <c r="M21" s="54">
        <f>F16/D21</f>
        <v>5959.88</v>
      </c>
      <c r="N21" s="7" t="s">
        <v>215</v>
      </c>
    </row>
    <row r="22" spans="1:14" ht="18" customHeight="1">
      <c r="A22" s="6" t="s">
        <v>226</v>
      </c>
    </row>
    <row r="23" spans="1:14" ht="18" customHeight="1">
      <c r="A23" s="7" t="s">
        <v>227</v>
      </c>
    </row>
    <row r="24" spans="1:14" ht="18" customHeight="1">
      <c r="A24" s="6" t="s">
        <v>228</v>
      </c>
    </row>
    <row r="25" spans="1:14" ht="18" customHeight="1">
      <c r="A25" s="89" t="s">
        <v>453</v>
      </c>
      <c r="B25" s="89"/>
      <c r="C25" s="89"/>
      <c r="D25" s="89"/>
      <c r="E25" s="87">
        <f>_xlfn.IFNA(VLOOKUP(封面!B1,'2021决算导出'!A:AW,49,FALSE),"")</f>
        <v>477007.28</v>
      </c>
      <c r="F25" s="87"/>
      <c r="G25" s="7" t="s">
        <v>179</v>
      </c>
      <c r="H25" s="89" t="s">
        <v>229</v>
      </c>
      <c r="I25" s="89"/>
      <c r="J25" s="89"/>
      <c r="K25" s="89"/>
      <c r="L25" s="87">
        <f>_xlfn.IFNA(VLOOKUP(封面!B1,'2021决算导出'!A:AX,50,FALSE),"")</f>
        <v>77750</v>
      </c>
      <c r="M25" s="87" t="s">
        <v>179</v>
      </c>
      <c r="N25" s="7" t="s">
        <v>179</v>
      </c>
    </row>
    <row r="26" spans="1:14" ht="18" customHeight="1">
      <c r="A26" s="89" t="s">
        <v>230</v>
      </c>
      <c r="B26" s="89"/>
      <c r="C26" s="89"/>
      <c r="D26" s="87">
        <f>_xlfn.IFNA(VLOOKUP(封面!B1,'2021决算导出'!A:AY,51,FALSE),"")</f>
        <v>0</v>
      </c>
      <c r="E26" s="87" t="s">
        <v>179</v>
      </c>
      <c r="F26" s="7" t="s">
        <v>179</v>
      </c>
      <c r="G26" s="89" t="s">
        <v>231</v>
      </c>
      <c r="H26" s="89"/>
      <c r="I26" s="89"/>
      <c r="J26" s="87">
        <f>_xlfn.IFNA(VLOOKUP(封面!B1,'2021决算导出'!A:AZ,52,FALSE),"")</f>
        <v>399257</v>
      </c>
      <c r="K26" s="87" t="s">
        <v>179</v>
      </c>
      <c r="L26" s="7" t="s">
        <v>215</v>
      </c>
    </row>
    <row r="27" spans="1:14" ht="18" customHeight="1">
      <c r="A27" s="89" t="s">
        <v>232</v>
      </c>
      <c r="B27" s="89"/>
      <c r="C27" s="89"/>
      <c r="D27" s="89"/>
      <c r="E27" s="87">
        <f>_xlfn.IFNA(VLOOKUP(封面!B1,'2021决算导出'!A:BA,53,FALSE),"")</f>
        <v>477007</v>
      </c>
      <c r="F27" s="87" t="s">
        <v>179</v>
      </c>
      <c r="G27" s="7" t="s">
        <v>179</v>
      </c>
      <c r="H27" s="88" t="s">
        <v>233</v>
      </c>
      <c r="I27" s="88"/>
      <c r="J27" s="88"/>
      <c r="K27" s="29">
        <f>E27/$E$25</f>
        <v>0.99999941300686224</v>
      </c>
      <c r="L27" s="18" t="s">
        <v>314</v>
      </c>
      <c r="M27" s="7" t="s">
        <v>408</v>
      </c>
    </row>
    <row r="28" spans="1:14" ht="18" customHeight="1">
      <c r="A28" s="89" t="s">
        <v>234</v>
      </c>
      <c r="B28" s="89"/>
      <c r="C28" s="89"/>
      <c r="D28" s="89"/>
      <c r="E28" s="87">
        <f>_xlfn.IFNA(VLOOKUP(封面!B1,'2021决算导出'!A:BB,54,FALSE),"")</f>
        <v>477007.28</v>
      </c>
      <c r="F28" s="87" t="s">
        <v>179</v>
      </c>
      <c r="G28" s="7" t="s">
        <v>179</v>
      </c>
      <c r="H28" s="88" t="s">
        <v>233</v>
      </c>
      <c r="I28" s="88"/>
      <c r="J28" s="88"/>
      <c r="K28" s="29">
        <f>E28/$E$25</f>
        <v>1</v>
      </c>
      <c r="L28" s="18" t="s">
        <v>316</v>
      </c>
    </row>
    <row r="29" spans="1:14" ht="18" customHeight="1">
      <c r="A29" s="6" t="s">
        <v>235</v>
      </c>
    </row>
    <row r="30" spans="1:14" ht="18" customHeight="1">
      <c r="A30" s="89" t="s">
        <v>454</v>
      </c>
      <c r="B30" s="89"/>
      <c r="C30" s="8">
        <f>_xlfn.IFNA(VLOOKUP(封面!B1,'2021决算导出'!A:BC,55,FALSE),"")</f>
        <v>1</v>
      </c>
      <c r="D30" s="7" t="s">
        <v>236</v>
      </c>
      <c r="M30" s="93">
        <f>_xlfn.IFNA(VLOOKUP(封面!B1,'2021决算导出'!A:BD,56,FALSE),"")</f>
        <v>257905</v>
      </c>
      <c r="N30" s="93" t="s">
        <v>179</v>
      </c>
    </row>
    <row r="31" spans="1:14" ht="18" customHeight="1">
      <c r="A31" s="12" t="s">
        <v>237</v>
      </c>
      <c r="B31" s="89" t="s">
        <v>238</v>
      </c>
      <c r="C31" s="89"/>
      <c r="D31" s="89"/>
      <c r="E31" s="89"/>
      <c r="F31" s="89"/>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4" t="s">
        <v>471</v>
      </c>
      <c r="B36" s="84"/>
      <c r="C36" s="84"/>
      <c r="D36" s="84"/>
      <c r="E36" s="84"/>
      <c r="F36" s="84"/>
      <c r="G36" s="84"/>
      <c r="H36" s="84"/>
      <c r="I36" s="84"/>
      <c r="J36" s="84"/>
      <c r="K36" s="84"/>
      <c r="L36" s="84"/>
      <c r="M36" s="84"/>
      <c r="N36" s="84"/>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2" t="s">
        <v>473</v>
      </c>
      <c r="B10" s="82"/>
      <c r="C10" s="82"/>
      <c r="D10" s="82"/>
      <c r="E10" s="82"/>
      <c r="F10" s="82"/>
      <c r="G10" s="82"/>
      <c r="H10" s="82"/>
      <c r="I10" s="82"/>
      <c r="J10" s="82"/>
      <c r="K10" s="82"/>
      <c r="L10" s="82"/>
      <c r="M10" s="82"/>
      <c r="N10" s="82"/>
    </row>
    <row r="11" spans="1:14" ht="78" customHeight="1">
      <c r="A11" s="83" t="s">
        <v>474</v>
      </c>
      <c r="B11" s="83"/>
      <c r="C11" s="83"/>
      <c r="D11" s="83"/>
      <c r="E11" s="83"/>
      <c r="F11" s="83"/>
      <c r="G11" s="83"/>
      <c r="H11" s="83"/>
      <c r="I11" s="83"/>
      <c r="J11" s="83"/>
      <c r="K11" s="83"/>
      <c r="L11" s="83"/>
      <c r="M11" s="83"/>
      <c r="N11" s="83"/>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455</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460</v>
      </c>
      <c r="X1" s="60" t="s">
        <v>461</v>
      </c>
      <c r="Y1" s="22" t="s">
        <v>462</v>
      </c>
      <c r="Z1" s="22" t="s">
        <v>456</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457</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458</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459</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467</v>
      </c>
      <c r="T1" s="76" t="s">
        <v>468</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458</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459</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463</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463</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457</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457</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457</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457</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457</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457</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457</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457</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457</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457</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457</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463</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463</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458</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458</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458</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458</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458</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458</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459</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459</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459</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459</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459</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459</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463</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463</v>
      </c>
      <c r="B23" s="74">
        <v>2060499</v>
      </c>
      <c r="C23" s="74" t="s">
        <v>464</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465</v>
      </c>
      <c r="B34" s="74">
        <v>2120801</v>
      </c>
      <c r="C34" s="74" t="s">
        <v>464</v>
      </c>
      <c r="D34" s="74" t="s">
        <v>466</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2022-09-02T01:06:04Z</dcterms:modified>
</cp:coreProperties>
</file>