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dministrator\Desktop\假期工作资料需存档文件8.31\决算公开\决算公开电子表\"/>
    </mc:Choice>
  </mc:AlternateContent>
  <xr:revisionPtr revIDLastSave="0" documentId="13_ncr:1_{22ADB4D0-3E50-4F6D-9D75-F6B97F3F16EA}" xr6:coauthVersionLast="47" xr6:coauthVersionMax="47" xr10:uidLastSave="{00000000-0000-0000-0000-000000000000}"/>
  <workbookProtection lockStructure="1"/>
  <bookViews>
    <workbookView xWindow="-120" yWindow="-120" windowWidth="20730" windowHeight="11160" tabRatio="851" xr2:uid="{00000000-000D-0000-FFFF-FFFF00000000}"/>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77" i="5"/>
  <c r="A75" i="5"/>
  <c r="A11" i="1"/>
  <c r="D10" i="5"/>
  <c r="J10" i="5" s="1"/>
  <c r="H10" i="5" l="1"/>
  <c r="K10" i="5" s="1"/>
  <c r="G10" i="5"/>
  <c r="G87" i="5"/>
  <c r="J80" i="5"/>
  <c r="E80" i="5"/>
  <c r="D78"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s="1"/>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s="1"/>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s="1"/>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s="1"/>
  <c r="C1559" i="10" s="1"/>
  <c r="E1558" i="10"/>
  <c r="D1558" i="10" s="1"/>
  <c r="E1557" i="10"/>
  <c r="D1557" i="10" s="1"/>
  <c r="C1557" i="10" s="1"/>
  <c r="E1556" i="10"/>
  <c r="D1556" i="10" s="1"/>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s="1"/>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s="1"/>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s="1"/>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s="1"/>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s="1"/>
  <c r="C1417" i="10" s="1"/>
  <c r="E1416" i="10"/>
  <c r="D1416" i="10" s="1"/>
  <c r="C1416" i="10" s="1"/>
  <c r="E1415" i="10"/>
  <c r="D1415" i="10" s="1"/>
  <c r="C1415" i="10" s="1"/>
  <c r="E1414" i="10"/>
  <c r="D1414" i="10" s="1"/>
  <c r="C1414" i="10" s="1"/>
  <c r="E1413" i="10"/>
  <c r="D1413" i="10" s="1"/>
  <c r="C1413" i="10" s="1"/>
  <c r="E1412" i="10"/>
  <c r="D1412" i="10" s="1"/>
  <c r="C1412" i="10" s="1"/>
  <c r="E1411" i="10"/>
  <c r="D1411" i="10" s="1"/>
  <c r="C1411" i="10" s="1"/>
  <c r="E1410" i="10"/>
  <c r="D1410" i="10" s="1"/>
  <c r="C1410" i="10" s="1"/>
  <c r="E1409" i="10"/>
  <c r="D1409" i="10"/>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s="1"/>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s="1"/>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s="1"/>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s="1"/>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s="1"/>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s="1"/>
  <c r="C1227" i="10" s="1"/>
  <c r="E1226" i="10"/>
  <c r="D1226" i="10" s="1"/>
  <c r="C1226" i="10" s="1"/>
  <c r="E1225" i="10"/>
  <c r="D1225" i="10" s="1"/>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c r="C1183" i="10" s="1"/>
  <c r="E1182" i="10"/>
  <c r="D1182" i="10" s="1"/>
  <c r="C1182" i="10" s="1"/>
  <c r="E1181" i="10"/>
  <c r="D1181" i="10" s="1"/>
  <c r="C1181" i="10" s="1"/>
  <c r="E1180" i="10"/>
  <c r="D1180" i="10" s="1"/>
  <c r="C1180" i="10" s="1"/>
  <c r="E1179" i="10"/>
  <c r="D1179" i="10" s="1"/>
  <c r="C1179" i="10" s="1"/>
  <c r="E1178" i="10"/>
  <c r="D1178" i="10" s="1"/>
  <c r="C1178" i="10" s="1"/>
  <c r="E1177" i="10"/>
  <c r="D1177" i="10"/>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s="1"/>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E1119" i="10"/>
  <c r="D1119" i="10" s="1"/>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s="1"/>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s="1"/>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s="1"/>
  <c r="C1001" i="10" s="1"/>
  <c r="E1000" i="10"/>
  <c r="D1000" i="10" s="1"/>
  <c r="C1000" i="10" s="1"/>
  <c r="E999" i="10"/>
  <c r="D999" i="10" s="1"/>
  <c r="C999" i="10" s="1"/>
  <c r="E998" i="10"/>
  <c r="D998" i="10" s="1"/>
  <c r="C998" i="10" s="1"/>
  <c r="E997" i="10"/>
  <c r="D997" i="10" s="1"/>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s="1"/>
  <c r="C969" i="10" s="1"/>
  <c r="E968" i="10"/>
  <c r="D968" i="10" s="1"/>
  <c r="C968" i="10" s="1"/>
  <c r="E967" i="10"/>
  <c r="D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c r="C937" i="10" s="1"/>
  <c r="E936" i="10"/>
  <c r="D936" i="10" s="1"/>
  <c r="C936" i="10" s="1"/>
  <c r="E935" i="10"/>
  <c r="D935" i="10" s="1"/>
  <c r="C935" i="10" s="1"/>
  <c r="E934" i="10"/>
  <c r="D934" i="10" s="1"/>
  <c r="C934" i="10" s="1"/>
  <c r="E933" i="10"/>
  <c r="D933" i="10" s="1"/>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s="1"/>
  <c r="C909" i="10" s="1"/>
  <c r="E908" i="10"/>
  <c r="D908" i="10" s="1"/>
  <c r="E907" i="10"/>
  <c r="D907" i="10" s="1"/>
  <c r="C907" i="10" s="1"/>
  <c r="E906" i="10"/>
  <c r="D906" i="10" s="1"/>
  <c r="C906" i="10" s="1"/>
  <c r="E905" i="10"/>
  <c r="D905" i="10" s="1"/>
  <c r="C905" i="10" s="1"/>
  <c r="E904" i="10"/>
  <c r="D904" i="10" s="1"/>
  <c r="C904" i="10" s="1"/>
  <c r="E903" i="10"/>
  <c r="D903" i="10" s="1"/>
  <c r="C903" i="10" s="1"/>
  <c r="E902" i="10"/>
  <c r="D902" i="10" s="1"/>
  <c r="C902" i="10" s="1"/>
  <c r="E901" i="10"/>
  <c r="D901" i="10" s="1"/>
  <c r="E900" i="10"/>
  <c r="D900" i="10" s="1"/>
  <c r="C900" i="10" s="1"/>
  <c r="E899" i="10"/>
  <c r="D899" i="10" s="1"/>
  <c r="C899" i="10" s="1"/>
  <c r="E898" i="10"/>
  <c r="D898" i="10" s="1"/>
  <c r="C898" i="10" s="1"/>
  <c r="E897" i="10"/>
  <c r="D897" i="10" s="1"/>
  <c r="C897" i="10" s="1"/>
  <c r="E896" i="10"/>
  <c r="D896" i="10" s="1"/>
  <c r="C896" i="10" s="1"/>
  <c r="E895" i="10"/>
  <c r="D895" i="10" s="1"/>
  <c r="C895" i="10" s="1"/>
  <c r="E894" i="10"/>
  <c r="D894" i="10" s="1"/>
  <c r="C894" i="10" s="1"/>
  <c r="E893" i="10"/>
  <c r="D893" i="10" s="1"/>
  <c r="C893" i="10" s="1"/>
  <c r="E892" i="10"/>
  <c r="D892" i="10" s="1"/>
  <c r="C892" i="10" s="1"/>
  <c r="E891" i="10"/>
  <c r="D891" i="10" s="1"/>
  <c r="E890" i="10"/>
  <c r="D890" i="10" s="1"/>
  <c r="C890" i="10" s="1"/>
  <c r="E889" i="10"/>
  <c r="D889" i="10" s="1"/>
  <c r="C889" i="10" s="1"/>
  <c r="E888" i="10"/>
  <c r="D888" i="10" s="1"/>
  <c r="E887" i="10"/>
  <c r="D887" i="10" s="1"/>
  <c r="C887" i="10" s="1"/>
  <c r="E886" i="10"/>
  <c r="D886" i="10" s="1"/>
  <c r="C886" i="10" s="1"/>
  <c r="E885" i="10"/>
  <c r="D885" i="10"/>
  <c r="C885" i="10" s="1"/>
  <c r="E884" i="10"/>
  <c r="D884" i="10" s="1"/>
  <c r="C884" i="10" s="1"/>
  <c r="E883" i="10"/>
  <c r="D883" i="10" s="1"/>
  <c r="C883" i="10" s="1"/>
  <c r="E882" i="10"/>
  <c r="D882" i="10" s="1"/>
  <c r="C882" i="10" s="1"/>
  <c r="E881" i="10"/>
  <c r="D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s="1"/>
  <c r="E870" i="10"/>
  <c r="D870" i="10" s="1"/>
  <c r="C870" i="10" s="1"/>
  <c r="E869" i="10"/>
  <c r="D869" i="10" s="1"/>
  <c r="C869" i="10"/>
  <c r="E868" i="10"/>
  <c r="D868" i="10" s="1"/>
  <c r="C868" i="10" s="1"/>
  <c r="E867" i="10"/>
  <c r="D867" i="10" s="1"/>
  <c r="C867" i="10" s="1"/>
  <c r="E866" i="10"/>
  <c r="D866" i="10"/>
  <c r="C866" i="10" s="1"/>
  <c r="E865" i="10"/>
  <c r="D865" i="10" s="1"/>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s="1"/>
  <c r="C854" i="10" s="1"/>
  <c r="E853" i="10"/>
  <c r="D853" i="10" s="1"/>
  <c r="C853" i="10" s="1"/>
  <c r="E852" i="10"/>
  <c r="D852" i="10" s="1"/>
  <c r="C852" i="10" s="1"/>
  <c r="E851" i="10"/>
  <c r="D851" i="10" s="1"/>
  <c r="C851" i="10" s="1"/>
  <c r="E850" i="10"/>
  <c r="D850" i="10" s="1"/>
  <c r="C850" i="10" s="1"/>
  <c r="E849" i="10"/>
  <c r="D849" i="10" s="1"/>
  <c r="E848" i="10"/>
  <c r="D848" i="10" s="1"/>
  <c r="C848" i="10" s="1"/>
  <c r="E847" i="10"/>
  <c r="D847" i="10" s="1"/>
  <c r="C847" i="10" s="1"/>
  <c r="E846" i="10"/>
  <c r="D846" i="10" s="1"/>
  <c r="C846" i="10" s="1"/>
  <c r="E845" i="10"/>
  <c r="D845" i="10" s="1"/>
  <c r="C845" i="10" s="1"/>
  <c r="E844" i="10"/>
  <c r="D844" i="10" s="1"/>
  <c r="C844" i="10" s="1"/>
  <c r="E843" i="10"/>
  <c r="D843" i="10" s="1"/>
  <c r="C843" i="10" s="1"/>
  <c r="E842" i="10"/>
  <c r="D842" i="10" s="1"/>
  <c r="C842" i="10" s="1"/>
  <c r="E841" i="10"/>
  <c r="D841" i="10" s="1"/>
  <c r="C841" i="10" s="1"/>
  <c r="E840" i="10"/>
  <c r="D840" i="10" s="1"/>
  <c r="C840" i="10" s="1"/>
  <c r="E839" i="10"/>
  <c r="D839" i="10" s="1"/>
  <c r="E838" i="10"/>
  <c r="D838" i="10" s="1"/>
  <c r="C838" i="10" s="1"/>
  <c r="E837" i="10"/>
  <c r="D837" i="10" s="1"/>
  <c r="C837" i="10" s="1"/>
  <c r="E836" i="10"/>
  <c r="D836" i="10" s="1"/>
  <c r="C836" i="10" s="1"/>
  <c r="E835" i="10"/>
  <c r="D835" i="10" s="1"/>
  <c r="C835" i="10" s="1"/>
  <c r="E834" i="10"/>
  <c r="D834" i="10" s="1"/>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c r="C822" i="10" s="1"/>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s="1"/>
  <c r="C801" i="10"/>
  <c r="E800" i="10"/>
  <c r="D800" i="10" s="1"/>
  <c r="E799" i="10"/>
  <c r="D799" i="10" s="1"/>
  <c r="C799" i="10" s="1"/>
  <c r="E798" i="10"/>
  <c r="D798" i="10"/>
  <c r="C798" i="10" s="1"/>
  <c r="E797" i="10"/>
  <c r="D797" i="10" s="1"/>
  <c r="C797" i="10" s="1"/>
  <c r="E796" i="10"/>
  <c r="D796" i="10" s="1"/>
  <c r="C796" i="10" s="1"/>
  <c r="E795" i="10"/>
  <c r="D795" i="10" s="1"/>
  <c r="C795" i="10" s="1"/>
  <c r="E794" i="10"/>
  <c r="D794" i="10" s="1"/>
  <c r="C794" i="10" s="1"/>
  <c r="E793" i="10"/>
  <c r="D793" i="10" s="1"/>
  <c r="C793" i="10" s="1"/>
  <c r="E792" i="10"/>
  <c r="D792" i="10" s="1"/>
  <c r="E791" i="10"/>
  <c r="D791" i="10" s="1"/>
  <c r="C791" i="10" s="1"/>
  <c r="E790" i="10"/>
  <c r="D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s="1"/>
  <c r="E768" i="10"/>
  <c r="D768" i="10" s="1"/>
  <c r="C768" i="10" s="1"/>
  <c r="E767" i="10"/>
  <c r="D767" i="10" s="1"/>
  <c r="C767" i="10" s="1"/>
  <c r="E766" i="10"/>
  <c r="D766" i="10" s="1"/>
  <c r="C766" i="10" s="1"/>
  <c r="E765" i="10"/>
  <c r="D765" i="10" s="1"/>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s="1"/>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s="1"/>
  <c r="C734" i="10" s="1"/>
  <c r="E733" i="10"/>
  <c r="D733" i="10" s="1"/>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s="1"/>
  <c r="C719" i="10" s="1"/>
  <c r="E718" i="10"/>
  <c r="D718" i="10" s="1"/>
  <c r="C718" i="10" s="1"/>
  <c r="E717" i="10"/>
  <c r="D717" i="10" s="1"/>
  <c r="C717" i="10" s="1"/>
  <c r="E716" i="10"/>
  <c r="D716" i="10" s="1"/>
  <c r="C716" i="10" s="1"/>
  <c r="E715" i="10"/>
  <c r="D715" i="10"/>
  <c r="E714" i="10"/>
  <c r="D714" i="10" s="1"/>
  <c r="C714" i="10" s="1"/>
  <c r="E713" i="10"/>
  <c r="D713" i="10" s="1"/>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s="1"/>
  <c r="E701" i="10"/>
  <c r="D701" i="10" s="1"/>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s="1"/>
  <c r="C694" i="10" s="1"/>
  <c r="E693" i="10"/>
  <c r="D693" i="10" s="1"/>
  <c r="C693" i="10" s="1"/>
  <c r="E692" i="10"/>
  <c r="D692" i="10" s="1"/>
  <c r="E691" i="10"/>
  <c r="D691" i="10" s="1"/>
  <c r="C691" i="10" s="1"/>
  <c r="E690" i="10"/>
  <c r="D690" i="10" s="1"/>
  <c r="C690" i="10" s="1"/>
  <c r="E689" i="10"/>
  <c r="D689" i="10" s="1"/>
  <c r="C689" i="10" s="1"/>
  <c r="E688" i="10"/>
  <c r="D688" i="10" s="1"/>
  <c r="C688" i="10" s="1"/>
  <c r="E687" i="10"/>
  <c r="D687" i="10" s="1"/>
  <c r="C687" i="10" s="1"/>
  <c r="E686" i="10"/>
  <c r="D686" i="10" s="1"/>
  <c r="C686" i="10" s="1"/>
  <c r="E685" i="10"/>
  <c r="D685" i="10" s="1"/>
  <c r="C685" i="10" s="1"/>
  <c r="E684" i="10"/>
  <c r="D684" i="10" s="1"/>
  <c r="C684" i="10" s="1"/>
  <c r="E683" i="10"/>
  <c r="D683" i="10" s="1"/>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s="1"/>
  <c r="C669" i="10" s="1"/>
  <c r="E668" i="10"/>
  <c r="D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s="1"/>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c r="C630" i="10" s="1"/>
  <c r="E629" i="10"/>
  <c r="D629" i="10" s="1"/>
  <c r="C629" i="10" s="1"/>
  <c r="E628" i="10"/>
  <c r="D628" i="10" s="1"/>
  <c r="C628" i="10" s="1"/>
  <c r="E627" i="10"/>
  <c r="D627" i="10" s="1"/>
  <c r="C627" i="10" s="1"/>
  <c r="E626" i="10"/>
  <c r="D626" i="10"/>
  <c r="C626" i="10" s="1"/>
  <c r="E625" i="10"/>
  <c r="D625" i="10" s="1"/>
  <c r="C625" i="10" s="1"/>
  <c r="E624" i="10"/>
  <c r="D624" i="10" s="1"/>
  <c r="C624" i="10" s="1"/>
  <c r="E623" i="10"/>
  <c r="D623" i="10" s="1"/>
  <c r="C623" i="10" s="1"/>
  <c r="E622" i="10"/>
  <c r="D622" i="10" s="1"/>
  <c r="C622" i="10" s="1"/>
  <c r="E621" i="10"/>
  <c r="D621" i="10" s="1"/>
  <c r="C621" i="10" s="1"/>
  <c r="E620" i="10"/>
  <c r="D620" i="10" s="1"/>
  <c r="C620" i="10" s="1"/>
  <c r="E619" i="10"/>
  <c r="D619" i="10" s="1"/>
  <c r="C619" i="10" s="1"/>
  <c r="E618" i="10"/>
  <c r="D618" i="10" s="1"/>
  <c r="E617" i="10"/>
  <c r="D617" i="10" s="1"/>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s="1"/>
  <c r="C609" i="10" s="1"/>
  <c r="E608" i="10"/>
  <c r="D608" i="10" s="1"/>
  <c r="C608" i="10" s="1"/>
  <c r="E607" i="10"/>
  <c r="D607" i="10" s="1"/>
  <c r="C607" i="10" s="1"/>
  <c r="E606" i="10"/>
  <c r="D606" i="10" s="1"/>
  <c r="C606" i="10" s="1"/>
  <c r="E605" i="10"/>
  <c r="D605" i="10" s="1"/>
  <c r="E604" i="10"/>
  <c r="D604" i="10" s="1"/>
  <c r="C604" i="10" s="1"/>
  <c r="E603" i="10"/>
  <c r="D603" i="10" s="1"/>
  <c r="C603" i="10" s="1"/>
  <c r="E602" i="10"/>
  <c r="D602" i="10" s="1"/>
  <c r="C602" i="10" s="1"/>
  <c r="E601" i="10"/>
  <c r="D601" i="10" s="1"/>
  <c r="C601" i="10" s="1"/>
  <c r="E600" i="10"/>
  <c r="D600" i="10" s="1"/>
  <c r="E599" i="10"/>
  <c r="D599" i="10" s="1"/>
  <c r="C599" i="10" s="1"/>
  <c r="E598" i="10"/>
  <c r="D598" i="10" s="1"/>
  <c r="C598" i="10" s="1"/>
  <c r="E597" i="10"/>
  <c r="D597" i="10" s="1"/>
  <c r="C597" i="10" s="1"/>
  <c r="E596" i="10"/>
  <c r="D596" i="10" s="1"/>
  <c r="C596" i="10" s="1"/>
  <c r="E595" i="10"/>
  <c r="D595" i="10" s="1"/>
  <c r="C595" i="10" s="1"/>
  <c r="E594" i="10"/>
  <c r="D594" i="10" s="1"/>
  <c r="E593" i="10"/>
  <c r="D593" i="10" s="1"/>
  <c r="C593" i="10" s="1"/>
  <c r="E592" i="10"/>
  <c r="D592" i="10" s="1"/>
  <c r="C592" i="10" s="1"/>
  <c r="E591" i="10"/>
  <c r="D591" i="10" s="1"/>
  <c r="C591" i="10" s="1"/>
  <c r="E590" i="10"/>
  <c r="D590" i="10" s="1"/>
  <c r="C590" i="10" s="1"/>
  <c r="E589" i="10"/>
  <c r="D589" i="10" s="1"/>
  <c r="C589" i="10" s="1"/>
  <c r="E588" i="10"/>
  <c r="D588" i="10" s="1"/>
  <c r="C588" i="10" s="1"/>
  <c r="E587" i="10"/>
  <c r="D587" i="10" s="1"/>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E579" i="10"/>
  <c r="D579" i="10" s="1"/>
  <c r="C579" i="10" s="1"/>
  <c r="E578" i="10"/>
  <c r="D578" i="10" s="1"/>
  <c r="C578" i="10" s="1"/>
  <c r="E577" i="10"/>
  <c r="D577" i="10" s="1"/>
  <c r="C577" i="10" s="1"/>
  <c r="E576" i="10"/>
  <c r="D576" i="10" s="1"/>
  <c r="C576" i="10" s="1"/>
  <c r="E575" i="10"/>
  <c r="D575" i="10" s="1"/>
  <c r="C575" i="10" s="1"/>
  <c r="E574" i="10"/>
  <c r="D574" i="10" s="1"/>
  <c r="C574" i="10" s="1"/>
  <c r="E573" i="10"/>
  <c r="D573" i="10" s="1"/>
  <c r="C573" i="10" s="1"/>
  <c r="E572" i="10"/>
  <c r="D572" i="10" s="1"/>
  <c r="C572" i="10" s="1"/>
  <c r="E571" i="10"/>
  <c r="D571" i="10" s="1"/>
  <c r="C571" i="10" s="1"/>
  <c r="E570" i="10"/>
  <c r="D570" i="10" s="1"/>
  <c r="C570" i="10" s="1"/>
  <c r="E569" i="10"/>
  <c r="D569" i="10" s="1"/>
  <c r="E568" i="10"/>
  <c r="D568" i="10" s="1"/>
  <c r="C568" i="10" s="1"/>
  <c r="E567" i="10"/>
  <c r="D567" i="10" s="1"/>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s="1"/>
  <c r="C550" i="10" s="1"/>
  <c r="E549" i="10"/>
  <c r="D549" i="10" s="1"/>
  <c r="C549" i="10" s="1"/>
  <c r="E548" i="10"/>
  <c r="D548" i="10" s="1"/>
  <c r="C548" i="10" s="1"/>
  <c r="E547" i="10"/>
  <c r="D547" i="10" s="1"/>
  <c r="C547" i="10" s="1"/>
  <c r="E546" i="10"/>
  <c r="D546" i="10" s="1"/>
  <c r="C546" i="10" s="1"/>
  <c r="E545" i="10"/>
  <c r="D545" i="10" s="1"/>
  <c r="E544" i="10"/>
  <c r="D544" i="10" s="1"/>
  <c r="C544" i="10" s="1"/>
  <c r="E543" i="10"/>
  <c r="D543" i="10" s="1"/>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s="1"/>
  <c r="C535" i="10" s="1"/>
  <c r="E534" i="10"/>
  <c r="D534" i="10"/>
  <c r="C534" i="10" s="1"/>
  <c r="E533" i="10"/>
  <c r="D533" i="10" s="1"/>
  <c r="E532" i="10"/>
  <c r="D532" i="10" s="1"/>
  <c r="C532" i="10" s="1"/>
  <c r="E531" i="10"/>
  <c r="D531" i="10" s="1"/>
  <c r="C531" i="10" s="1"/>
  <c r="E530" i="10"/>
  <c r="D530" i="10"/>
  <c r="C530" i="10" s="1"/>
  <c r="E529" i="10"/>
  <c r="D529" i="10" s="1"/>
  <c r="C529" i="10" s="1"/>
  <c r="E528" i="10"/>
  <c r="D528" i="10" s="1"/>
  <c r="C528" i="10" s="1"/>
  <c r="E527" i="10"/>
  <c r="D527" i="10" s="1"/>
  <c r="C527" i="10" s="1"/>
  <c r="E526" i="10"/>
  <c r="D526" i="10" s="1"/>
  <c r="C526" i="10" s="1"/>
  <c r="E525" i="10"/>
  <c r="D525" i="10" s="1"/>
  <c r="C525" i="10" s="1"/>
  <c r="E524" i="10"/>
  <c r="D524" i="10" s="1"/>
  <c r="C524" i="10" s="1"/>
  <c r="E523" i="10"/>
  <c r="D523" i="10" s="1"/>
  <c r="C523" i="10" s="1"/>
  <c r="E522" i="10"/>
  <c r="D522" i="10" s="1"/>
  <c r="C522" i="10" s="1"/>
  <c r="E521" i="10"/>
  <c r="D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s="1"/>
  <c r="C510" i="10" s="1"/>
  <c r="E509" i="10"/>
  <c r="D509" i="10" s="1"/>
  <c r="E508" i="10"/>
  <c r="D508" i="10" s="1"/>
  <c r="C508" i="10" s="1"/>
  <c r="E507" i="10"/>
  <c r="D507" i="10" s="1"/>
  <c r="C507" i="10" s="1"/>
  <c r="E506" i="10"/>
  <c r="D506" i="10" s="1"/>
  <c r="C506" i="10" s="1"/>
  <c r="E505" i="10"/>
  <c r="D505" i="10" s="1"/>
  <c r="C505" i="10" s="1"/>
  <c r="E504" i="10"/>
  <c r="D504" i="10" s="1"/>
  <c r="C504" i="10" s="1"/>
  <c r="E503" i="10"/>
  <c r="D503" i="10" s="1"/>
  <c r="C503" i="10" s="1"/>
  <c r="E502" i="10"/>
  <c r="D502" i="10" s="1"/>
  <c r="C502" i="10" s="1"/>
  <c r="E501" i="10"/>
  <c r="D501" i="10" s="1"/>
  <c r="C501" i="10" s="1"/>
  <c r="E500" i="10"/>
  <c r="D500" i="10" s="1"/>
  <c r="C500" i="10" s="1"/>
  <c r="E499" i="10"/>
  <c r="D499" i="10" s="1"/>
  <c r="C499" i="10" s="1"/>
  <c r="E498" i="10"/>
  <c r="D498" i="10" s="1"/>
  <c r="C498" i="10" s="1"/>
  <c r="E497" i="10"/>
  <c r="D497" i="10" s="1"/>
  <c r="E496" i="10"/>
  <c r="D496" i="10" s="1"/>
  <c r="C496" i="10" s="1"/>
  <c r="E495" i="10"/>
  <c r="D495" i="10" s="1"/>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s="1"/>
  <c r="C481" i="10" s="1"/>
  <c r="E480" i="10"/>
  <c r="D480" i="10" s="1"/>
  <c r="C480" i="10" s="1"/>
  <c r="E479" i="10"/>
  <c r="D479" i="10" s="1"/>
  <c r="C479" i="10" s="1"/>
  <c r="E478" i="10"/>
  <c r="D478" i="10" s="1"/>
  <c r="C478" i="10" s="1"/>
  <c r="E477" i="10"/>
  <c r="D477" i="10"/>
  <c r="C477" i="10"/>
  <c r="E476" i="10"/>
  <c r="D476" i="10" s="1"/>
  <c r="E475" i="10"/>
  <c r="D475" i="10" s="1"/>
  <c r="C475" i="10" s="1"/>
  <c r="E474" i="10"/>
  <c r="D474" i="10" s="1"/>
  <c r="C474" i="10" s="1"/>
  <c r="E473" i="10"/>
  <c r="D473" i="10" s="1"/>
  <c r="C473" i="10" s="1"/>
  <c r="E472" i="10"/>
  <c r="D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s="1"/>
  <c r="C449" i="10" s="1"/>
  <c r="E448" i="10"/>
  <c r="D448" i="10" s="1"/>
  <c r="E447" i="10"/>
  <c r="D447" i="10" s="1"/>
  <c r="C447" i="10" s="1"/>
  <c r="E446" i="10"/>
  <c r="D446" i="10" s="1"/>
  <c r="C446" i="10" s="1"/>
  <c r="E445" i="10"/>
  <c r="D445" i="10" s="1"/>
  <c r="C445" i="10"/>
  <c r="E444" i="10"/>
  <c r="D444" i="10" s="1"/>
  <c r="C444" i="10" s="1"/>
  <c r="E443" i="10"/>
  <c r="D443" i="10" s="1"/>
  <c r="C443" i="10" s="1"/>
  <c r="E442" i="10"/>
  <c r="D442" i="10" s="1"/>
  <c r="C442" i="10" s="1"/>
  <c r="E441" i="10"/>
  <c r="D441" i="10" s="1"/>
  <c r="C441" i="10" s="1"/>
  <c r="E440" i="10"/>
  <c r="D440" i="10" s="1"/>
  <c r="C440" i="10" s="1"/>
  <c r="E439" i="10"/>
  <c r="D439" i="10" s="1"/>
  <c r="C439" i="10" s="1"/>
  <c r="E438" i="10"/>
  <c r="D438" i="10" s="1"/>
  <c r="C438" i="10" s="1"/>
  <c r="E437" i="10"/>
  <c r="D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s="1"/>
  <c r="C429" i="10" s="1"/>
  <c r="E428" i="10"/>
  <c r="D428" i="10" s="1"/>
  <c r="E427" i="10"/>
  <c r="D427" i="10"/>
  <c r="C427" i="10" s="1"/>
  <c r="E426" i="10"/>
  <c r="D426" i="10" s="1"/>
  <c r="C426" i="10" s="1"/>
  <c r="E425" i="10"/>
  <c r="D425" i="10" s="1"/>
  <c r="C425" i="10" s="1"/>
  <c r="E424" i="10"/>
  <c r="D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s="1"/>
  <c r="C417" i="10"/>
  <c r="E416" i="10"/>
  <c r="D416" i="10" s="1"/>
  <c r="E415" i="10"/>
  <c r="D415" i="10" s="1"/>
  <c r="C415" i="10" s="1"/>
  <c r="E414" i="10"/>
  <c r="D414" i="10" s="1"/>
  <c r="C414" i="10" s="1"/>
  <c r="E413" i="10"/>
  <c r="D413" i="10" s="1"/>
  <c r="C413" i="10" s="1"/>
  <c r="E412" i="10"/>
  <c r="D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s="1"/>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s="1"/>
  <c r="C394" i="10" s="1"/>
  <c r="E393" i="10"/>
  <c r="D393" i="10"/>
  <c r="C393" i="10" s="1"/>
  <c r="E392" i="10"/>
  <c r="D392" i="10" s="1"/>
  <c r="C392" i="10" s="1"/>
  <c r="E391" i="10"/>
  <c r="D391" i="10" s="1"/>
  <c r="C391" i="10" s="1"/>
  <c r="E390" i="10"/>
  <c r="D390" i="10"/>
  <c r="E389" i="10"/>
  <c r="D389" i="10" s="1"/>
  <c r="C389" i="10" s="1"/>
  <c r="E388" i="10"/>
  <c r="D388" i="10" s="1"/>
  <c r="C388" i="10" s="1"/>
  <c r="E387" i="10"/>
  <c r="D387" i="10" s="1"/>
  <c r="C387" i="10" s="1"/>
  <c r="E386" i="10"/>
  <c r="D386" i="10" s="1"/>
  <c r="C386" i="10" s="1"/>
  <c r="E385" i="10"/>
  <c r="D385" i="10"/>
  <c r="C385" i="10" s="1"/>
  <c r="E384" i="10"/>
  <c r="D384" i="10" s="1"/>
  <c r="C384" i="10" s="1"/>
  <c r="E383" i="10"/>
  <c r="D383" i="10" s="1"/>
  <c r="C383" i="10" s="1"/>
  <c r="E382" i="10"/>
  <c r="D382" i="10"/>
  <c r="C382" i="10" s="1"/>
  <c r="E381" i="10"/>
  <c r="D381" i="10" s="1"/>
  <c r="C381" i="10" s="1"/>
  <c r="E380" i="10"/>
  <c r="D380" i="10" s="1"/>
  <c r="C380" i="10" s="1"/>
  <c r="E379" i="10"/>
  <c r="D379" i="10" s="1"/>
  <c r="C379" i="10" s="1"/>
  <c r="E378" i="10"/>
  <c r="D378" i="10" s="1"/>
  <c r="E377" i="10"/>
  <c r="D377" i="10" s="1"/>
  <c r="C377" i="10" s="1"/>
  <c r="E376" i="10"/>
  <c r="D376" i="10" s="1"/>
  <c r="C376" i="10" s="1"/>
  <c r="E375" i="10"/>
  <c r="D375" i="10" s="1"/>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E365" i="10"/>
  <c r="D365" i="10" s="1"/>
  <c r="C365" i="10" s="1"/>
  <c r="E364" i="10"/>
  <c r="D364" i="10" s="1"/>
  <c r="C364" i="10" s="1"/>
  <c r="E363" i="10"/>
  <c r="D363" i="10"/>
  <c r="C363" i="10" s="1"/>
  <c r="E362" i="10"/>
  <c r="D362" i="10" s="1"/>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s="1"/>
  <c r="E354" i="10"/>
  <c r="D354" i="10" s="1"/>
  <c r="C354" i="10" s="1"/>
  <c r="E353" i="10"/>
  <c r="D353" i="10" s="1"/>
  <c r="C353" i="10" s="1"/>
  <c r="E352" i="10"/>
  <c r="D352" i="10" s="1"/>
  <c r="C352" i="10" s="1"/>
  <c r="E351" i="10"/>
  <c r="D351" i="10" s="1"/>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s="1"/>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s="1"/>
  <c r="C319" i="10" s="1"/>
  <c r="E318" i="10"/>
  <c r="D318" i="10" s="1"/>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s="1"/>
  <c r="C305" i="10" s="1"/>
  <c r="E304" i="10"/>
  <c r="D304" i="10" s="1"/>
  <c r="E303" i="10"/>
  <c r="D303" i="10" s="1"/>
  <c r="C303" i="10" s="1"/>
  <c r="E302" i="10"/>
  <c r="D302" i="10" s="1"/>
  <c r="C302" i="10" s="1"/>
  <c r="E301" i="10"/>
  <c r="D301" i="10" s="1"/>
  <c r="C301" i="10" s="1"/>
  <c r="E300" i="10"/>
  <c r="D300" i="10" s="1"/>
  <c r="C300" i="10" s="1"/>
  <c r="E299" i="10"/>
  <c r="D299" i="10" s="1"/>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s="1"/>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s="1"/>
  <c r="C277" i="10" s="1"/>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c r="C266" i="10"/>
  <c r="E265" i="10"/>
  <c r="D265" i="10" s="1"/>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E256" i="10"/>
  <c r="D256" i="10" s="1"/>
  <c r="C256" i="10" s="1"/>
  <c r="E255" i="10"/>
  <c r="D255" i="10" s="1"/>
  <c r="C255" i="10" s="1"/>
  <c r="E254" i="10"/>
  <c r="D254" i="10" s="1"/>
  <c r="C254" i="10" s="1"/>
  <c r="E253" i="10"/>
  <c r="D253" i="10" s="1"/>
  <c r="C253" i="10" s="1"/>
  <c r="E252" i="10"/>
  <c r="D252" i="10" s="1"/>
  <c r="C252" i="10" s="1"/>
  <c r="E251" i="10"/>
  <c r="D251" i="10" s="1"/>
  <c r="C251" i="10" s="1"/>
  <c r="E250" i="10"/>
  <c r="D250" i="10" s="1"/>
  <c r="C250" i="10" s="1"/>
  <c r="E249" i="10"/>
  <c r="D249" i="10" s="1"/>
  <c r="C249" i="10" s="1"/>
  <c r="E248" i="10"/>
  <c r="D248" i="10" s="1"/>
  <c r="C248" i="10" s="1"/>
  <c r="E247" i="10"/>
  <c r="D247" i="10" s="1"/>
  <c r="C247" i="10" s="1"/>
  <c r="E246" i="10"/>
  <c r="D246" i="10" s="1"/>
  <c r="C246" i="10" s="1"/>
  <c r="E245" i="10"/>
  <c r="D245" i="10" s="1"/>
  <c r="E244" i="10"/>
  <c r="D244" i="10" s="1"/>
  <c r="E243" i="10"/>
  <c r="D243" i="10" s="1"/>
  <c r="C243" i="10" s="1"/>
  <c r="E242" i="10"/>
  <c r="D242" i="10" s="1"/>
  <c r="C242" i="10" s="1"/>
  <c r="E241" i="10"/>
  <c r="D241" i="10" s="1"/>
  <c r="C241" i="10" s="1"/>
  <c r="E240" i="10"/>
  <c r="D240" i="10" s="1"/>
  <c r="C240" i="10" s="1"/>
  <c r="E239" i="10"/>
  <c r="D239" i="10" s="1"/>
  <c r="C239" i="10" s="1"/>
  <c r="E238" i="10"/>
  <c r="D238" i="10"/>
  <c r="C238" i="10" s="1"/>
  <c r="E237" i="10"/>
  <c r="D237" i="10" s="1"/>
  <c r="C237" i="10" s="1"/>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s="1"/>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c r="C54" i="10" s="1"/>
  <c r="E53" i="10"/>
  <c r="D53" i="10" s="1"/>
  <c r="C53" i="10" s="1"/>
  <c r="E52" i="10"/>
  <c r="D52" i="10" s="1"/>
  <c r="C52" i="10" s="1"/>
  <c r="E51" i="10"/>
  <c r="D51" i="10" s="1"/>
  <c r="C51" i="10" s="1"/>
  <c r="E50" i="10"/>
  <c r="D50" i="10" s="1"/>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s="1"/>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s="1"/>
  <c r="E19" i="10"/>
  <c r="D19" i="10" s="1"/>
  <c r="C19" i="10" s="1"/>
  <c r="E18" i="10"/>
  <c r="D18" i="10"/>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E4" i="10"/>
  <c r="D4" i="10" s="1"/>
  <c r="C4" i="10" s="1"/>
  <c r="E3" i="10"/>
  <c r="D3" i="10" s="1"/>
  <c r="C3" i="10" s="1"/>
  <c r="E2" i="10"/>
  <c r="D2" i="10" s="1"/>
  <c r="C355" i="10" l="1"/>
  <c r="S31" i="11"/>
  <c r="T31" i="11"/>
  <c r="C839" i="10"/>
  <c r="S73" i="11"/>
  <c r="T73" i="11"/>
  <c r="C901" i="10"/>
  <c r="S79" i="11"/>
  <c r="T79" i="11"/>
  <c r="C605" i="10"/>
  <c r="S52" i="11"/>
  <c r="T52" i="11"/>
  <c r="C871" i="10"/>
  <c r="S76" i="11"/>
  <c r="T76" i="11"/>
  <c r="C1363" i="10"/>
  <c r="T120" i="11"/>
  <c r="S120" i="11"/>
  <c r="C18" i="10"/>
  <c r="S4" i="11"/>
  <c r="T4" i="11"/>
  <c r="C71" i="10"/>
  <c r="S8" i="11"/>
  <c r="T8" i="11"/>
  <c r="C194" i="10"/>
  <c r="S18" i="11"/>
  <c r="T18" i="11"/>
  <c r="C220" i="10"/>
  <c r="S20" i="11"/>
  <c r="T20" i="11"/>
  <c r="C293" i="10"/>
  <c r="S26" i="11"/>
  <c r="T26" i="11"/>
  <c r="C304" i="10"/>
  <c r="S27" i="11"/>
  <c r="T27" i="11"/>
  <c r="C366" i="10"/>
  <c r="S32" i="11"/>
  <c r="T32" i="11"/>
  <c r="C424" i="10"/>
  <c r="S37" i="11"/>
  <c r="T37" i="11"/>
  <c r="C437" i="10"/>
  <c r="S38" i="11"/>
  <c r="T38" i="11"/>
  <c r="C656" i="10"/>
  <c r="S56" i="11"/>
  <c r="T56" i="11"/>
  <c r="C737" i="10"/>
  <c r="S63" i="11"/>
  <c r="T63" i="11"/>
  <c r="C748" i="10"/>
  <c r="S64" i="11"/>
  <c r="T64" i="11"/>
  <c r="C790" i="10"/>
  <c r="S68" i="11"/>
  <c r="T68" i="11"/>
  <c r="C881" i="10"/>
  <c r="S77" i="11"/>
  <c r="T77" i="11"/>
  <c r="C910" i="10"/>
  <c r="T80" i="11"/>
  <c r="S80" i="11"/>
  <c r="C930" i="10"/>
  <c r="T82" i="11"/>
  <c r="S82" i="11"/>
  <c r="C949" i="10"/>
  <c r="T84" i="11"/>
  <c r="S84" i="11"/>
  <c r="C1429" i="10"/>
  <c r="T126" i="11"/>
  <c r="S126" i="11"/>
  <c r="C1449" i="10"/>
  <c r="T128" i="11"/>
  <c r="S128" i="11"/>
  <c r="C1547" i="10"/>
  <c r="T138" i="11"/>
  <c r="S138" i="11"/>
  <c r="C1637" i="10"/>
  <c r="T146" i="11"/>
  <c r="S146" i="11"/>
  <c r="C1717" i="10"/>
  <c r="T154" i="11"/>
  <c r="S154" i="11"/>
  <c r="S155" i="11"/>
  <c r="T155" i="11"/>
  <c r="C1733" i="10"/>
  <c r="T156" i="11"/>
  <c r="S156" i="11"/>
  <c r="C1741" i="10"/>
  <c r="S157" i="11"/>
  <c r="T157" i="11"/>
  <c r="C1749" i="10"/>
  <c r="T158" i="11"/>
  <c r="S158" i="11"/>
  <c r="C44" i="10"/>
  <c r="S6" i="11"/>
  <c r="T6" i="11"/>
  <c r="C109" i="10"/>
  <c r="S11" i="11"/>
  <c r="T11" i="11"/>
  <c r="C5" i="10"/>
  <c r="S3" i="11"/>
  <c r="T3" i="11"/>
  <c r="C149" i="10"/>
  <c r="S14" i="11"/>
  <c r="T14" i="11"/>
  <c r="C161" i="10"/>
  <c r="S15" i="11"/>
  <c r="T15" i="11"/>
  <c r="C207" i="10"/>
  <c r="S19" i="11"/>
  <c r="T19" i="11"/>
  <c r="C317" i="10"/>
  <c r="S28" i="11"/>
  <c r="T28" i="11"/>
  <c r="C401" i="10"/>
  <c r="S35" i="11"/>
  <c r="T35" i="11"/>
  <c r="C448" i="10"/>
  <c r="S39" i="11"/>
  <c r="T39" i="11"/>
  <c r="S40" i="11"/>
  <c r="T40" i="11"/>
  <c r="C484" i="10"/>
  <c r="S42" i="11"/>
  <c r="T42" i="11"/>
  <c r="C509" i="10"/>
  <c r="S44" i="11"/>
  <c r="T44" i="11"/>
  <c r="C594" i="10"/>
  <c r="S51" i="11"/>
  <c r="T51" i="11"/>
  <c r="C769" i="10"/>
  <c r="S66" i="11"/>
  <c r="T66" i="11"/>
  <c r="C849" i="10"/>
  <c r="S74" i="11"/>
  <c r="T74" i="11"/>
  <c r="C919" i="10"/>
  <c r="S81" i="11"/>
  <c r="T81" i="11"/>
  <c r="C1012" i="10"/>
  <c r="S91" i="11"/>
  <c r="T91" i="11"/>
  <c r="C1032" i="10"/>
  <c r="S93" i="11"/>
  <c r="T93" i="11"/>
  <c r="C1075" i="10"/>
  <c r="T96" i="11"/>
  <c r="S96" i="11"/>
  <c r="C1120" i="10"/>
  <c r="T100" i="11"/>
  <c r="S100" i="11"/>
  <c r="C1396" i="10"/>
  <c r="S123" i="11"/>
  <c r="T123" i="11"/>
  <c r="C1518" i="10"/>
  <c r="S135" i="11"/>
  <c r="T135" i="11"/>
  <c r="C1610" i="10"/>
  <c r="T144" i="11"/>
  <c r="S144" i="11"/>
  <c r="C31" i="10"/>
  <c r="S5" i="11"/>
  <c r="T5" i="11"/>
  <c r="C57" i="10"/>
  <c r="S7" i="11"/>
  <c r="T7" i="11"/>
  <c r="C84" i="10"/>
  <c r="S9" i="11"/>
  <c r="T9" i="11"/>
  <c r="C257" i="10"/>
  <c r="S23" i="11"/>
  <c r="T23" i="11"/>
  <c r="C281" i="10"/>
  <c r="S25" i="11"/>
  <c r="T25" i="11"/>
  <c r="C378" i="10"/>
  <c r="S33" i="11"/>
  <c r="T33" i="11"/>
  <c r="C412" i="10"/>
  <c r="S36" i="11"/>
  <c r="T36" i="11"/>
  <c r="C521" i="10"/>
  <c r="S45" i="11"/>
  <c r="T45" i="11"/>
  <c r="C680" i="10"/>
  <c r="S58" i="11"/>
  <c r="T58" i="11"/>
  <c r="C702" i="10"/>
  <c r="S60" i="11"/>
  <c r="T60" i="11"/>
  <c r="C810" i="10"/>
  <c r="S70" i="11"/>
  <c r="T70" i="11"/>
  <c r="C1185" i="10"/>
  <c r="S105" i="11"/>
  <c r="T105" i="11"/>
  <c r="C1197" i="10"/>
  <c r="T106" i="11"/>
  <c r="S106" i="11"/>
  <c r="C1209" i="10"/>
  <c r="S107" i="11"/>
  <c r="T107" i="11"/>
  <c r="C1255" i="10"/>
  <c r="S111" i="11"/>
  <c r="T111" i="11"/>
  <c r="C1351" i="10"/>
  <c r="S119" i="11"/>
  <c r="T119" i="11"/>
  <c r="C1385" i="10"/>
  <c r="S122" i="11"/>
  <c r="T122" i="11"/>
  <c r="C1419" i="10"/>
  <c r="S125" i="11"/>
  <c r="T125" i="11"/>
  <c r="C1459" i="10"/>
  <c r="S129" i="11"/>
  <c r="T129" i="11"/>
  <c r="C1488" i="10"/>
  <c r="T132" i="11"/>
  <c r="S132" i="11"/>
  <c r="C1527" i="10"/>
  <c r="T136" i="11"/>
  <c r="S136" i="11"/>
  <c r="C1681" i="10"/>
  <c r="T150" i="11"/>
  <c r="S150" i="11"/>
  <c r="C333" i="10"/>
  <c r="S29" i="11"/>
  <c r="T29" i="11"/>
  <c r="C390" i="10"/>
  <c r="S34" i="11"/>
  <c r="T34" i="11"/>
  <c r="C533" i="10"/>
  <c r="S46" i="11"/>
  <c r="T46" i="11"/>
  <c r="C618" i="10"/>
  <c r="S53" i="11"/>
  <c r="T53" i="11"/>
  <c r="C644" i="10"/>
  <c r="S55" i="11"/>
  <c r="T55" i="11"/>
  <c r="C715" i="10"/>
  <c r="S61" i="11"/>
  <c r="T61" i="11"/>
  <c r="C759" i="10"/>
  <c r="S65" i="11"/>
  <c r="T65" i="11"/>
  <c r="C800" i="10"/>
  <c r="S69" i="11"/>
  <c r="T69" i="11"/>
  <c r="C825" i="10"/>
  <c r="S72" i="11"/>
  <c r="T72" i="11"/>
  <c r="C859" i="10"/>
  <c r="S75" i="11"/>
  <c r="T75" i="11"/>
  <c r="C891" i="10"/>
  <c r="S78" i="11"/>
  <c r="T78" i="11"/>
  <c r="C967" i="10"/>
  <c r="T86" i="11"/>
  <c r="S86" i="11"/>
  <c r="C983" i="10"/>
  <c r="T88" i="11"/>
  <c r="S88" i="11"/>
  <c r="C1173" i="10"/>
  <c r="T104" i="11"/>
  <c r="S104" i="11"/>
  <c r="E52" i="5" s="1"/>
  <c r="T108" i="11"/>
  <c r="S108" i="11"/>
  <c r="C1374" i="10"/>
  <c r="S121" i="11"/>
  <c r="T121" i="11"/>
  <c r="C1440" i="10"/>
  <c r="S127" i="11"/>
  <c r="T127" i="11"/>
  <c r="C1558" i="10"/>
  <c r="S139" i="11"/>
  <c r="T139" i="11"/>
  <c r="C1648" i="10"/>
  <c r="S147" i="11"/>
  <c r="T147" i="11"/>
  <c r="C1708" i="10"/>
  <c r="S153" i="11"/>
  <c r="T153" i="11"/>
  <c r="C1756" i="10"/>
  <c r="S159" i="11"/>
  <c r="T159" i="11"/>
  <c r="C1764" i="10"/>
  <c r="T160" i="11"/>
  <c r="S160" i="11"/>
  <c r="C1772" i="10"/>
  <c r="S161" i="11"/>
  <c r="T161" i="11"/>
  <c r="C1781" i="10"/>
  <c r="E162" i="11"/>
  <c r="I162" i="11"/>
  <c r="M162" i="11"/>
  <c r="U162" i="11"/>
  <c r="Y162" i="11"/>
  <c r="F162" i="11"/>
  <c r="J162" i="11"/>
  <c r="N162" i="11"/>
  <c r="V162" i="11"/>
  <c r="Z162" i="11"/>
  <c r="G162" i="11"/>
  <c r="K162" i="11"/>
  <c r="O162" i="11"/>
  <c r="S162" i="11"/>
  <c r="AA162" i="11"/>
  <c r="AE162" i="11"/>
  <c r="AI162" i="11"/>
  <c r="AM162" i="11"/>
  <c r="H162" i="11"/>
  <c r="L162" i="11"/>
  <c r="P162" i="11"/>
  <c r="T162" i="11"/>
  <c r="AB162" i="11"/>
  <c r="AF162" i="11"/>
  <c r="AJ162" i="11"/>
  <c r="AN162" i="11"/>
  <c r="C1793" i="10"/>
  <c r="S164" i="11"/>
  <c r="S165" i="11" s="1"/>
  <c r="T164" i="11"/>
  <c r="T165" i="11" s="1"/>
  <c r="C2" i="10"/>
  <c r="T2" i="11"/>
  <c r="S2" i="11"/>
  <c r="C97" i="10"/>
  <c r="S10" i="11"/>
  <c r="T10" i="11"/>
  <c r="C123" i="10"/>
  <c r="S12" i="11"/>
  <c r="T12" i="11"/>
  <c r="C135" i="10"/>
  <c r="S13" i="11"/>
  <c r="T13" i="11"/>
  <c r="C174" i="10"/>
  <c r="S16" i="11"/>
  <c r="T16" i="11"/>
  <c r="C185" i="10"/>
  <c r="S17" i="11"/>
  <c r="T17" i="11"/>
  <c r="C233" i="10"/>
  <c r="S21" i="11"/>
  <c r="T21" i="11"/>
  <c r="C245" i="10"/>
  <c r="S22" i="11"/>
  <c r="T22" i="11"/>
  <c r="C270" i="10"/>
  <c r="S24" i="11"/>
  <c r="T24" i="11"/>
  <c r="C344" i="10"/>
  <c r="S30" i="11"/>
  <c r="T30" i="11"/>
  <c r="C472" i="10"/>
  <c r="S41" i="11"/>
  <c r="T41" i="11"/>
  <c r="C569" i="10"/>
  <c r="S49" i="11"/>
  <c r="T49" i="11"/>
  <c r="C692" i="10"/>
  <c r="S59" i="11"/>
  <c r="T59" i="11"/>
  <c r="C812" i="10"/>
  <c r="S71" i="11"/>
  <c r="T71" i="11"/>
  <c r="C958" i="10"/>
  <c r="S85" i="11"/>
  <c r="T85" i="11"/>
  <c r="C976" i="10"/>
  <c r="S87" i="11"/>
  <c r="T87" i="11"/>
  <c r="C1002" i="10"/>
  <c r="T90" i="11"/>
  <c r="S90" i="11"/>
  <c r="C1046" i="10"/>
  <c r="T94" i="11"/>
  <c r="S94" i="11"/>
  <c r="C1062" i="10"/>
  <c r="S95" i="11"/>
  <c r="T95" i="11"/>
  <c r="C1099" i="10"/>
  <c r="T98" i="11"/>
  <c r="S98" i="11"/>
  <c r="C1110" i="10"/>
  <c r="S99" i="11"/>
  <c r="T99" i="11"/>
  <c r="C1147" i="10"/>
  <c r="T102" i="11"/>
  <c r="S102" i="11"/>
  <c r="C1233" i="10"/>
  <c r="S109" i="11"/>
  <c r="T109" i="11"/>
  <c r="C1244" i="10"/>
  <c r="T110" i="11"/>
  <c r="S110" i="11"/>
  <c r="C1281" i="10"/>
  <c r="S113" i="11"/>
  <c r="T113" i="11"/>
  <c r="C1304" i="10"/>
  <c r="S115" i="11"/>
  <c r="T115" i="11"/>
  <c r="C1316" i="10"/>
  <c r="T116" i="11"/>
  <c r="S116" i="11"/>
  <c r="C1327" i="10"/>
  <c r="S117" i="11"/>
  <c r="T117" i="11"/>
  <c r="C1407" i="10"/>
  <c r="T124" i="11"/>
  <c r="S124" i="11"/>
  <c r="C1478" i="10"/>
  <c r="S131" i="11"/>
  <c r="T131" i="11"/>
  <c r="C1508" i="10"/>
  <c r="T134" i="11"/>
  <c r="S134" i="11"/>
  <c r="C1537" i="10"/>
  <c r="S137" i="11"/>
  <c r="T137" i="11"/>
  <c r="C1588" i="10"/>
  <c r="T142" i="11"/>
  <c r="S142" i="11"/>
  <c r="C1600" i="10"/>
  <c r="S143" i="11"/>
  <c r="T143" i="11"/>
  <c r="C1671" i="10"/>
  <c r="S149" i="11"/>
  <c r="T149" i="11"/>
  <c r="S151" i="11"/>
  <c r="T151" i="11"/>
  <c r="C497" i="10"/>
  <c r="S43" i="11"/>
  <c r="T43" i="11"/>
  <c r="C545" i="10"/>
  <c r="S47" i="11"/>
  <c r="T47" i="11"/>
  <c r="C556" i="10"/>
  <c r="S48" i="11"/>
  <c r="T48" i="11"/>
  <c r="C580" i="10"/>
  <c r="S50" i="11"/>
  <c r="T50" i="11"/>
  <c r="C631" i="10"/>
  <c r="S54" i="11"/>
  <c r="T54" i="11"/>
  <c r="C668" i="10"/>
  <c r="S57" i="11"/>
  <c r="T57" i="11"/>
  <c r="C726" i="10"/>
  <c r="S62" i="11"/>
  <c r="T62" i="11"/>
  <c r="C779" i="10"/>
  <c r="S67" i="11"/>
  <c r="T67" i="11"/>
  <c r="C939" i="10"/>
  <c r="S83" i="11"/>
  <c r="T83" i="11"/>
  <c r="C993" i="10"/>
  <c r="S89" i="11"/>
  <c r="T89" i="11"/>
  <c r="C1023" i="10"/>
  <c r="T92" i="11"/>
  <c r="S92" i="11"/>
  <c r="C1086" i="10"/>
  <c r="S97" i="11"/>
  <c r="T97" i="11"/>
  <c r="C1133" i="10"/>
  <c r="S101" i="11"/>
  <c r="T101" i="11"/>
  <c r="C1160" i="10"/>
  <c r="S103" i="11"/>
  <c r="T103" i="11"/>
  <c r="C1267" i="10"/>
  <c r="T112" i="11"/>
  <c r="S112" i="11"/>
  <c r="C1293" i="10"/>
  <c r="T114" i="11"/>
  <c r="S114" i="11"/>
  <c r="C1339" i="10"/>
  <c r="T118" i="11"/>
  <c r="S118" i="11"/>
  <c r="C1468" i="10"/>
  <c r="T130" i="11"/>
  <c r="S130" i="11"/>
  <c r="C1498" i="10"/>
  <c r="S133" i="11"/>
  <c r="T133" i="11"/>
  <c r="C1567" i="10"/>
  <c r="T140" i="11"/>
  <c r="S140" i="11"/>
  <c r="C1578" i="10"/>
  <c r="S141" i="11"/>
  <c r="T141" i="11"/>
  <c r="C1620" i="10"/>
  <c r="S145" i="11"/>
  <c r="T145" i="11"/>
  <c r="C1660" i="10"/>
  <c r="T148" i="11"/>
  <c r="S148" i="11"/>
  <c r="C1698" i="10"/>
  <c r="T152" i="11"/>
  <c r="S152" i="11"/>
  <c r="C1787" i="10"/>
  <c r="G163" i="11"/>
  <c r="K163" i="11"/>
  <c r="O163" i="11"/>
  <c r="S163" i="11"/>
  <c r="AA163" i="11"/>
  <c r="AE163" i="11"/>
  <c r="AI163" i="11"/>
  <c r="AM163" i="11"/>
  <c r="H163" i="11"/>
  <c r="L163" i="11"/>
  <c r="P163" i="11"/>
  <c r="T163" i="11"/>
  <c r="AB163" i="11"/>
  <c r="AF163" i="11"/>
  <c r="AJ163" i="11"/>
  <c r="AN163" i="11"/>
  <c r="E163" i="11"/>
  <c r="I163" i="11"/>
  <c r="M163" i="11"/>
  <c r="U163" i="11"/>
  <c r="Y163" i="11"/>
  <c r="F163" i="11"/>
  <c r="J163" i="11"/>
  <c r="N163" i="11"/>
  <c r="V163" i="11"/>
  <c r="Z163" i="11"/>
  <c r="H15" i="6"/>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H9" i="11" s="1"/>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Q9" i="11"/>
  <c r="AL9" i="11"/>
  <c r="D9" i="11"/>
  <c r="AK9" i="11"/>
  <c r="C9" i="11"/>
  <c r="X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J54" i="5" s="1"/>
  <c r="R104" i="11"/>
  <c r="W104" i="11"/>
  <c r="E54" i="5" s="1"/>
  <c r="Q104" i="11"/>
  <c r="E51" i="5" s="1"/>
  <c r="AL104" i="11"/>
  <c r="J69" i="5" s="1"/>
  <c r="AH104" i="11"/>
  <c r="J65" i="5" s="1"/>
  <c r="AD104" i="11"/>
  <c r="J60" i="5" s="1"/>
  <c r="D104" i="11"/>
  <c r="J34" i="5" s="1"/>
  <c r="AK104" i="11"/>
  <c r="E69" i="5" s="1"/>
  <c r="AG104" i="11"/>
  <c r="E65" i="5" s="1"/>
  <c r="AC104" i="11"/>
  <c r="E60" i="5" s="1"/>
  <c r="C104" i="11"/>
  <c r="E34" i="5" s="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L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J71" i="5" s="1"/>
  <c r="AJ104" i="11"/>
  <c r="J67" i="5" s="1"/>
  <c r="AF104" i="11"/>
  <c r="J62" i="5" s="1"/>
  <c r="AB104" i="11"/>
  <c r="N104" i="11"/>
  <c r="J45" i="5" s="1"/>
  <c r="J104" i="11"/>
  <c r="J41" i="5" s="1"/>
  <c r="F104" i="11"/>
  <c r="J36" i="5" s="1"/>
  <c r="AM104" i="11"/>
  <c r="E71" i="5" s="1"/>
  <c r="AI104" i="11"/>
  <c r="E67" i="5" s="1"/>
  <c r="AE104" i="11"/>
  <c r="E62" i="5" s="1"/>
  <c r="AA104" i="11"/>
  <c r="E59" i="5" s="1"/>
  <c r="M104" i="11"/>
  <c r="E45" i="5" s="1"/>
  <c r="I104" i="11"/>
  <c r="E41" i="5" s="1"/>
  <c r="E104" i="11"/>
  <c r="E36" i="5" s="1"/>
  <c r="Z104" i="11"/>
  <c r="J56" i="5" s="1"/>
  <c r="V104" i="11"/>
  <c r="P104" i="11"/>
  <c r="J48" i="5" s="1"/>
  <c r="L104" i="11"/>
  <c r="J43" i="5" s="1"/>
  <c r="H104" i="11"/>
  <c r="J39" i="5" s="1"/>
  <c r="Y104" i="11"/>
  <c r="E56" i="5" s="1"/>
  <c r="U104" i="11"/>
  <c r="E53" i="5" s="1"/>
  <c r="O104" i="11"/>
  <c r="E48" i="5" s="1"/>
  <c r="K104" i="11"/>
  <c r="E43" i="5" s="1"/>
  <c r="G104" i="11"/>
  <c r="E39" i="5" s="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C44" i="5" l="1"/>
  <c r="G44" i="5" s="1"/>
  <c r="F44" i="5"/>
  <c r="B44" i="5"/>
  <c r="C136" i="11"/>
  <c r="C61" i="5"/>
  <c r="G61" i="5" s="1"/>
  <c r="F61" i="5"/>
  <c r="B61" i="5"/>
  <c r="F55" i="5"/>
  <c r="B55" i="5"/>
  <c r="C55" i="5"/>
  <c r="G55" i="5" s="1"/>
  <c r="AD119" i="11"/>
  <c r="X113" i="11"/>
  <c r="F49" i="5"/>
  <c r="C49" i="5"/>
  <c r="G49" i="5" s="1"/>
  <c r="B49" i="5"/>
  <c r="B37" i="5"/>
  <c r="F37" i="5"/>
  <c r="C37" i="5"/>
  <c r="G37" i="5" s="1"/>
  <c r="B63" i="5"/>
  <c r="C63" i="5"/>
  <c r="G63" i="5" s="1"/>
  <c r="F63" i="5"/>
  <c r="Q138" i="11"/>
  <c r="AC87" i="11"/>
  <c r="C66" i="5"/>
  <c r="G66" i="5" s="1"/>
  <c r="F66" i="5"/>
  <c r="B66" i="5"/>
  <c r="C119" i="11"/>
  <c r="AC9" i="11"/>
  <c r="AD9" i="11"/>
  <c r="W9" i="11"/>
  <c r="C163" i="11"/>
  <c r="W163" i="11"/>
  <c r="D163" i="11"/>
  <c r="X163" i="11"/>
  <c r="Q163" i="11"/>
  <c r="AC163" i="11"/>
  <c r="AG163" i="11"/>
  <c r="AK163" i="11"/>
  <c r="R163" i="11"/>
  <c r="AD163" i="11"/>
  <c r="AH163" i="11"/>
  <c r="AL163" i="11"/>
  <c r="C42" i="5"/>
  <c r="G42" i="5" s="1"/>
  <c r="B42" i="5"/>
  <c r="F42" i="5"/>
  <c r="C68" i="5"/>
  <c r="G68" i="5" s="1"/>
  <c r="F68" i="5"/>
  <c r="B68" i="5"/>
  <c r="AG130" i="11"/>
  <c r="AD87" i="11"/>
  <c r="F70" i="5"/>
  <c r="C70" i="5"/>
  <c r="G70" i="5" s="1"/>
  <c r="B70" i="5"/>
  <c r="AC101" i="11"/>
  <c r="R9" i="11"/>
  <c r="AG9" i="11"/>
  <c r="Q162" i="11"/>
  <c r="AC162" i="11"/>
  <c r="AG162" i="11"/>
  <c r="AK162" i="11"/>
  <c r="R162" i="11"/>
  <c r="AD162" i="11"/>
  <c r="AH162" i="11"/>
  <c r="AL162" i="11"/>
  <c r="C162" i="11"/>
  <c r="W162" i="11"/>
  <c r="D162" i="11"/>
  <c r="X162" i="11"/>
  <c r="F40" i="5"/>
  <c r="B40" i="5"/>
  <c r="C40" i="5"/>
  <c r="G40" i="5" s="1"/>
  <c r="C57" i="5"/>
  <c r="G57" i="5" s="1"/>
  <c r="F57" i="5"/>
  <c r="B57" i="5"/>
  <c r="B46" i="5"/>
  <c r="C46" i="5"/>
  <c r="G46" i="5" s="1"/>
  <c r="F46" i="5"/>
  <c r="B72" i="5"/>
  <c r="C72" i="5"/>
  <c r="G72" i="5" s="1"/>
  <c r="F72" i="5"/>
  <c r="AL87" i="11"/>
  <c r="F35" i="5"/>
  <c r="C35" i="5"/>
  <c r="G35" i="5" s="1"/>
  <c r="B35" i="5"/>
  <c r="D113" i="1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2" i="5" l="1"/>
  <c r="K11" i="6" l="1"/>
  <c r="I31" i="5"/>
  <c r="L11" i="6"/>
  <c r="F81" i="5"/>
  <c r="F83" i="5" s="1"/>
  <c r="E5" i="6"/>
  <c r="D5" i="6"/>
  <c r="H12" i="5"/>
  <c r="H19" i="5"/>
  <c r="H11" i="5"/>
  <c r="H20" i="5"/>
  <c r="H14" i="5"/>
  <c r="H15" i="5"/>
  <c r="C81" i="5"/>
  <c r="G81" i="5" s="1"/>
  <c r="E82" i="5"/>
  <c r="B81" i="5"/>
  <c r="B83" i="5" s="1"/>
  <c r="H13" i="5"/>
  <c r="H18" i="5"/>
  <c r="I27" i="5"/>
  <c r="I30" i="5"/>
  <c r="I29" i="5"/>
  <c r="I32" i="5"/>
  <c r="I28" i="5"/>
  <c r="C83" i="5" l="1"/>
  <c r="G83" i="5" s="1"/>
</calcChain>
</file>

<file path=xl/sharedStrings.xml><?xml version="1.0" encoding="utf-8"?>
<sst xmlns="http://schemas.openxmlformats.org/spreadsheetml/2006/main" count="4853" uniqueCount="487">
  <si>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</si>
  <si>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</si>
  <si>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</si>
  <si>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</si>
  <si>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</si>
  <si>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</si>
  <si>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</si>
  <si>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</si>
  <si>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</si>
  <si>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</si>
  <si>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</si>
  <si>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</si>
  <si>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</si>
  <si>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</si>
  <si>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</si>
  <si>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</si>
  <si>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</si>
  <si>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</si>
  <si>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</si>
  <si>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</si>
  <si>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</si>
  <si>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</si>
  <si>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</si>
  <si>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</si>
  <si>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</si>
  <si>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</si>
  <si>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</si>
  <si>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</si>
  <si>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</si>
  <si>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</si>
  <si>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</si>
  <si>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</si>
  <si>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</si>
  <si>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</si>
  <si>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</si>
  <si>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</si>
  <si>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</si>
  <si>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</si>
  <si>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</si>
  <si>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</si>
  <si>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</si>
  <si>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</si>
  <si>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</si>
  <si>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</si>
  <si>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</si>
  <si>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</si>
  <si>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</si>
  <si>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</si>
  <si>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</si>
  <si>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</si>
  <si>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</si>
  <si>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</si>
  <si>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</si>
  <si>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</si>
  <si>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</si>
  <si>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</si>
  <si>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</si>
  <si>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</si>
  <si>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</si>
  <si>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</si>
  <si>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</si>
  <si>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</si>
  <si>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</si>
  <si>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</si>
  <si>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</si>
  <si>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</si>
  <si>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</si>
  <si>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</si>
  <si>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</si>
  <si>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</si>
  <si>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</si>
  <si>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</si>
  <si>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</si>
  <si>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</si>
  <si>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</si>
  <si>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</si>
  <si>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</si>
  <si>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</si>
  <si>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</si>
  <si>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</si>
  <si>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</si>
  <si>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</si>
  <si>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</si>
  <si>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</si>
  <si>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</si>
  <si>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</si>
  <si>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</si>
  <si>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</si>
  <si>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</si>
  <si>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</si>
  <si>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</si>
  <si>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</si>
  <si>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</si>
  <si>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</si>
  <si>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</si>
  <si>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</si>
  <si>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</si>
  <si>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</si>
  <si>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</si>
  <si>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</si>
  <si>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</si>
  <si>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</si>
  <si>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</si>
  <si>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</si>
  <si>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</si>
  <si>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</si>
  <si>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</si>
  <si>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</si>
  <si>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</si>
  <si>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</si>
  <si>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</si>
  <si>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</si>
  <si>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</si>
  <si>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</si>
  <si>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</si>
  <si>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</si>
  <si>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</si>
  <si>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</si>
  <si>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</si>
  <si>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</si>
  <si>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</si>
  <si>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</si>
  <si>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</si>
  <si>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</si>
  <si>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</si>
  <si>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</si>
  <si>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</si>
  <si>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</si>
  <si>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</si>
  <si>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</si>
  <si>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</si>
  <si>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</si>
  <si>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</si>
  <si>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</si>
  <si>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</si>
  <si>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</si>
  <si>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</si>
  <si>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</si>
  <si>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</si>
  <si>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</si>
  <si>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</si>
  <si>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</si>
  <si>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</si>
  <si>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</si>
  <si>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</si>
  <si>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</si>
  <si>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</si>
  <si>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</si>
  <si>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</si>
  <si>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</si>
  <si>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</si>
  <si>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</si>
  <si>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</si>
  <si>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</si>
  <si>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</si>
  <si>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</si>
  <si>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</si>
  <si>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</si>
  <si>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</si>
  <si>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</si>
  <si>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</si>
  <si>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</si>
  <si>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</si>
  <si>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</si>
  <si>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</si>
  <si>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</si>
  <si>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</si>
  <si>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</si>
  <si>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</si>
  <si>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</si>
  <si>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</si>
  <si>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</si>
  <si>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</si>
  <si>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</si>
  <si>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</si>
  <si>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</si>
  <si>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</si>
  <si>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</si>
  <si>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</si>
  <si>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</si>
  <si>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</si>
  <si>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</si>
  <si>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</si>
  <si>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</si>
  <si>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</si>
  <si>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</si>
  <si>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</si>
  <si>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</si>
  <si>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</si>
  <si>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</si>
  <si>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</si>
  <si>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</si>
  <si>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</si>
  <si>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</si>
  <si>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</si>
  <si>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</si>
  <si>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</si>
  <si>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</si>
  <si>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</si>
  <si>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</si>
  <si>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</si>
  <si>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</si>
  <si>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</si>
  <si>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</si>
  <si>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</si>
  <si>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</si>
  <si>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</si>
  <si>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</si>
  <si>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</si>
  <si>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</si>
  <si>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</si>
  <si>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</si>
  <si>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</si>
  <si>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</si>
  <si>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</si>
  <si>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</si>
  <si>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</si>
  <si>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</si>
  <si>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</si>
  <si>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</si>
  <si>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</si>
  <si>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</si>
  <si>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</si>
  <si>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</si>
  <si>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</si>
  <si>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</si>
  <si>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</si>
  <si>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</si>
  <si>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</si>
  <si>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</si>
  <si>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</si>
  <si>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</si>
  <si>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</si>
  <si>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</si>
  <si>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</si>
  <si>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</si>
  <si>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</si>
  <si>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</si>
  <si>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</si>
  <si>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</si>
  <si>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</si>
  <si>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</si>
  <si>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</si>
  <si>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</si>
  <si>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</si>
  <si>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</si>
  <si>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</si>
  <si>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</si>
  <si>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</si>
  <si>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</si>
  <si>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</si>
  <si>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</si>
  <si>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</si>
  <si>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</si>
  <si>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</si>
  <si>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</si>
  <si>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</si>
  <si>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</si>
  <si>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</si>
  <si>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</si>
  <si>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</si>
  <si>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</si>
  <si>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</si>
  <si>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</si>
  <si>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</si>
  <si>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</si>
  <si>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</si>
  <si>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</si>
  <si>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</si>
  <si>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</si>
  <si>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</si>
  <si>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</si>
  <si>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</si>
  <si>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</si>
  <si>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</si>
  <si>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</si>
  <si>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</si>
  <si>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</si>
  <si>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</si>
  <si>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</si>
  <si>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</si>
  <si>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</si>
  <si>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</si>
  <si>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</si>
  <si>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</si>
  <si>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</si>
  <si>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</si>
  <si>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</si>
  <si>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</si>
  <si>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</si>
  <si>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</si>
  <si>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</si>
  <si>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</si>
  <si>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</si>
  <si>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</si>
  <si>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</si>
  <si>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</si>
  <si>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</si>
  <si>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</si>
  <si>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</si>
  <si>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</si>
  <si>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</si>
  <si>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</si>
  <si>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</si>
  <si>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</si>
  <si>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</si>
  <si>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</si>
  <si>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</si>
  <si>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</si>
  <si>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</si>
  <si>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</si>
  <si>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</si>
  <si>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</si>
  <si>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</si>
  <si>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</si>
  <si>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</si>
  <si>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</si>
  <si>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</si>
  <si>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</si>
  <si>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</si>
  <si>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</si>
  <si>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</si>
  <si>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</si>
  <si>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</si>
  <si>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</si>
  <si>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</si>
  <si>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</si>
  <si>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</si>
  <si>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</si>
  <si>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</si>
  <si>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</si>
  <si>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</si>
  <si>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</si>
  <si>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</si>
  <si>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</si>
  <si>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</si>
  <si>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</si>
  <si>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</si>
  <si>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</si>
  <si>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</si>
  <si>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</si>
  <si>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</si>
  <si>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</si>
  <si>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</si>
  <si>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</si>
  <si>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</si>
  <si>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</si>
  <si>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</si>
  <si>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</si>
  <si>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</si>
  <si>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</si>
  <si>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</si>
  <si>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</si>
  <si>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</si>
  <si>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</si>
  <si>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</si>
  <si>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</si>
  <si>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</si>
  <si>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</si>
  <si>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</si>
  <si>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</si>
  <si>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</si>
  <si>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</si>
  <si>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</si>
  <si>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</si>
  <si>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</si>
  <si>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</si>
  <si>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</si>
  <si>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</si>
  <si>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</si>
  <si>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</si>
  <si>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</si>
  <si>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</si>
  <si>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</si>
  <si>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</si>
  <si>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</si>
  <si>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</si>
  <si>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</si>
  <si>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</si>
  <si>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</si>
  <si>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</si>
  <si>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</si>
  <si>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</si>
  <si>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</si>
  <si>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</si>
  <si>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</si>
  <si>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</si>
  <si>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</si>
  <si>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</si>
  <si>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</si>
  <si>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</si>
  <si>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</si>
  <si>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</si>
  <si>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</si>
  <si>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</si>
  <si>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</si>
  <si>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</si>
  <si>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</si>
  <si>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</si>
  <si>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</si>
  <si>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</si>
  <si>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</si>
  <si>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</si>
  <si>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</si>
  <si>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</si>
  <si>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</si>
  <si>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</si>
  <si>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</si>
  <si>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</si>
  <si>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</si>
  <si>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</si>
  <si>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</si>
  <si>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</si>
  <si>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</si>
  <si>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</si>
  <si>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</si>
  <si>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</si>
  <si>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</si>
  <si>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</si>
  <si>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</si>
  <si>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</si>
  <si>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</si>
  <si>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</si>
  <si>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</si>
  <si>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</si>
  <si>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</si>
  <si>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</si>
  <si>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</si>
  <si>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</si>
  <si>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</si>
  <si>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</si>
  <si>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</si>
  <si>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</si>
  <si>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</si>
  <si>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</si>
  <si>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</si>
  <si>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</si>
  <si>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</si>
  <si>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</si>
  <si>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</si>
  <si>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</si>
  <si>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</si>
  <si>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</si>
  <si>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</si>
  <si>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</si>
  <si>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</si>
  <si>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</si>
  <si>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</si>
  <si>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</si>
  <si>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</si>
  <si>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</si>
  <si>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</si>
  <si>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</si>
  <si>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</si>
  <si>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</si>
  <si>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</si>
  <si>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</si>
  <si>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</si>
  <si>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</si>
  <si>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</si>
  <si>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</si>
  <si>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</si>
  <si>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</si>
  <si>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</si>
  <si>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</si>
  <si>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</si>
  <si>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</si>
  <si>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</si>
  <si>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</si>
  <si>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</si>
  <si>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</si>
  <si>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</si>
  <si>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</si>
  <si>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</si>
  <si>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</si>
  <si>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</si>
  <si>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</si>
  <si>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</si>
  <si>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1.机构设置：本单位设置教学处、德育处、总务处、办公室。教学处负责学校各学科教学工作；德育处负责学校学生思想教育工作；总务处负责学校所有师生后勤保障工作；办公室负责学校行政、人事、财务工作。
2.职能职责：（1）坚持四项基本原则, 认真贯彻执行党的路线、方针和政策。（2）认真完成普及初等教育的任务，严格执行小学教学大纲，保证完成小学教育、教学计划。（3）积极开展以普及为主的课外群体活动和体育传统项目运动队的训练。（4）有计划、有目的地进行劳动教育，并认真执行勤工俭学、勤工办学的方针，积极地有步骤地创造条件改善学校校舍和教学、体育、卫生、生活等方面地设备，切实加强学校管理工作。</t>
    <phoneticPr fontId="4" type="noConversion"/>
  </si>
  <si>
    <t>主要原因是由于人员增加导致人员经费收支增加，专项增加导致项目收支增加，因此财政拨款收支有增长。</t>
    <phoneticPr fontId="4" type="noConversion"/>
  </si>
  <si>
    <t>主要原因是由于人员、专项中教育类支出都有所增加。</t>
    <phoneticPr fontId="4" type="noConversion"/>
  </si>
  <si>
    <t>主要原因是受疫情影响，培训活动有所减少。</t>
    <phoneticPr fontId="4" type="noConversion"/>
  </si>
  <si>
    <t>主要原因是由于教学设施类收支有所减少。</t>
    <phoneticPr fontId="4" type="noConversion"/>
  </si>
  <si>
    <t>主要原因是由于人员增加，导致人员经费中的社会保障和就业支出增加。</t>
    <phoneticPr fontId="4" type="noConversion"/>
  </si>
  <si>
    <t>主要原因是由于人员增加，导致卫生健康支出增加。</t>
    <phoneticPr fontId="4" type="noConversion"/>
  </si>
  <si>
    <t>主要原因是由于人员增加，导致住房保障支出增加。</t>
    <phoneticPr fontId="4" type="noConversion"/>
  </si>
  <si>
    <t>主要原因是无公务用车。</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</si>
</sst>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xr:uid="{00000000-0005-0000-0000-000001000000}"/>
    <cellStyle name="常规 2 2" xfId="2" xr:uid="{00000000-0005-0000-0000-000002000000}"/>
    <cellStyle name="常规 3" xfId="3" xr:uid="{00000000-0005-0000-0000-000003000000}"/>
    <cellStyle name="常规 3 2" xfId="5" xr:uid="{00000000-0005-0000-0000-000004000000}"/>
    <cellStyle name="常规 4" xfId="6" xr:uid="{00000000-0005-0000-0000-000005000000}"/>
    <cellStyle name="千位分隔 2" xfId="4" xr:uid="{00000000-0005-0000-0000-000006000000}"/>
    <cellStyle name="千位分隔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tabSelected="1" zoomScale="80" zoomScaleNormal="80" workbookViewId="0">
      <selection activeCell="D10" sqref="D10"/>
    </sheetView>
  </sheetViews>
  <sheetFormatPr defaultRowHeight="14.25"/>
  <cols>
    <col min="1" max="1" width="16.5" customWidth="1"/>
    <col min="2" max="2" width="12.75" bestFit="1" customWidth="1"/>
  </cols>
  <sheetData>
    <row r="1" spans="1:14" ht="37.9" customHeight="1">
      <c r="A1" s="27" t="s">
        <v>0</v>
      </c>
      <c r="B1" s="28">
        <v>255132</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北京小学广内分校</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topLeftCell="A10"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N11"/>
  <sheetViews>
    <sheetView zoomScale="90" zoomScaleNormal="90" workbookViewId="0">
      <selection activeCell="A10" sqref="A10:N10"/>
    </sheetView>
  </sheetViews>
  <sheetFormatPr defaultRowHeight="14.25"/>
  <sheetData>
    <row r="10" spans="1:14" ht="54.6" customHeight="1">
      <c r="A10" s="81" t="s">
        <v>415</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0"/>
  <sheetViews>
    <sheetView topLeftCell="A79" workbookViewId="0">
      <selection activeCell="B38" sqref="B38:L38"/>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116.25" customHeight="1">
      <c r="A4" s="89" t="s">
        <v>478</v>
      </c>
      <c r="B4" s="89"/>
      <c r="C4" s="89"/>
      <c r="D4" s="89"/>
      <c r="E4" s="89"/>
      <c r="F4" s="89"/>
      <c r="G4" s="89"/>
      <c r="H4" s="89"/>
      <c r="I4" s="89"/>
      <c r="J4" s="89"/>
      <c r="K4" s="89"/>
      <c r="L4" s="89"/>
      <c r="M4" s="89"/>
      <c r="N4" s="19"/>
    </row>
    <row r="5" spans="1:14" ht="18" customHeight="1">
      <c r="A5" s="7" t="s">
        <v>176</v>
      </c>
    </row>
    <row r="6" spans="1:14" ht="18" customHeight="1">
      <c r="A6" s="86" t="s">
        <v>245</v>
      </c>
      <c r="B6" s="86"/>
      <c r="C6" s="10">
        <v>131</v>
      </c>
      <c r="D6" s="10" t="s">
        <v>247</v>
      </c>
      <c r="E6" s="8">
        <f>_xlfn.IFNA(VLOOKUP(封面!B1,'2021决算导出'!A:C,3,FALSE),"")</f>
        <v>123</v>
      </c>
      <c r="F6" s="10" t="s">
        <v>248</v>
      </c>
      <c r="G6" s="10"/>
      <c r="H6" s="10"/>
      <c r="I6" s="10"/>
      <c r="J6" s="10"/>
      <c r="K6" s="10"/>
      <c r="L6" s="10"/>
      <c r="M6" s="10"/>
      <c r="N6" s="10"/>
    </row>
    <row r="7" spans="1:14" ht="18" customHeight="1">
      <c r="A7" s="6" t="s">
        <v>177</v>
      </c>
    </row>
    <row r="8" spans="1:14" ht="18" customHeight="1">
      <c r="A8" s="86" t="s">
        <v>416</v>
      </c>
      <c r="B8" s="86"/>
      <c r="C8" s="86"/>
      <c r="D8" s="14">
        <f>_xlfn.IFNA(VLOOKUP(封面!B1,'2021决算导出'!A:D,4,FALSE),"")</f>
        <v>53581271.969999999</v>
      </c>
      <c r="E8" s="7" t="s">
        <v>179</v>
      </c>
      <c r="F8" s="20" t="s">
        <v>249</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1458156.0600000024</v>
      </c>
      <c r="I8" s="16" t="s">
        <v>179</v>
      </c>
      <c r="J8" s="30" t="str">
        <f>IF(ISNA(VLOOKUP(封面!B1,'2020决算导出'!A:D,4,FALSE)),"",IF(D8-VLOOKUP(封面!B1,'2020决算导出'!A:D,4,FALSE)&gt;0,"增长","下降"))</f>
        <v>增长</v>
      </c>
      <c r="K8" s="31">
        <f>IF(ISNA(VLOOKUP(封面!B1,'2020决算导出'!A:D,4,FALSE)),"",H8/VLOOKUP(封面!B1,'2020决算导出'!A:D,4,FALSE))</f>
        <v>2.7975228160146318E-2</v>
      </c>
      <c r="L8" s="7" t="s">
        <v>313</v>
      </c>
    </row>
    <row r="9" spans="1:14" ht="18" customHeight="1">
      <c r="A9" s="7" t="s">
        <v>180</v>
      </c>
      <c r="G9" s="32"/>
      <c r="H9" s="32"/>
      <c r="I9" s="32"/>
      <c r="J9" s="32"/>
      <c r="K9" s="32"/>
    </row>
    <row r="10" spans="1:14" ht="18" customHeight="1">
      <c r="A10" s="86" t="s">
        <v>417</v>
      </c>
      <c r="B10" s="86"/>
      <c r="C10" s="86"/>
      <c r="D10" s="14">
        <f>_xlfn.IFNA(VLOOKUP(封面!B1,'2021决算导出'!A:E,5,FALSE),"")</f>
        <v>53333731.909999996</v>
      </c>
      <c r="E10" s="7" t="s">
        <v>179</v>
      </c>
      <c r="F10" s="20" t="s">
        <v>249</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2438219.2599999979</v>
      </c>
      <c r="I10" s="16" t="s">
        <v>179</v>
      </c>
      <c r="J10" s="30" t="str">
        <f>IF(ISNA(VLOOKUP(封面!B1,'2020决算导出'!A:E,5,FALSE)),"",IF(D10-VLOOKUP(封面!B1,'2020决算导出'!A:E,5,FALSE)&gt;0,"增长","下降"))</f>
        <v>增长</v>
      </c>
      <c r="K10" s="31">
        <f>IF(ISNA(VLOOKUP(封面!B1,'2020决算导出'!A:E,5,FALSE)),"",H10/VLOOKUP(封面!B1,'2020决算导出'!A:E,5,FALSE))</f>
        <v>4.7906369993111722E-2</v>
      </c>
      <c r="L10" s="7" t="s">
        <v>314</v>
      </c>
    </row>
    <row r="11" spans="1:14" ht="18" customHeight="1">
      <c r="A11" s="86" t="s">
        <v>181</v>
      </c>
      <c r="B11" s="86"/>
      <c r="C11" s="86"/>
      <c r="D11" s="14">
        <f>_xlfn.IFNA(VLOOKUP(封面!B1,'2021决算导出'!A:F,6,FALSE),"")</f>
        <v>53333731.909999996</v>
      </c>
      <c r="E11" s="7" t="s">
        <v>179</v>
      </c>
      <c r="F11" s="86" t="s">
        <v>182</v>
      </c>
      <c r="G11" s="86"/>
      <c r="H11" s="29">
        <f>D11/$D$10</f>
        <v>1</v>
      </c>
      <c r="I11" s="7" t="s">
        <v>315</v>
      </c>
    </row>
    <row r="12" spans="1:14" ht="18" customHeight="1">
      <c r="A12" s="86" t="s">
        <v>184</v>
      </c>
      <c r="B12" s="86"/>
      <c r="C12" s="86"/>
      <c r="D12" s="14">
        <f>_xlfn.IFNA(VLOOKUP(封面!B1,'2021决算导出'!A:G,7,FALSE),"")</f>
        <v>0</v>
      </c>
      <c r="E12" s="7" t="s">
        <v>179</v>
      </c>
      <c r="F12" s="86" t="s">
        <v>182</v>
      </c>
      <c r="G12" s="86"/>
      <c r="H12" s="29">
        <f t="shared" ref="H12:H15" si="0">D12/$D$10</f>
        <v>0</v>
      </c>
      <c r="I12" s="7" t="s">
        <v>315</v>
      </c>
    </row>
    <row r="13" spans="1:14" ht="18" customHeight="1">
      <c r="A13" s="86" t="s">
        <v>185</v>
      </c>
      <c r="B13" s="86"/>
      <c r="C13" s="86"/>
      <c r="D13" s="14">
        <f>_xlfn.IFNA(VLOOKUP(封面!B1,'2021决算导出'!A:H,8,FALSE),"")</f>
        <v>0</v>
      </c>
      <c r="E13" s="7" t="s">
        <v>179</v>
      </c>
      <c r="F13" s="86" t="s">
        <v>182</v>
      </c>
      <c r="G13" s="86"/>
      <c r="H13" s="29">
        <f t="shared" si="0"/>
        <v>0</v>
      </c>
      <c r="I13" s="7" t="s">
        <v>315</v>
      </c>
    </row>
    <row r="14" spans="1:14" ht="18" customHeight="1">
      <c r="A14" s="86" t="s">
        <v>186</v>
      </c>
      <c r="B14" s="86"/>
      <c r="C14" s="86"/>
      <c r="D14" s="14">
        <f>_xlfn.IFNA(VLOOKUP(封面!B1,'2021决算导出'!A:I,9,FALSE),"")</f>
        <v>0</v>
      </c>
      <c r="E14" s="7" t="s">
        <v>179</v>
      </c>
      <c r="F14" s="86" t="s">
        <v>182</v>
      </c>
      <c r="G14" s="86"/>
      <c r="H14" s="29">
        <f t="shared" si="0"/>
        <v>0</v>
      </c>
      <c r="I14" s="7" t="s">
        <v>315</v>
      </c>
    </row>
    <row r="15" spans="1:14" ht="18" customHeight="1">
      <c r="A15" s="86" t="s">
        <v>187</v>
      </c>
      <c r="B15" s="86"/>
      <c r="C15" s="86"/>
      <c r="D15" s="14">
        <f>_xlfn.IFNA(VLOOKUP(封面!B1,'2021决算导出'!A:J,10,FALSE),"")</f>
        <v>0</v>
      </c>
      <c r="E15" s="7" t="s">
        <v>179</v>
      </c>
      <c r="F15" s="86" t="s">
        <v>182</v>
      </c>
      <c r="G15" s="86"/>
      <c r="H15" s="29">
        <f t="shared" si="0"/>
        <v>0</v>
      </c>
      <c r="I15" s="7" t="s">
        <v>316</v>
      </c>
    </row>
    <row r="16" spans="1:14" ht="18" customHeight="1">
      <c r="A16" s="7" t="s">
        <v>188</v>
      </c>
    </row>
    <row r="17" spans="1:13" ht="18" customHeight="1">
      <c r="A17" s="86" t="s">
        <v>418</v>
      </c>
      <c r="B17" s="86"/>
      <c r="C17" s="86"/>
      <c r="D17" s="14">
        <f>_xlfn.IFNA(VLOOKUP(封面!B1,'2021决算导出'!A:K,11,FALSE),"")</f>
        <v>53425972.609999999</v>
      </c>
      <c r="E17" s="7" t="s">
        <v>179</v>
      </c>
      <c r="F17" s="20" t="s">
        <v>249</v>
      </c>
      <c r="G17" s="30" t="str">
        <f>IF(ISNA(VLOOKUP(封面!B1,'2020决算导出'!A:K,11,FALSE)),"",IF(D17-VLOOKUP(封面!B1,'2020决算导出'!A:K,11,FALSE)&gt;0,"增加","减少"))</f>
        <v>增加</v>
      </c>
      <c r="H17" s="33">
        <f>IF(ISNA(VLOOKUP(封面!B1,'2020决算导出'!A:K,11,FALSE)),"",IF(D17-VLOOKUP(封面!B1,'2020决算导出'!A:K,11,FALSE)&gt;0,D17-VLOOKUP(封面!B1,'2020决算导出'!A:K,11,FALSE),VLOOKUP(封面!B1,'2020决算导出'!A:K,11,FALSE)-D17))</f>
        <v>1550396.7599999979</v>
      </c>
      <c r="I17" s="7" t="s">
        <v>179</v>
      </c>
      <c r="J17" s="30" t="str">
        <f>IF(ISNA(VLOOKUP(封面!B1,'2020决算导出'!A:K,11,FALSE)),"",IF(D17-VLOOKUP(封面!B1,'2020决算导出'!A:K,11,FALSE)&gt;0,"增长","下降"))</f>
        <v>增长</v>
      </c>
      <c r="K17" s="31">
        <f>IF(ISNA(VLOOKUP(封面!B1,'2020决算导出'!A:K,11,FALSE)),"",H17/VLOOKUP(封面!B1,'2020决算导出'!A:K,11,FALSE))</f>
        <v>2.988683469236126E-2</v>
      </c>
      <c r="L17" s="7" t="s">
        <v>317</v>
      </c>
    </row>
    <row r="18" spans="1:13" ht="18" customHeight="1">
      <c r="A18" s="86" t="s">
        <v>189</v>
      </c>
      <c r="B18" s="86"/>
      <c r="C18" s="86"/>
      <c r="D18" s="14">
        <f>_xlfn.IFNA(VLOOKUP(封面!B1,'2021决算导出'!A:L,12,FALSE),"")</f>
        <v>49721327.149999999</v>
      </c>
      <c r="E18" s="7" t="s">
        <v>179</v>
      </c>
      <c r="F18" s="86" t="s">
        <v>190</v>
      </c>
      <c r="G18" s="86"/>
      <c r="H18" s="29">
        <f>D18/$D$17</f>
        <v>0.93065834314251517</v>
      </c>
      <c r="I18" s="7" t="s">
        <v>315</v>
      </c>
    </row>
    <row r="19" spans="1:13" ht="18" customHeight="1">
      <c r="A19" s="86" t="s">
        <v>191</v>
      </c>
      <c r="B19" s="86"/>
      <c r="C19" s="86"/>
      <c r="D19" s="14">
        <f>_xlfn.IFNA(VLOOKUP(封面!B1,'2021决算导出'!A:M,13,FALSE),"")</f>
        <v>3704645.46</v>
      </c>
      <c r="E19" s="7" t="s">
        <v>179</v>
      </c>
      <c r="F19" s="86" t="s">
        <v>190</v>
      </c>
      <c r="G19" s="86"/>
      <c r="H19" s="29">
        <f t="shared" ref="H19:H20" si="1">D19/$D$17</f>
        <v>6.9341656857484765E-2</v>
      </c>
      <c r="I19" s="7" t="s">
        <v>315</v>
      </c>
    </row>
    <row r="20" spans="1:13" ht="18" customHeight="1">
      <c r="A20" s="86" t="s">
        <v>192</v>
      </c>
      <c r="B20" s="86"/>
      <c r="C20" s="86"/>
      <c r="D20" s="14">
        <f>_xlfn.IFNA(VLOOKUP(封面!B1,'2021决算导出'!A:N,14,FALSE),"")</f>
        <v>0</v>
      </c>
      <c r="E20" s="7" t="s">
        <v>179</v>
      </c>
      <c r="F20" s="86" t="s">
        <v>190</v>
      </c>
      <c r="G20" s="86"/>
      <c r="H20" s="29">
        <f t="shared" si="1"/>
        <v>0</v>
      </c>
      <c r="I20" s="7" t="s">
        <v>316</v>
      </c>
    </row>
    <row r="21" spans="1:13" ht="18" customHeight="1">
      <c r="A21" s="6" t="s">
        <v>193</v>
      </c>
    </row>
    <row r="22" spans="1:13" ht="18" customHeight="1">
      <c r="A22" s="86" t="s">
        <v>419</v>
      </c>
      <c r="B22" s="86"/>
      <c r="C22" s="86"/>
      <c r="D22" s="86"/>
      <c r="E22" s="83">
        <f>_xlfn.IFNA(VLOOKUP(封面!B1,'2021决算导出'!A:O,15,FALSE),"")</f>
        <v>53581271.969999999</v>
      </c>
      <c r="F22" s="83"/>
      <c r="G22" s="15" t="s">
        <v>249</v>
      </c>
      <c r="H22" s="30" t="str">
        <f>IF(ISNA(VLOOKUP(封面!B1,'2020决算导出'!A:O,15,FALSE)),"",IF(E22-VLOOKUP(封面!B1,'2020决算导出'!A:O,15,FALSE)&gt;0,"增加","减少"))</f>
        <v>增加</v>
      </c>
      <c r="I22" s="33">
        <f>IF(ISNA(VLOOKUP(封面!B1,'2020决算导出'!A:O,15,FALSE)),"",IF(E22-VLOOKUP(封面!B1,'2020决算导出'!A:O,15,FALSE)&gt;0,E22-VLOOKUP(封面!B1,'2020决算导出'!A:O,15,FALSE),VLOOKUP(封面!B1,'2020决算导出'!A:O,15,FALSE)-E22))</f>
        <v>1458156.0600000024</v>
      </c>
      <c r="J22" s="7" t="s">
        <v>179</v>
      </c>
      <c r="K22" s="30" t="str">
        <f>IF(ISNA(VLOOKUP(封面!B1,'2020决算导出'!A:O,15,FALSE)),"",IF(E22-VLOOKUP(封面!B1,'2020决算导出'!A:O,15,FALSE)&gt;0,"增长","下降"))</f>
        <v>增长</v>
      </c>
      <c r="L22" s="31">
        <f>IF(ISNA(VLOOKUP(封面!B1,'2020决算导出'!A:O,15,FALSE)),"",I22/VLOOKUP(封面!B1,'2020决算导出'!A:O,15,FALSE))</f>
        <v>2.7975228160146318E-2</v>
      </c>
      <c r="M22" s="7" t="s">
        <v>313</v>
      </c>
    </row>
    <row r="23" spans="1:13" ht="63.6" customHeight="1">
      <c r="B23" s="87" t="s">
        <v>479</v>
      </c>
      <c r="C23" s="87"/>
      <c r="D23" s="87"/>
      <c r="E23" s="87"/>
      <c r="F23" s="87"/>
      <c r="G23" s="87"/>
      <c r="H23" s="87"/>
      <c r="I23" s="87"/>
      <c r="J23" s="87"/>
      <c r="K23" s="87"/>
      <c r="L23" s="87"/>
      <c r="M23" s="87"/>
    </row>
    <row r="24" spans="1:13" ht="18" customHeight="1">
      <c r="A24" s="6" t="s">
        <v>194</v>
      </c>
    </row>
    <row r="25" spans="1:13" ht="18" customHeight="1">
      <c r="A25" s="7" t="s">
        <v>195</v>
      </c>
    </row>
    <row r="26" spans="1:13" ht="18" customHeight="1">
      <c r="A26" s="86" t="s">
        <v>420</v>
      </c>
      <c r="B26" s="86"/>
      <c r="C26" s="86"/>
      <c r="D26" s="86"/>
      <c r="E26" s="86"/>
      <c r="F26" s="83">
        <f>_xlfn.IFNA(VLOOKUP(封面!B1,'2021决算导出'!A:P,16,FALSE),"")</f>
        <v>53425972.609999999</v>
      </c>
      <c r="G26" s="83"/>
      <c r="H26" s="7" t="s">
        <v>179</v>
      </c>
      <c r="I26" s="10" t="s">
        <v>196</v>
      </c>
      <c r="J26" s="10"/>
      <c r="K26" s="10"/>
      <c r="L26" s="10"/>
      <c r="M26" s="10"/>
    </row>
    <row r="27" spans="1:13" ht="18" customHeight="1">
      <c r="A27" s="86" t="s">
        <v>199</v>
      </c>
      <c r="B27" s="86"/>
      <c r="C27" s="86"/>
      <c r="D27" s="83">
        <f>_xlfn.IFNA(VLOOKUP(封面!B1,'2021决算导出'!A:Q,17,FALSE),"")</f>
        <v>37149315.82</v>
      </c>
      <c r="E27" s="83"/>
      <c r="F27" s="7" t="s">
        <v>179</v>
      </c>
      <c r="G27" s="84" t="s">
        <v>198</v>
      </c>
      <c r="H27" s="84"/>
      <c r="I27" s="29">
        <f>D27/$F$26</f>
        <v>0.69534187222352195</v>
      </c>
      <c r="J27" s="7" t="s">
        <v>315</v>
      </c>
      <c r="K27" s="9"/>
      <c r="L27" s="9"/>
      <c r="M27" s="9"/>
    </row>
    <row r="28" spans="1:13" ht="18" customHeight="1">
      <c r="A28" s="86" t="s">
        <v>200</v>
      </c>
      <c r="B28" s="86"/>
      <c r="C28" s="86"/>
      <c r="D28" s="83">
        <f>_xlfn.IFNA(VLOOKUP(封面!B1,'2021决算导出'!A:R,18,FALSE),"")</f>
        <v>0</v>
      </c>
      <c r="E28" s="83"/>
      <c r="F28" s="7" t="s">
        <v>179</v>
      </c>
      <c r="G28" s="84" t="s">
        <v>198</v>
      </c>
      <c r="H28" s="84"/>
      <c r="I28" s="29">
        <f t="shared" ref="I28:I32" si="2">D28/$F$26</f>
        <v>0</v>
      </c>
      <c r="J28" s="7" t="s">
        <v>315</v>
      </c>
      <c r="K28" s="9"/>
      <c r="L28" s="9"/>
      <c r="M28" s="9"/>
    </row>
    <row r="29" spans="1:13" ht="18" customHeight="1">
      <c r="A29" s="86" t="s">
        <v>197</v>
      </c>
      <c r="B29" s="86"/>
      <c r="C29" s="86"/>
      <c r="D29" s="83">
        <f>_xlfn.IFNA(VLOOKUP(封面!B1,'2021决算导出'!A:S,19,FALSE),"")</f>
        <v>7462575.3700000001</v>
      </c>
      <c r="E29" s="83"/>
      <c r="F29" s="7" t="s">
        <v>179</v>
      </c>
      <c r="G29" s="84" t="s">
        <v>198</v>
      </c>
      <c r="H29" s="84"/>
      <c r="I29" s="29">
        <f t="shared" si="2"/>
        <v>0.13968066476721835</v>
      </c>
      <c r="J29" s="7" t="s">
        <v>315</v>
      </c>
    </row>
    <row r="30" spans="1:13" ht="18" customHeight="1">
      <c r="A30" s="86" t="s">
        <v>201</v>
      </c>
      <c r="B30" s="86"/>
      <c r="C30" s="86"/>
      <c r="D30" s="83">
        <f>_xlfn.IFNA(VLOOKUP(封面!B1,'2021决算导出'!A:T,20,FALSE),"")</f>
        <v>3166231.42</v>
      </c>
      <c r="E30" s="83"/>
      <c r="F30" s="7" t="s">
        <v>179</v>
      </c>
      <c r="G30" s="84" t="s">
        <v>198</v>
      </c>
      <c r="H30" s="84"/>
      <c r="I30" s="29">
        <f t="shared" si="2"/>
        <v>5.9263898537007843E-2</v>
      </c>
      <c r="J30" s="7" t="s">
        <v>315</v>
      </c>
    </row>
    <row r="31" spans="1:13" ht="18" customHeight="1">
      <c r="A31" s="86" t="s">
        <v>202</v>
      </c>
      <c r="B31" s="86"/>
      <c r="C31" s="86"/>
      <c r="D31" s="83">
        <f>_xlfn.IFNA(VLOOKUP(封面!B1,'2021决算导出'!A:U,21,FALSE),"")</f>
        <v>0</v>
      </c>
      <c r="E31" s="83"/>
      <c r="F31" s="7" t="s">
        <v>179</v>
      </c>
      <c r="G31" s="84" t="s">
        <v>198</v>
      </c>
      <c r="H31" s="84"/>
      <c r="I31" s="29">
        <f t="shared" si="2"/>
        <v>0</v>
      </c>
      <c r="J31" s="7" t="s">
        <v>315</v>
      </c>
    </row>
    <row r="32" spans="1:13" ht="18" customHeight="1">
      <c r="A32" s="86" t="s">
        <v>203</v>
      </c>
      <c r="B32" s="86"/>
      <c r="C32" s="86"/>
      <c r="D32" s="83">
        <f>_xlfn.IFNA(VLOOKUP(封面!B1,'2021决算导出'!A:V,22,FALSE),"")</f>
        <v>5647850</v>
      </c>
      <c r="E32" s="83"/>
      <c r="F32" s="7" t="s">
        <v>179</v>
      </c>
      <c r="G32" s="84" t="s">
        <v>198</v>
      </c>
      <c r="H32" s="84"/>
      <c r="I32" s="29">
        <f t="shared" si="2"/>
        <v>0.10571356447225191</v>
      </c>
      <c r="J32" s="7" t="s">
        <v>315</v>
      </c>
    </row>
    <row r="33" spans="1:12" ht="18" customHeight="1">
      <c r="A33" s="7" t="s">
        <v>204</v>
      </c>
    </row>
    <row r="34" spans="1:12" ht="18" customHeight="1">
      <c r="A34" s="88" t="s">
        <v>421</v>
      </c>
      <c r="B34" s="88"/>
      <c r="C34" s="88"/>
      <c r="D34" s="88"/>
      <c r="E34" s="83">
        <f>_xlfn.IFNA(VLOOKUP(封面!B1,一般公共预算财政拨款支出决算具体情况!A:C,3,FALSE),"")</f>
        <v>37149315.819999993</v>
      </c>
      <c r="F34" s="83"/>
      <c r="G34" s="7" t="s">
        <v>179</v>
      </c>
      <c r="H34" s="84" t="s">
        <v>422</v>
      </c>
      <c r="I34" s="84"/>
      <c r="J34" s="83">
        <f>_xlfn.IFNA(VLOOKUP(封面!B1,一般公共预算财政拨款支出决算具体情况!A:D,4,FALSE),"")</f>
        <v>34234828.439999998</v>
      </c>
      <c r="K34" s="83"/>
      <c r="L34" s="11" t="s">
        <v>178</v>
      </c>
    </row>
    <row r="35" spans="1:12" ht="18" customHeight="1">
      <c r="B35" s="15" t="str">
        <f>IF(E34&gt;J34,"增加","减少")</f>
        <v>增加</v>
      </c>
      <c r="C35" s="83">
        <f>ABS(E34-J34)</f>
        <v>2914487.3799999952</v>
      </c>
      <c r="D35" s="83"/>
      <c r="E35" s="7" t="s">
        <v>179</v>
      </c>
      <c r="F35" s="15" t="str">
        <f>IF(E34&gt;J34,"增长","下降")</f>
        <v>增长</v>
      </c>
      <c r="G35" s="34">
        <f>IF(J34=0,IF(E34&gt;0,1,""),C35/J34)</f>
        <v>8.513223266498704E-2</v>
      </c>
      <c r="H35" s="7" t="s">
        <v>316</v>
      </c>
      <c r="I35" s="11" t="s">
        <v>205</v>
      </c>
    </row>
    <row r="36" spans="1:12" ht="18" customHeight="1">
      <c r="A36" s="86" t="s">
        <v>423</v>
      </c>
      <c r="B36" s="86"/>
      <c r="C36" s="86"/>
      <c r="D36" s="86"/>
      <c r="E36" s="83">
        <f>_xlfn.IFNA(VLOOKUP(封面!B1,一般公共预算财政拨款支出决算具体情况!A:E,5,FALSE),"")</f>
        <v>37077530.739999995</v>
      </c>
      <c r="F36" s="83"/>
      <c r="G36" s="7" t="s">
        <v>179</v>
      </c>
      <c r="H36" s="84" t="s">
        <v>422</v>
      </c>
      <c r="I36" s="84"/>
      <c r="J36" s="83">
        <f>_xlfn.IFNA(VLOOKUP(封面!B1,一般公共预算财政拨款支出决算具体情况!A:F,6,FALSE),"")</f>
        <v>34026132.439999998</v>
      </c>
      <c r="K36" s="83"/>
      <c r="L36" s="11" t="s">
        <v>178</v>
      </c>
    </row>
    <row r="37" spans="1:12" ht="18" customHeight="1">
      <c r="A37" s="15"/>
      <c r="B37" s="15" t="str">
        <f>IF(E36&gt;J36,"增加","减少")</f>
        <v>增加</v>
      </c>
      <c r="C37" s="83">
        <f>ABS(E36-J36)</f>
        <v>3051398.299999997</v>
      </c>
      <c r="D37" s="83"/>
      <c r="E37" s="7" t="s">
        <v>179</v>
      </c>
      <c r="F37" s="15" t="str">
        <f>IF(E36&gt;J36,"增长","下降")</f>
        <v>增长</v>
      </c>
      <c r="G37" s="34">
        <f>IF(J36=0,IF(E36&gt;0,1,""),C37/J36)</f>
        <v>8.967808214408976E-2</v>
      </c>
      <c r="H37" s="7" t="s">
        <v>316</v>
      </c>
    </row>
    <row r="38" spans="1:12" ht="36" customHeight="1">
      <c r="B38" s="89" t="s">
        <v>480</v>
      </c>
      <c r="C38" s="89"/>
      <c r="D38" s="89"/>
      <c r="E38" s="89"/>
      <c r="F38" s="89"/>
      <c r="G38" s="89"/>
      <c r="H38" s="89"/>
      <c r="I38" s="89"/>
      <c r="J38" s="89"/>
      <c r="K38" s="89"/>
      <c r="L38" s="89"/>
    </row>
    <row r="39" spans="1:12" ht="18" customHeight="1">
      <c r="A39" s="86" t="s">
        <v>424</v>
      </c>
      <c r="B39" s="86"/>
      <c r="C39" s="86"/>
      <c r="D39" s="86"/>
      <c r="E39" s="83">
        <f>_xlfn.IFNA(VLOOKUP(封面!B1,一般公共预算财政拨款支出决算具体情况!A:G,7,FALSE),"")</f>
        <v>0</v>
      </c>
      <c r="F39" s="83"/>
      <c r="G39" s="7" t="s">
        <v>179</v>
      </c>
      <c r="H39" s="84" t="s">
        <v>422</v>
      </c>
      <c r="I39" s="84"/>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316</v>
      </c>
    </row>
    <row r="41" spans="1:12" ht="18" customHeight="1">
      <c r="A41" s="86" t="s">
        <v>425</v>
      </c>
      <c r="B41" s="86"/>
      <c r="C41" s="86"/>
      <c r="D41" s="86"/>
      <c r="E41" s="83">
        <f>_xlfn.IFNA(VLOOKUP(封面!B1,一般公共预算财政拨款支出决算具体情况!A:I,9,FALSE),"")</f>
        <v>0</v>
      </c>
      <c r="F41" s="83"/>
      <c r="G41" s="7" t="s">
        <v>179</v>
      </c>
      <c r="H41" s="84" t="s">
        <v>422</v>
      </c>
      <c r="I41" s="84"/>
      <c r="J41" s="83">
        <f>_xlfn.IFNA(VLOOKUP(封面!B1,一般公共预算财政拨款支出决算具体情况!A:J,10,FALSE),"")</f>
        <v>0</v>
      </c>
      <c r="K41" s="83"/>
      <c r="L41" s="11" t="s">
        <v>178</v>
      </c>
    </row>
    <row r="42" spans="1:12" ht="18" customHeight="1">
      <c r="A42" s="15"/>
      <c r="B42" s="15" t="str">
        <f>IF(E41&gt;J41,"增加","减少")</f>
        <v>减少</v>
      </c>
      <c r="C42" s="83">
        <f>ABS(E41-J41)</f>
        <v>0</v>
      </c>
      <c r="D42" s="83"/>
      <c r="E42" s="7" t="s">
        <v>179</v>
      </c>
      <c r="F42" s="15" t="str">
        <f>IF(E41&gt;J41,"增长","下降")</f>
        <v>下降</v>
      </c>
      <c r="G42" s="34" t="str">
        <f>IF(J41=0,IF(E41&gt;0,1,""),C42/J41)</f>
        <v/>
      </c>
      <c r="H42" s="7" t="s">
        <v>316</v>
      </c>
    </row>
    <row r="43" spans="1:12" ht="18" customHeight="1">
      <c r="A43" s="86" t="s">
        <v>426</v>
      </c>
      <c r="B43" s="86"/>
      <c r="C43" s="86"/>
      <c r="D43" s="86"/>
      <c r="E43" s="83">
        <f>_xlfn.IFNA(VLOOKUP(封面!B1,一般公共预算财政拨款支出决算具体情况!A:K,11,FALSE),"")</f>
        <v>0</v>
      </c>
      <c r="F43" s="83"/>
      <c r="G43" s="7" t="s">
        <v>179</v>
      </c>
      <c r="H43" s="84" t="s">
        <v>422</v>
      </c>
      <c r="I43" s="84"/>
      <c r="J43" s="83">
        <f>_xlfn.IFNA(VLOOKUP(封面!B1,一般公共预算财政拨款支出决算具体情况!A:L,12,FALSE),"")</f>
        <v>0</v>
      </c>
      <c r="K43" s="83"/>
      <c r="L43" s="11" t="s">
        <v>178</v>
      </c>
    </row>
    <row r="44" spans="1:12" ht="18" customHeight="1">
      <c r="A44" s="15"/>
      <c r="B44" s="15" t="str">
        <f>IF(E43&gt;J43,"增加","减少")</f>
        <v>减少</v>
      </c>
      <c r="C44" s="83">
        <f>ABS(E43-J43)</f>
        <v>0</v>
      </c>
      <c r="D44" s="83"/>
      <c r="E44" s="7" t="s">
        <v>179</v>
      </c>
      <c r="F44" s="15" t="str">
        <f>IF(E43&gt;J43,"增长","下降")</f>
        <v>下降</v>
      </c>
      <c r="G44" s="34" t="str">
        <f>IF(J43=0,IF(E43&gt;0,1,""),C44/J43)</f>
        <v/>
      </c>
      <c r="H44" s="7" t="s">
        <v>316</v>
      </c>
    </row>
    <row r="45" spans="1:12" ht="18" customHeight="1">
      <c r="A45" s="86" t="s">
        <v>427</v>
      </c>
      <c r="B45" s="86"/>
      <c r="C45" s="86"/>
      <c r="D45" s="86"/>
      <c r="E45" s="83">
        <f>_xlfn.IFNA(VLOOKUP(封面!B1,一般公共预算财政拨款支出决算具体情况!A:M,13,FALSE),"")</f>
        <v>71785.08</v>
      </c>
      <c r="F45" s="83"/>
      <c r="G45" s="7" t="s">
        <v>179</v>
      </c>
      <c r="H45" s="84" t="s">
        <v>422</v>
      </c>
      <c r="I45" s="84"/>
      <c r="J45" s="83">
        <f>_xlfn.IFNA(VLOOKUP(封面!B1,一般公共预算财政拨款支出决算具体情况!A:N,14,FALSE),"")</f>
        <v>75480</v>
      </c>
      <c r="K45" s="83"/>
      <c r="L45" s="11" t="s">
        <v>178</v>
      </c>
    </row>
    <row r="46" spans="1:12" ht="18" customHeight="1">
      <c r="A46" s="15"/>
      <c r="B46" s="15" t="str">
        <f>IF(E45&gt;J45,"增加","减少")</f>
        <v>减少</v>
      </c>
      <c r="C46" s="83">
        <f>ABS(E45-J45)</f>
        <v>3694.9199999999983</v>
      </c>
      <c r="D46" s="83"/>
      <c r="E46" s="7" t="s">
        <v>179</v>
      </c>
      <c r="F46" s="15" t="str">
        <f>IF(E45&gt;J45,"增长","下降")</f>
        <v>下降</v>
      </c>
      <c r="G46" s="34">
        <f>IF(J45=0,IF(E45&gt;0,1,""),C46/J45)</f>
        <v>4.895230524642287E-2</v>
      </c>
      <c r="H46" s="7" t="s">
        <v>316</v>
      </c>
    </row>
    <row r="47" spans="1:12" ht="36" customHeight="1">
      <c r="B47" s="89" t="s">
        <v>481</v>
      </c>
      <c r="C47" s="89"/>
      <c r="D47" s="89"/>
      <c r="E47" s="89"/>
      <c r="F47" s="89"/>
      <c r="G47" s="89"/>
      <c r="H47" s="89"/>
      <c r="I47" s="89"/>
      <c r="J47" s="89"/>
      <c r="K47" s="89"/>
      <c r="L47" s="89"/>
    </row>
    <row r="48" spans="1:12" ht="18" customHeight="1">
      <c r="A48" s="85" t="s">
        <v>428</v>
      </c>
      <c r="B48" s="85"/>
      <c r="C48" s="85"/>
      <c r="D48" s="85"/>
      <c r="E48" s="83">
        <f>_xlfn.IFNA(VLOOKUP(封面!B1,一般公共预算财政拨款支出决算具体情况!A:O,15,FALSE),"")</f>
        <v>0</v>
      </c>
      <c r="F48" s="83"/>
      <c r="G48" s="7" t="s">
        <v>179</v>
      </c>
      <c r="H48" s="84" t="s">
        <v>422</v>
      </c>
      <c r="I48" s="84"/>
      <c r="J48" s="83">
        <f>_xlfn.IFNA(VLOOKUP(封面!B1,一般公共预算财政拨款支出决算具体情况!A:P,16,FALSE),"")</f>
        <v>133216</v>
      </c>
      <c r="K48" s="83"/>
      <c r="L48" s="11" t="s">
        <v>178</v>
      </c>
    </row>
    <row r="49" spans="1:12" ht="18" customHeight="1">
      <c r="A49" s="15"/>
      <c r="B49" s="15" t="str">
        <f>IF(E48&gt;J48,"增加","减少")</f>
        <v>减少</v>
      </c>
      <c r="C49" s="83">
        <f>ABS(E48-J48)</f>
        <v>133216</v>
      </c>
      <c r="D49" s="83"/>
      <c r="E49" s="7" t="s">
        <v>179</v>
      </c>
      <c r="F49" s="15" t="str">
        <f>IF(E48&gt;J48,"增长","下降")</f>
        <v>下降</v>
      </c>
      <c r="G49" s="34">
        <f>IF(J48=0,IF(E48&gt;0,1,""),C49/J48)</f>
        <v>1</v>
      </c>
      <c r="H49" s="7" t="s">
        <v>316</v>
      </c>
    </row>
    <row r="50" spans="1:12" ht="36" customHeight="1">
      <c r="B50" s="89" t="s">
        <v>482</v>
      </c>
      <c r="C50" s="89"/>
      <c r="D50" s="89"/>
      <c r="E50" s="89"/>
      <c r="F50" s="89"/>
      <c r="G50" s="89"/>
      <c r="H50" s="89"/>
      <c r="I50" s="89"/>
      <c r="J50" s="89"/>
      <c r="K50" s="89"/>
      <c r="L50" s="89"/>
    </row>
    <row r="51" spans="1:12" ht="18" customHeight="1">
      <c r="A51" s="90" t="s">
        <v>429</v>
      </c>
      <c r="B51" s="90"/>
      <c r="C51" s="90"/>
      <c r="D51" s="90"/>
      <c r="E51" s="83">
        <f>_xlfn.IFNA(VLOOKUP(封面!B1,一般公共预算财政拨款支出决算具体情况!A:Q,17,FALSE),"")</f>
        <v>0</v>
      </c>
      <c r="F51" s="83"/>
      <c r="G51" s="7" t="s">
        <v>179</v>
      </c>
      <c r="H51" s="88" t="s">
        <v>430</v>
      </c>
      <c r="I51" s="88"/>
      <c r="J51" s="88"/>
      <c r="K51" s="88"/>
      <c r="L51" s="11"/>
    </row>
    <row r="52" spans="1:12" ht="18" customHeight="1">
      <c r="A52" s="85" t="s">
        <v>472</v>
      </c>
      <c r="B52" s="85"/>
      <c r="C52" s="85"/>
      <c r="D52" s="85"/>
      <c r="E52" s="83">
        <f>_xlfn.IFNA(VLOOKUP(封面!B1,一般公共预算财政拨款支出决算具体情况!A:S,19,FALSE),"")</f>
        <v>0</v>
      </c>
      <c r="F52" s="83"/>
      <c r="G52" s="7" t="s">
        <v>179</v>
      </c>
      <c r="H52" s="88" t="s">
        <v>432</v>
      </c>
      <c r="I52" s="88"/>
      <c r="J52" s="88"/>
      <c r="K52" s="88"/>
      <c r="L52" s="11"/>
    </row>
    <row r="53" spans="1:12" ht="18" customHeight="1">
      <c r="A53" s="86" t="s">
        <v>431</v>
      </c>
      <c r="B53" s="86"/>
      <c r="C53" s="86"/>
      <c r="D53" s="86"/>
      <c r="E53" s="83">
        <f>_xlfn.IFNA(VLOOKUP(封面!B1,一般公共预算财政拨款支出决算具体情况!A:U,21,FALSE),"")</f>
        <v>0</v>
      </c>
      <c r="F53" s="83"/>
      <c r="G53" s="7" t="s">
        <v>179</v>
      </c>
      <c r="H53" s="88" t="s">
        <v>432</v>
      </c>
      <c r="I53" s="88"/>
      <c r="J53" s="88"/>
      <c r="K53" s="88"/>
      <c r="L53" s="11"/>
    </row>
    <row r="54" spans="1:12" ht="18" customHeight="1">
      <c r="A54" s="90" t="s">
        <v>433</v>
      </c>
      <c r="B54" s="90"/>
      <c r="C54" s="90"/>
      <c r="D54" s="90"/>
      <c r="E54" s="83">
        <f>_xlfn.IFNA(VLOOKUP(封面!B1,一般公共预算财政拨款支出决算具体情况!A:W,23,FALSE),"")</f>
        <v>7462575.3700000001</v>
      </c>
      <c r="F54" s="83"/>
      <c r="G54" s="7" t="s">
        <v>179</v>
      </c>
      <c r="H54" s="84" t="s">
        <v>422</v>
      </c>
      <c r="I54" s="84"/>
      <c r="J54" s="83">
        <f>_xlfn.IFNA(VLOOKUP(封面!B1,一般公共预算财政拨款支出决算具体情况!A:X,24,FALSE),"")</f>
        <v>7365019.3799999999</v>
      </c>
      <c r="K54" s="83"/>
      <c r="L54" s="11" t="s">
        <v>178</v>
      </c>
    </row>
    <row r="55" spans="1:12" ht="18" customHeight="1">
      <c r="B55" s="15" t="str">
        <f>IF(E54&gt;J54,"增加","减少")</f>
        <v>增加</v>
      </c>
      <c r="C55" s="83">
        <f>ABS(E54-J54)</f>
        <v>97555.990000000224</v>
      </c>
      <c r="D55" s="83"/>
      <c r="E55" s="7" t="s">
        <v>179</v>
      </c>
      <c r="F55" s="15" t="str">
        <f>IF(E54&gt;J54,"增长","下降")</f>
        <v>增长</v>
      </c>
      <c r="G55" s="34">
        <f>IF(J54=0,IF(E54&gt;0,1,""),C55/J54)</f>
        <v>1.324585652346243E-2</v>
      </c>
      <c r="H55" s="7" t="s">
        <v>316</v>
      </c>
      <c r="I55" s="11" t="s">
        <v>205</v>
      </c>
    </row>
    <row r="56" spans="1:12" ht="18" customHeight="1">
      <c r="A56" s="85" t="s">
        <v>434</v>
      </c>
      <c r="B56" s="85"/>
      <c r="C56" s="85"/>
      <c r="D56" s="85"/>
      <c r="E56" s="83">
        <f>_xlfn.IFNA(VLOOKUP(封面!B1,一般公共预算财政拨款支出决算具体情况!A:Y,25,FALSE),"")</f>
        <v>7462575.3700000001</v>
      </c>
      <c r="F56" s="83"/>
      <c r="G56" s="7" t="s">
        <v>179</v>
      </c>
      <c r="H56" s="84" t="s">
        <v>422</v>
      </c>
      <c r="I56" s="84"/>
      <c r="J56" s="83">
        <f>_xlfn.IFNA(VLOOKUP(封面!B1,一般公共预算财政拨款支出决算具体情况!A:Z,26,FALSE),"")</f>
        <v>7365019.3799999999</v>
      </c>
      <c r="K56" s="83"/>
      <c r="L56" s="11" t="s">
        <v>178</v>
      </c>
    </row>
    <row r="57" spans="1:12" ht="18" customHeight="1">
      <c r="A57" s="15"/>
      <c r="B57" s="15" t="str">
        <f>IF(E56&gt;J56,"增加","减少")</f>
        <v>增加</v>
      </c>
      <c r="C57" s="83">
        <f>ABS(E56-J56)</f>
        <v>97555.990000000224</v>
      </c>
      <c r="D57" s="83"/>
      <c r="E57" s="7" t="s">
        <v>179</v>
      </c>
      <c r="F57" s="15" t="str">
        <f>IF(E56&gt;J56,"增长","下降")</f>
        <v>增长</v>
      </c>
      <c r="G57" s="34">
        <f>IF(J56=0,IF(E56&gt;0,1,""),C57/J56)</f>
        <v>1.324585652346243E-2</v>
      </c>
      <c r="H57" s="7" t="s">
        <v>316</v>
      </c>
    </row>
    <row r="58" spans="1:12" ht="36" customHeight="1">
      <c r="B58" s="89" t="s">
        <v>483</v>
      </c>
      <c r="C58" s="89"/>
      <c r="D58" s="89"/>
      <c r="E58" s="89"/>
      <c r="F58" s="89"/>
      <c r="G58" s="89"/>
      <c r="H58" s="89"/>
      <c r="I58" s="89"/>
      <c r="J58" s="89"/>
      <c r="K58" s="89"/>
      <c r="L58" s="89"/>
    </row>
    <row r="59" spans="1:12" ht="18" customHeight="1">
      <c r="A59" s="85" t="s">
        <v>435</v>
      </c>
      <c r="B59" s="85"/>
      <c r="C59" s="85"/>
      <c r="D59" s="85"/>
      <c r="E59" s="83">
        <f>_xlfn.IFNA(VLOOKUP(封面!B1,一般公共预算财政拨款支出决算具体情况!A:AA,27,FALSE),"")</f>
        <v>0</v>
      </c>
      <c r="F59" s="83"/>
      <c r="G59" s="7" t="s">
        <v>179</v>
      </c>
      <c r="H59" s="84" t="s">
        <v>432</v>
      </c>
      <c r="I59" s="84"/>
      <c r="J59" s="83"/>
      <c r="K59" s="83"/>
      <c r="L59" s="11"/>
    </row>
    <row r="60" spans="1:12" ht="18" customHeight="1">
      <c r="A60" s="90" t="s">
        <v>436</v>
      </c>
      <c r="B60" s="90"/>
      <c r="C60" s="90"/>
      <c r="D60" s="90"/>
      <c r="E60" s="83">
        <f>_xlfn.IFNA(VLOOKUP(封面!B1,一般公共预算财政拨款支出决算具体情况!A:AC,29,FALSE),"")</f>
        <v>3166231.42</v>
      </c>
      <c r="F60" s="83"/>
      <c r="G60" s="7" t="s">
        <v>179</v>
      </c>
      <c r="H60" s="84" t="s">
        <v>422</v>
      </c>
      <c r="I60" s="84"/>
      <c r="J60" s="83">
        <f>_xlfn.IFNA(VLOOKUP(封面!B1,一般公共预算财政拨款支出决算具体情况!A:AD,30,FALSE),"")</f>
        <v>3142249.54</v>
      </c>
      <c r="K60" s="83"/>
      <c r="L60" s="11" t="s">
        <v>178</v>
      </c>
    </row>
    <row r="61" spans="1:12" ht="18" customHeight="1">
      <c r="B61" s="15" t="str">
        <f>IF(E60&gt;J60,"增加","减少")</f>
        <v>增加</v>
      </c>
      <c r="C61" s="83">
        <f>ABS(E60-J60)</f>
        <v>23981.879999999888</v>
      </c>
      <c r="D61" s="83"/>
      <c r="E61" s="7" t="s">
        <v>179</v>
      </c>
      <c r="F61" s="15" t="str">
        <f>IF(E60&gt;J60,"增长","下降")</f>
        <v>增长</v>
      </c>
      <c r="G61" s="34">
        <f>IF(J60=0,IF(E60&gt;0,1,""),C61/J60)</f>
        <v>7.6320736767455741E-3</v>
      </c>
      <c r="H61" s="7" t="s">
        <v>316</v>
      </c>
      <c r="I61" s="11" t="s">
        <v>205</v>
      </c>
    </row>
    <row r="62" spans="1:12" ht="18" customHeight="1">
      <c r="A62" s="85" t="s">
        <v>437</v>
      </c>
      <c r="B62" s="85"/>
      <c r="C62" s="85"/>
      <c r="D62" s="85"/>
      <c r="E62" s="83">
        <f>_xlfn.IFNA(VLOOKUP(封面!B1,一般公共预算财政拨款支出决算具体情况!A:AE,31,FALSE),"")</f>
        <v>3166231.42</v>
      </c>
      <c r="F62" s="83"/>
      <c r="G62" s="7" t="s">
        <v>179</v>
      </c>
      <c r="H62" s="84" t="s">
        <v>422</v>
      </c>
      <c r="I62" s="84"/>
      <c r="J62" s="83">
        <f>_xlfn.IFNA(VLOOKUP(封面!B1,一般公共预算财政拨款支出决算具体情况!A:AF,32,FALSE),"")</f>
        <v>3142249.54</v>
      </c>
      <c r="K62" s="83"/>
      <c r="L62" s="11" t="s">
        <v>178</v>
      </c>
    </row>
    <row r="63" spans="1:12" ht="18" customHeight="1">
      <c r="A63" s="15"/>
      <c r="B63" s="15" t="str">
        <f>IF(E62&gt;J62,"增加","减少")</f>
        <v>增加</v>
      </c>
      <c r="C63" s="83">
        <f>ABS(E62-J62)</f>
        <v>23981.879999999888</v>
      </c>
      <c r="D63" s="83"/>
      <c r="E63" s="7" t="s">
        <v>179</v>
      </c>
      <c r="F63" s="15" t="str">
        <f>IF(E62&gt;J62,"增长","下降")</f>
        <v>增长</v>
      </c>
      <c r="G63" s="34">
        <f>IF(J62=0,IF(E62&gt;0,1,""),C63/J62)</f>
        <v>7.6320736767455741E-3</v>
      </c>
      <c r="H63" s="7" t="s">
        <v>316</v>
      </c>
    </row>
    <row r="64" spans="1:12" ht="36" customHeight="1">
      <c r="B64" s="89" t="s">
        <v>484</v>
      </c>
      <c r="C64" s="89"/>
      <c r="D64" s="89"/>
      <c r="E64" s="89"/>
      <c r="F64" s="89"/>
      <c r="G64" s="89"/>
      <c r="H64" s="89"/>
      <c r="I64" s="89"/>
      <c r="J64" s="89"/>
      <c r="K64" s="89"/>
      <c r="L64" s="89"/>
    </row>
    <row r="65" spans="1:13" ht="18" customHeight="1">
      <c r="A65" s="90" t="s">
        <v>438</v>
      </c>
      <c r="B65" s="90"/>
      <c r="C65" s="90"/>
      <c r="D65" s="90"/>
      <c r="E65" s="83">
        <f>_xlfn.IFNA(VLOOKUP(封面!B1,一般公共预算财政拨款支出决算具体情况!A:AG,33,FALSE),"")</f>
        <v>0</v>
      </c>
      <c r="F65" s="83"/>
      <c r="G65" s="7" t="s">
        <v>179</v>
      </c>
      <c r="H65" s="84" t="s">
        <v>422</v>
      </c>
      <c r="I65" s="84"/>
      <c r="J65" s="83">
        <f>_xlfn.IFNA(VLOOKUP(封面!B1,一般公共预算财政拨款支出决算具体情况!A:AH,34,FALSE),"")</f>
        <v>0</v>
      </c>
      <c r="K65" s="83"/>
      <c r="L65" s="11" t="s">
        <v>178</v>
      </c>
    </row>
    <row r="66" spans="1:13" ht="18" customHeight="1">
      <c r="B66" s="15" t="str">
        <f>IF(E65&gt;J65,"增加","减少")</f>
        <v>减少</v>
      </c>
      <c r="C66" s="83">
        <f>ABS(E65-J65)</f>
        <v>0</v>
      </c>
      <c r="D66" s="83"/>
      <c r="E66" s="7" t="s">
        <v>179</v>
      </c>
      <c r="F66" s="15" t="str">
        <f>IF(E65&gt;J65,"增长","下降")</f>
        <v>下降</v>
      </c>
      <c r="G66" s="34" t="str">
        <f>IF(J65=0,IF(E65&gt;0,1,""),C66/J65)</f>
        <v/>
      </c>
      <c r="H66" s="7" t="s">
        <v>313</v>
      </c>
      <c r="I66" s="11" t="s">
        <v>205</v>
      </c>
    </row>
    <row r="67" spans="1:13" ht="18" customHeight="1">
      <c r="A67" s="85" t="s">
        <v>439</v>
      </c>
      <c r="B67" s="85"/>
      <c r="C67" s="85"/>
      <c r="D67" s="85"/>
      <c r="E67" s="83">
        <f>_xlfn.IFNA(VLOOKUP(封面!B1,一般公共预算财政拨款支出决算具体情况!A:AI,35,FALSE),"")</f>
        <v>0</v>
      </c>
      <c r="F67" s="83"/>
      <c r="G67" s="7" t="s">
        <v>179</v>
      </c>
      <c r="H67" s="84" t="s">
        <v>422</v>
      </c>
      <c r="I67" s="84"/>
      <c r="J67" s="83">
        <f>_xlfn.IFNA(VLOOKUP(封面!B1,一般公共预算财政拨款支出决算具体情况!A:AJ,36,FALSE),"")</f>
        <v>0</v>
      </c>
      <c r="K67" s="83"/>
      <c r="L67" s="11" t="s">
        <v>178</v>
      </c>
    </row>
    <row r="68" spans="1:13" ht="18" customHeight="1">
      <c r="A68" s="58"/>
      <c r="B68" s="15" t="str">
        <f>IF(E67&gt;J67,"增加","减少")</f>
        <v>减少</v>
      </c>
      <c r="C68" s="83">
        <f>ABS(E67-J67)</f>
        <v>0</v>
      </c>
      <c r="D68" s="83"/>
      <c r="E68" s="7" t="s">
        <v>179</v>
      </c>
      <c r="F68" s="15" t="str">
        <f>IF(E67&gt;J67,"增长","下降")</f>
        <v>下降</v>
      </c>
      <c r="G68" s="34" t="str">
        <f>IF(J67=0,IF(E67&gt;0,1,""),C68/J67)</f>
        <v/>
      </c>
      <c r="H68" s="7" t="s">
        <v>313</v>
      </c>
      <c r="I68" s="57"/>
      <c r="J68" s="56"/>
      <c r="K68" s="56"/>
      <c r="L68" s="11"/>
    </row>
    <row r="69" spans="1:13" ht="18" customHeight="1">
      <c r="A69" s="90" t="s">
        <v>473</v>
      </c>
      <c r="B69" s="90"/>
      <c r="C69" s="90"/>
      <c r="D69" s="90"/>
      <c r="E69" s="83">
        <f>_xlfn.IFNA(VLOOKUP(封面!B1,一般公共预算财政拨款支出决算具体情况!A:AK,37,FALSE),"")</f>
        <v>5647850</v>
      </c>
      <c r="F69" s="83"/>
      <c r="G69" s="7" t="s">
        <v>179</v>
      </c>
      <c r="H69" s="84" t="s">
        <v>422</v>
      </c>
      <c r="I69" s="84"/>
      <c r="J69" s="83">
        <f>_xlfn.IFNA(VLOOKUP(封面!B1,一般公共预算财政拨款支出决算具体情况!A:AL,38,FALSE),"")</f>
        <v>5570764.1899999995</v>
      </c>
      <c r="K69" s="83"/>
      <c r="L69" s="11" t="s">
        <v>178</v>
      </c>
    </row>
    <row r="70" spans="1:13" ht="18" customHeight="1">
      <c r="B70" s="15" t="str">
        <f>IF(E69&gt;J69,"增加","减少")</f>
        <v>增加</v>
      </c>
      <c r="C70" s="83">
        <f>ABS(E69-J69)</f>
        <v>77085.810000000522</v>
      </c>
      <c r="D70" s="83"/>
      <c r="E70" s="7" t="s">
        <v>179</v>
      </c>
      <c r="F70" s="15" t="str">
        <f>IF(E69&gt;J69,"增长","下降")</f>
        <v>增长</v>
      </c>
      <c r="G70" s="34">
        <f>IF(J69=0,IF(E69&gt;0,1,""),C70/J69)</f>
        <v>1.3837564716592416E-2</v>
      </c>
      <c r="H70" s="7" t="s">
        <v>316</v>
      </c>
      <c r="I70" s="11" t="s">
        <v>205</v>
      </c>
    </row>
    <row r="71" spans="1:13" ht="18" customHeight="1">
      <c r="A71" s="85" t="s">
        <v>440</v>
      </c>
      <c r="B71" s="85"/>
      <c r="C71" s="85"/>
      <c r="D71" s="85"/>
      <c r="E71" s="83">
        <f>_xlfn.IFNA(VLOOKUP(封面!B1,一般公共预算财政拨款支出决算具体情况!A:AM,39,FALSE),"")</f>
        <v>5647850</v>
      </c>
      <c r="F71" s="83"/>
      <c r="G71" s="7" t="s">
        <v>179</v>
      </c>
      <c r="H71" s="84" t="s">
        <v>422</v>
      </c>
      <c r="I71" s="84"/>
      <c r="J71" s="83">
        <f>_xlfn.IFNA(VLOOKUP(封面!B1,一般公共预算财政拨款支出决算具体情况!A:AN,40,FALSE),"")</f>
        <v>5570764.1899999995</v>
      </c>
      <c r="K71" s="83"/>
      <c r="L71" s="11" t="s">
        <v>178</v>
      </c>
    </row>
    <row r="72" spans="1:13" ht="18" customHeight="1">
      <c r="A72" s="15"/>
      <c r="B72" s="15" t="str">
        <f>IF(E71&gt;J71,"增加","减少")</f>
        <v>增加</v>
      </c>
      <c r="C72" s="83">
        <f>ABS(E71-J71)</f>
        <v>77085.810000000522</v>
      </c>
      <c r="D72" s="83"/>
      <c r="E72" s="7" t="s">
        <v>179</v>
      </c>
      <c r="F72" s="15" t="str">
        <f>IF(E71&gt;J71,"增长","下降")</f>
        <v>增长</v>
      </c>
      <c r="G72" s="34">
        <f>IF(J71=0,IF(E71&gt;0,1,""),C72/J71)</f>
        <v>1.3837564716592416E-2</v>
      </c>
      <c r="H72" s="7" t="s">
        <v>316</v>
      </c>
    </row>
    <row r="73" spans="1:13" ht="36" customHeight="1">
      <c r="B73" s="89" t="s">
        <v>485</v>
      </c>
      <c r="C73" s="89"/>
      <c r="D73" s="89"/>
      <c r="E73" s="89"/>
      <c r="F73" s="89"/>
      <c r="G73" s="89"/>
      <c r="H73" s="89"/>
      <c r="I73" s="89"/>
      <c r="J73" s="89"/>
      <c r="K73" s="89"/>
      <c r="L73" s="89"/>
    </row>
    <row r="74" spans="1:13" ht="18" customHeight="1">
      <c r="A74" s="6" t="s">
        <v>206</v>
      </c>
    </row>
    <row r="75" spans="1:13" ht="18" customHeight="1">
      <c r="A75" s="7" t="str">
        <f>IF(_xlfn.IFNA(VLOOKUP(封面!B1,'2021决算导出'!A:W,23,FALSE),"")=0,"本年度无此项支出。","")</f>
        <v>本年度无此项支出。</v>
      </c>
    </row>
    <row r="76" spans="1:13" ht="18" customHeight="1">
      <c r="A76" s="7" t="s">
        <v>207</v>
      </c>
    </row>
    <row r="77" spans="1:13" ht="18" customHeight="1">
      <c r="A77" s="86" t="s">
        <v>441</v>
      </c>
      <c r="B77" s="86"/>
      <c r="C77" s="86"/>
      <c r="D77" s="86"/>
      <c r="E77" s="86"/>
      <c r="F77" s="83">
        <f>_xlfn.IFNA(VLOOKUP(封面!B1,'2021决算导出'!A:W,23,FALSE),"")</f>
        <v>0</v>
      </c>
      <c r="G77" s="83"/>
      <c r="H77" s="7" t="s">
        <v>179</v>
      </c>
      <c r="I77" s="88" t="s">
        <v>196</v>
      </c>
      <c r="J77" s="88"/>
      <c r="K77" s="88"/>
      <c r="L77" s="88"/>
      <c r="M77" s="88"/>
    </row>
    <row r="78" spans="1:13" ht="18" customHeight="1">
      <c r="A78" s="86" t="s">
        <v>208</v>
      </c>
      <c r="B78" s="86"/>
      <c r="C78" s="86"/>
      <c r="D78" s="83">
        <f>_xlfn.IFNA(VLOOKUP(封面!B1,'2021决算导出'!A:Y,25,FALSE),"")</f>
        <v>0</v>
      </c>
      <c r="E78" s="83"/>
      <c r="F78" s="7" t="s">
        <v>179</v>
      </c>
      <c r="G78" s="84" t="s">
        <v>198</v>
      </c>
      <c r="H78" s="84"/>
      <c r="I78" s="13">
        <v>100</v>
      </c>
      <c r="J78" s="7" t="s">
        <v>183</v>
      </c>
      <c r="K78" s="9"/>
      <c r="L78" s="9"/>
      <c r="M78" s="9"/>
    </row>
    <row r="79" spans="1:13" ht="18" customHeight="1">
      <c r="A79" s="7" t="s">
        <v>209</v>
      </c>
    </row>
    <row r="80" spans="1:13" ht="18" customHeight="1">
      <c r="A80" s="88" t="s">
        <v>442</v>
      </c>
      <c r="B80" s="88"/>
      <c r="C80" s="88"/>
      <c r="D80" s="88"/>
      <c r="E80" s="83">
        <f>_xlfn.IFNA(VLOOKUP(封面!B1,'2021决算导出'!A:Y,25,FALSE),"")</f>
        <v>0</v>
      </c>
      <c r="F80" s="83"/>
      <c r="G80" s="7" t="s">
        <v>179</v>
      </c>
      <c r="H80" s="84" t="s">
        <v>422</v>
      </c>
      <c r="I80" s="84"/>
      <c r="J80" s="83">
        <f>_xlfn.IFNA(VLOOKUP(封面!B1,'2021决算导出'!A:Z,26,FALSE),"")</f>
        <v>0</v>
      </c>
      <c r="K80" s="83"/>
      <c r="L80" s="11" t="s">
        <v>178</v>
      </c>
    </row>
    <row r="81" spans="1:13" ht="18" customHeight="1">
      <c r="B81" s="15" t="str">
        <f>IF(E80&gt;J80,"增加","减少")</f>
        <v>减少</v>
      </c>
      <c r="C81" s="83">
        <f>ABS(E80-J80)</f>
        <v>0</v>
      </c>
      <c r="D81" s="83"/>
      <c r="E81" s="7" t="s">
        <v>179</v>
      </c>
      <c r="F81" s="15" t="str">
        <f>IF(E80&gt;J80,"增长","下降")</f>
        <v>下降</v>
      </c>
      <c r="G81" s="34" t="str">
        <f>IF(J80=0,IF(E80&gt;0,1,""),C81/J80)</f>
        <v/>
      </c>
      <c r="H81" s="7" t="s">
        <v>316</v>
      </c>
      <c r="I81" s="11" t="s">
        <v>205</v>
      </c>
    </row>
    <row r="82" spans="1:13" ht="18" customHeight="1">
      <c r="A82" s="85" t="s">
        <v>443</v>
      </c>
      <c r="B82" s="85"/>
      <c r="C82" s="85"/>
      <c r="D82" s="85"/>
      <c r="E82" s="83">
        <f>E80</f>
        <v>0</v>
      </c>
      <c r="F82" s="83"/>
      <c r="G82" s="7" t="s">
        <v>179</v>
      </c>
      <c r="H82" s="84" t="s">
        <v>422</v>
      </c>
      <c r="I82" s="84"/>
      <c r="J82" s="83">
        <f>J80</f>
        <v>0</v>
      </c>
      <c r="K82" s="83"/>
      <c r="L82" s="11" t="s">
        <v>178</v>
      </c>
    </row>
    <row r="83" spans="1:13" ht="18" customHeight="1">
      <c r="A83" s="15"/>
      <c r="B83" s="15" t="str">
        <f>B81</f>
        <v>减少</v>
      </c>
      <c r="C83" s="83">
        <f>C81</f>
        <v>0</v>
      </c>
      <c r="D83" s="83"/>
      <c r="E83" s="7" t="s">
        <v>179</v>
      </c>
      <c r="F83" s="15" t="str">
        <f>F81</f>
        <v>下降</v>
      </c>
      <c r="G83" s="34" t="str">
        <f>IF(J82=0,IF(E82&gt;0,1,""),C83/J82)</f>
        <v/>
      </c>
      <c r="H83" s="7" t="s">
        <v>316</v>
      </c>
    </row>
    <row r="84" spans="1:13" ht="18" customHeight="1">
      <c r="A84" s="6" t="s">
        <v>210</v>
      </c>
    </row>
    <row r="85" spans="1:13" ht="18" customHeight="1">
      <c r="A85" s="7" t="s">
        <v>211</v>
      </c>
    </row>
    <row r="86" spans="1:13" ht="18" customHeight="1">
      <c r="A86" s="6" t="s">
        <v>212</v>
      </c>
    </row>
    <row r="87" spans="1:13" ht="18" customHeight="1">
      <c r="A87" s="7" t="s">
        <v>444</v>
      </c>
      <c r="G87" s="83">
        <f>_xlfn.IFNA(VLOOKUP(封面!B1,'2021决算导出'!A:AA,27,FALSE),"")</f>
        <v>49721327.149999999</v>
      </c>
      <c r="H87" s="83"/>
      <c r="I87" s="11" t="s">
        <v>179</v>
      </c>
    </row>
    <row r="88" spans="1:13" ht="130.15" customHeight="1">
      <c r="A88" s="89" t="s">
        <v>213</v>
      </c>
      <c r="B88" s="89"/>
      <c r="C88" s="89"/>
      <c r="D88" s="89"/>
      <c r="E88" s="89"/>
      <c r="F88" s="89"/>
      <c r="G88" s="89"/>
      <c r="H88" s="89"/>
      <c r="I88" s="89"/>
      <c r="J88" s="89"/>
      <c r="K88" s="89"/>
      <c r="L88" s="89"/>
      <c r="M88" s="89"/>
    </row>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sheetData>
  <mergeCells count="157">
    <mergeCell ref="G87:H87"/>
    <mergeCell ref="A88:M88"/>
    <mergeCell ref="A4:M4"/>
    <mergeCell ref="A80:D80"/>
    <mergeCell ref="E80:F80"/>
    <mergeCell ref="H80:I80"/>
    <mergeCell ref="J80:K80"/>
    <mergeCell ref="C81:D81"/>
    <mergeCell ref="A82:D82"/>
    <mergeCell ref="E82:F82"/>
    <mergeCell ref="H82:I82"/>
    <mergeCell ref="J82:K82"/>
    <mergeCell ref="B73:L73"/>
    <mergeCell ref="A77:E77"/>
    <mergeCell ref="F77:G77"/>
    <mergeCell ref="I77:M77"/>
    <mergeCell ref="A78:C78"/>
    <mergeCell ref="D78:E78"/>
    <mergeCell ref="G78:H78"/>
    <mergeCell ref="C70:D70"/>
    <mergeCell ref="A71:D71"/>
    <mergeCell ref="E71:F71"/>
    <mergeCell ref="H71:I71"/>
    <mergeCell ref="J71:K71"/>
    <mergeCell ref="C72:D72"/>
    <mergeCell ref="A69:D69"/>
    <mergeCell ref="E69:F69"/>
    <mergeCell ref="H69:I69"/>
    <mergeCell ref="J69:K69"/>
    <mergeCell ref="C83:D83"/>
    <mergeCell ref="E56:F56"/>
    <mergeCell ref="H56:I56"/>
    <mergeCell ref="J56:K56"/>
    <mergeCell ref="C57:D57"/>
    <mergeCell ref="C68:D68"/>
    <mergeCell ref="C66:D66"/>
    <mergeCell ref="H67:I67"/>
    <mergeCell ref="J67:K67"/>
    <mergeCell ref="A60:D60"/>
    <mergeCell ref="E60:F60"/>
    <mergeCell ref="H60:I60"/>
    <mergeCell ref="J60:K60"/>
    <mergeCell ref="C61:D61"/>
    <mergeCell ref="B58:L58"/>
    <mergeCell ref="A59:D59"/>
    <mergeCell ref="A52:D52"/>
    <mergeCell ref="E52:F52"/>
    <mergeCell ref="H52:K52"/>
    <mergeCell ref="A65:D65"/>
    <mergeCell ref="E65:F65"/>
    <mergeCell ref="A67:D67"/>
    <mergeCell ref="E67:F67"/>
    <mergeCell ref="A62:D62"/>
    <mergeCell ref="E62:F62"/>
    <mergeCell ref="H62:I62"/>
    <mergeCell ref="J62:K62"/>
    <mergeCell ref="C63:D63"/>
    <mergeCell ref="B64:L64"/>
    <mergeCell ref="H65:I65"/>
    <mergeCell ref="J65:K65"/>
    <mergeCell ref="H53:K53"/>
    <mergeCell ref="A54:D54"/>
    <mergeCell ref="E54:F54"/>
    <mergeCell ref="H54:I54"/>
    <mergeCell ref="J54:K54"/>
    <mergeCell ref="A53:D53"/>
    <mergeCell ref="E53:F53"/>
    <mergeCell ref="C49:D49"/>
    <mergeCell ref="B50:L50"/>
    <mergeCell ref="A51:D51"/>
    <mergeCell ref="E51:F51"/>
    <mergeCell ref="C46:D46"/>
    <mergeCell ref="B47:L47"/>
    <mergeCell ref="A48:D48"/>
    <mergeCell ref="E48:F48"/>
    <mergeCell ref="H48:I48"/>
    <mergeCell ref="J48:K48"/>
    <mergeCell ref="H51:K51"/>
    <mergeCell ref="C44:D44"/>
    <mergeCell ref="A45:D45"/>
    <mergeCell ref="E45:F45"/>
    <mergeCell ref="H45:I45"/>
    <mergeCell ref="J45:K45"/>
    <mergeCell ref="C42:D42"/>
    <mergeCell ref="A43:D43"/>
    <mergeCell ref="E43:F43"/>
    <mergeCell ref="H43:I43"/>
    <mergeCell ref="J43:K43"/>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A34:D34"/>
    <mergeCell ref="E34:F34"/>
    <mergeCell ref="H34:I34"/>
    <mergeCell ref="J34:K34"/>
    <mergeCell ref="D32:E32"/>
    <mergeCell ref="G32:H32"/>
    <mergeCell ref="A32:C32"/>
    <mergeCell ref="C40:D40"/>
    <mergeCell ref="G31:H31"/>
    <mergeCell ref="G29:H29"/>
    <mergeCell ref="D27:E27"/>
    <mergeCell ref="G27:H27"/>
    <mergeCell ref="D28:E28"/>
    <mergeCell ref="G28:H28"/>
    <mergeCell ref="A29:C29"/>
    <mergeCell ref="A27:C27"/>
    <mergeCell ref="A28:C28"/>
    <mergeCell ref="D29:E29"/>
    <mergeCell ref="A8:C8"/>
    <mergeCell ref="A6:B6"/>
    <mergeCell ref="A17:C17"/>
    <mergeCell ref="A1:M1"/>
    <mergeCell ref="A18:C18"/>
    <mergeCell ref="F18:G18"/>
    <mergeCell ref="A13:C13"/>
    <mergeCell ref="F13:G13"/>
    <mergeCell ref="A14:C14"/>
    <mergeCell ref="F14:G14"/>
    <mergeCell ref="A15:C15"/>
    <mergeCell ref="F15:G15"/>
    <mergeCell ref="E59:F59"/>
    <mergeCell ref="H59:I59"/>
    <mergeCell ref="J59:K59"/>
    <mergeCell ref="C55:D55"/>
    <mergeCell ref="A56:D56"/>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6"/>
  <sheetViews>
    <sheetView workbookViewId="0">
      <selection activeCell="A15" sqref="A15:E16"/>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本年度无此项支出。</v>
      </c>
    </row>
    <row r="4" spans="1:14" ht="18" customHeight="1">
      <c r="A4" s="7" t="s">
        <v>445</v>
      </c>
      <c r="F4" s="83">
        <f>_xlfn.IFNA(VLOOKUP(封面!B1,'2021决算导出'!A:AB,28,FALSE),"")</f>
        <v>0</v>
      </c>
      <c r="G4" s="83"/>
      <c r="H4" s="7" t="s">
        <v>179</v>
      </c>
      <c r="I4" s="7" t="s">
        <v>446</v>
      </c>
    </row>
    <row r="5" spans="1:14" ht="18" customHeight="1">
      <c r="A5" s="92">
        <f>_xlfn.IFNA(VLOOKUP(封面!B1,'2021决算导出'!A:AC,29,FALSE),"")</f>
        <v>0</v>
      </c>
      <c r="B5" s="92"/>
      <c r="C5" s="7" t="s">
        <v>178</v>
      </c>
      <c r="D5" s="30" t="str">
        <f>IF(F4&gt;A5,"增加","减少")</f>
        <v>减少</v>
      </c>
      <c r="E5" s="92">
        <f>ABS(F4-A5)</f>
        <v>0</v>
      </c>
      <c r="F5" s="92"/>
      <c r="G5" s="7" t="s">
        <v>216</v>
      </c>
    </row>
    <row r="6" spans="1:14" ht="18" customHeight="1">
      <c r="A6" s="7" t="s">
        <v>217</v>
      </c>
    </row>
    <row r="7" spans="1:14" ht="18" customHeight="1">
      <c r="A7" s="55" t="s">
        <v>447</v>
      </c>
      <c r="B7" s="19"/>
      <c r="C7" s="19"/>
      <c r="D7" s="19"/>
      <c r="E7" s="19"/>
      <c r="F7" s="19"/>
      <c r="G7" s="19"/>
      <c r="H7" s="19"/>
      <c r="I7" s="19"/>
      <c r="J7" s="19"/>
      <c r="K7" s="19"/>
      <c r="L7" s="19"/>
      <c r="M7" s="19"/>
      <c r="N7" s="19"/>
    </row>
    <row r="8" spans="1:14" ht="18" customHeight="1">
      <c r="A8" s="7" t="s">
        <v>218</v>
      </c>
    </row>
    <row r="9" spans="1:14" ht="39" customHeight="1">
      <c r="A9" s="91" t="s">
        <v>448</v>
      </c>
      <c r="B9" s="91"/>
      <c r="C9" s="91"/>
      <c r="D9" s="91"/>
      <c r="E9" s="91"/>
      <c r="F9" s="91"/>
      <c r="G9" s="91"/>
      <c r="H9" s="91"/>
      <c r="I9" s="91"/>
      <c r="J9" s="91"/>
      <c r="K9" s="91"/>
      <c r="L9" s="91"/>
      <c r="M9" s="91"/>
      <c r="N9" s="91"/>
    </row>
    <row r="10" spans="1:14" ht="18" customHeight="1">
      <c r="A10" s="7" t="s">
        <v>219</v>
      </c>
    </row>
    <row r="11" spans="1:14" ht="18" customHeight="1">
      <c r="A11" s="86" t="s">
        <v>449</v>
      </c>
      <c r="B11" s="86"/>
      <c r="C11" s="35">
        <f>_xlfn.IFNA(VLOOKUP(封面!B1,'2021决算导出'!A:AI,35,FALSE),"")</f>
        <v>0</v>
      </c>
      <c r="D11" s="7" t="s">
        <v>179</v>
      </c>
      <c r="E11" s="86" t="s">
        <v>450</v>
      </c>
      <c r="F11" s="86"/>
      <c r="G11" s="86"/>
      <c r="H11" s="92">
        <f>_xlfn.IFNA(VLOOKUP(封面!B1,'2021决算导出'!A:AJ,36,FALSE),"")</f>
        <v>0</v>
      </c>
      <c r="I11" s="92"/>
      <c r="J11" s="16" t="s">
        <v>178</v>
      </c>
      <c r="K11" s="30" t="str">
        <f>IF(C11&gt;H11,"增加","减少")</f>
        <v>减少</v>
      </c>
      <c r="L11" s="92">
        <f>ABS(C11-H11)</f>
        <v>0</v>
      </c>
      <c r="M11" s="92"/>
      <c r="N11" s="7" t="s">
        <v>215</v>
      </c>
    </row>
    <row r="12" spans="1:14" ht="18" customHeight="1">
      <c r="A12" s="86" t="s">
        <v>451</v>
      </c>
      <c r="B12" s="86"/>
      <c r="C12" s="86"/>
      <c r="D12" s="86"/>
      <c r="E12" s="86"/>
      <c r="F12" s="92">
        <f>_xlfn.IFNA(VLOOKUP(封面!B1,'2021决算导出'!A:AK,37,FALSE),"")</f>
        <v>0</v>
      </c>
      <c r="G12" s="92"/>
      <c r="H12" s="17" t="s">
        <v>179</v>
      </c>
      <c r="I12" s="86" t="s">
        <v>450</v>
      </c>
      <c r="J12" s="86"/>
      <c r="K12" s="86"/>
      <c r="L12" s="92">
        <f>_xlfn.IFNA(VLOOKUP(封面!B1,'2021决算导出'!A:AL,38,FALSE),"")</f>
        <v>0</v>
      </c>
      <c r="M12" s="92"/>
      <c r="N12" s="7" t="s">
        <v>178</v>
      </c>
    </row>
    <row r="13" spans="1:14" ht="18" customHeight="1">
      <c r="A13" s="15" t="str">
        <f>IF(F12&gt;L12,"增加","减少")</f>
        <v>减少</v>
      </c>
      <c r="B13" s="92">
        <f>ABS(F12-L12)</f>
        <v>0</v>
      </c>
      <c r="C13" s="92"/>
      <c r="D13" s="7" t="s">
        <v>215</v>
      </c>
      <c r="H13" s="92"/>
      <c r="I13" s="92"/>
      <c r="J13" s="16"/>
    </row>
    <row r="14" spans="1:14" ht="36" customHeight="1">
      <c r="A14" s="89" t="s">
        <v>486</v>
      </c>
      <c r="B14" s="89"/>
      <c r="C14" s="89"/>
      <c r="D14" s="89"/>
      <c r="E14" s="89"/>
      <c r="F14" s="89"/>
      <c r="G14" s="89"/>
      <c r="H14" s="89"/>
      <c r="I14" s="89"/>
      <c r="J14" s="89"/>
      <c r="K14" s="89"/>
      <c r="L14" s="89"/>
      <c r="M14" s="89"/>
      <c r="N14" s="89"/>
    </row>
    <row r="15" spans="1:14" ht="18" customHeight="1">
      <c r="A15" s="86" t="s">
        <v>452</v>
      </c>
      <c r="B15" s="86"/>
      <c r="C15" s="86"/>
      <c r="D15" s="8">
        <f>_xlfn.IFNA(VLOOKUP(封面!B1,'2021决算导出'!A:AM,39,FALSE),"")</f>
        <v>0</v>
      </c>
      <c r="E15" s="7" t="s">
        <v>220</v>
      </c>
      <c r="F15" s="86" t="s">
        <v>221</v>
      </c>
      <c r="G15" s="86"/>
      <c r="H15" s="92">
        <f>IF(D15=0,0,F12/D15)</f>
        <v>0</v>
      </c>
      <c r="I15" s="92"/>
      <c r="J15" s="7" t="s">
        <v>215</v>
      </c>
    </row>
    <row r="16" spans="1:14" ht="18" customHeight="1">
      <c r="A16" s="84" t="s">
        <v>453</v>
      </c>
      <c r="B16" s="84"/>
      <c r="C16" s="84"/>
      <c r="D16" s="84"/>
      <c r="E16" s="84"/>
      <c r="F16" s="92">
        <f>_xlfn.IFNA(VLOOKUP(封面!B1,'2021决算导出'!A:AO,41,FALSE),"")</f>
        <v>0</v>
      </c>
      <c r="G16" s="92" t="s">
        <v>179</v>
      </c>
      <c r="H16" s="7" t="s">
        <v>179</v>
      </c>
      <c r="I16" s="7" t="s">
        <v>450</v>
      </c>
      <c r="L16" s="92">
        <f>_xlfn.IFNA(VLOOKUP(封面!B1,'2021决算导出'!A:AP,42,FALSE),"")</f>
        <v>0</v>
      </c>
      <c r="M16" s="92" t="s">
        <v>179</v>
      </c>
      <c r="N16" s="7" t="s">
        <v>179</v>
      </c>
    </row>
    <row r="17" spans="1:14" ht="18" customHeight="1">
      <c r="A17" s="15" t="str">
        <f>IF(F16&gt;L16,"增加","减少")</f>
        <v>减少</v>
      </c>
      <c r="B17" s="92">
        <f>ABS(F16-L16)</f>
        <v>0</v>
      </c>
      <c r="C17" s="92"/>
      <c r="D17" s="7" t="s">
        <v>215</v>
      </c>
    </row>
    <row r="18" spans="1:14" ht="36" customHeight="1">
      <c r="A18" s="89" t="s">
        <v>222</v>
      </c>
      <c r="B18" s="89"/>
      <c r="C18" s="89"/>
      <c r="D18" s="89"/>
      <c r="E18" s="89"/>
      <c r="F18" s="89"/>
      <c r="G18" s="89"/>
      <c r="H18" s="89"/>
      <c r="I18" s="89"/>
      <c r="J18" s="89"/>
      <c r="K18" s="89"/>
      <c r="L18" s="89"/>
      <c r="M18" s="89"/>
      <c r="N18" s="89"/>
    </row>
    <row r="19" spans="1:14" ht="18" customHeight="1">
      <c r="A19" s="86" t="s">
        <v>454</v>
      </c>
      <c r="B19" s="86"/>
      <c r="C19" s="86"/>
      <c r="D19" s="86"/>
      <c r="E19" s="86"/>
      <c r="F19" s="86"/>
      <c r="G19" s="92">
        <f>_xlfn.IFNA(VLOOKUP(封面!B1,'2021决算导出'!A:AQ,43,FALSE),"")</f>
        <v>0</v>
      </c>
      <c r="H19" s="92" t="s">
        <v>179</v>
      </c>
      <c r="I19" s="7" t="s">
        <v>179</v>
      </c>
      <c r="J19" s="7" t="s">
        <v>223</v>
      </c>
      <c r="L19" s="92">
        <f>_xlfn.IFNA(VLOOKUP(封面!B1,'2021决算导出'!A:AR,44,FALSE),"")</f>
        <v>0</v>
      </c>
      <c r="M19" s="92" t="s">
        <v>179</v>
      </c>
      <c r="N19" s="7" t="s">
        <v>179</v>
      </c>
    </row>
    <row r="20" spans="1:14" ht="18" customHeight="1">
      <c r="A20" s="86" t="s">
        <v>224</v>
      </c>
      <c r="B20" s="86"/>
      <c r="C20" s="92">
        <f>_xlfn.IFNA(VLOOKUP(封面!B1,'2021决算导出'!A:AS,45,FALSE),"")</f>
        <v>0</v>
      </c>
      <c r="D20" s="92" t="s">
        <v>179</v>
      </c>
      <c r="E20" s="7" t="s">
        <v>179</v>
      </c>
      <c r="F20" s="86" t="s">
        <v>225</v>
      </c>
      <c r="G20" s="86"/>
      <c r="H20" s="86"/>
      <c r="I20" s="92">
        <f>_xlfn.IFNA(VLOOKUP(封面!B1,'2021决算导出'!A:AT,46,FALSE),"")</f>
        <v>0</v>
      </c>
      <c r="J20" s="92" t="s">
        <v>179</v>
      </c>
      <c r="K20" s="7" t="s">
        <v>215</v>
      </c>
    </row>
    <row r="21" spans="1:14" ht="18" customHeight="1">
      <c r="A21" s="86" t="s">
        <v>455</v>
      </c>
      <c r="B21" s="86"/>
      <c r="C21" s="86"/>
      <c r="D21" s="8">
        <f>_xlfn.IFNA(VLOOKUP(封面!B1,'2021决算导出'!A:AU,47,FALSE),"")</f>
        <v>0</v>
      </c>
      <c r="E21" s="88" t="s">
        <v>407</v>
      </c>
      <c r="F21" s="88"/>
      <c r="G21" s="88"/>
      <c r="H21" s="88"/>
      <c r="I21" s="88"/>
      <c r="J21" s="88"/>
      <c r="K21" s="88"/>
      <c r="L21" s="88"/>
      <c r="M21" s="54" t="e">
        <f>F16/D21</f>
        <v>#DIV/0!</v>
      </c>
      <c r="N21" s="7" t="s">
        <v>215</v>
      </c>
    </row>
    <row r="22" spans="1:14" ht="18" customHeight="1">
      <c r="A22" s="6" t="s">
        <v>226</v>
      </c>
    </row>
    <row r="23" spans="1:14" ht="18" customHeight="1">
      <c r="A23" s="7" t="s">
        <v>227</v>
      </c>
    </row>
    <row r="24" spans="1:14" ht="18" customHeight="1">
      <c r="A24" s="6" t="s">
        <v>228</v>
      </c>
    </row>
    <row r="25" spans="1:14" ht="18" customHeight="1">
      <c r="A25" s="86" t="s">
        <v>456</v>
      </c>
      <c r="B25" s="86"/>
      <c r="C25" s="86"/>
      <c r="D25" s="86"/>
      <c r="E25" s="83">
        <f>_xlfn.IFNA(VLOOKUP(封面!B1,'2021决算导出'!A:AW,49,FALSE),"")</f>
        <v>1035473</v>
      </c>
      <c r="F25" s="83"/>
      <c r="G25" s="7" t="s">
        <v>179</v>
      </c>
      <c r="H25" s="86" t="s">
        <v>229</v>
      </c>
      <c r="I25" s="86"/>
      <c r="J25" s="86"/>
      <c r="K25" s="86"/>
      <c r="L25" s="83">
        <f>_xlfn.IFNA(VLOOKUP(封面!B1,'2021决算导出'!A:AX,50,FALSE),"")</f>
        <v>161717</v>
      </c>
      <c r="M25" s="83" t="s">
        <v>179</v>
      </c>
      <c r="N25" s="7" t="s">
        <v>179</v>
      </c>
    </row>
    <row r="26" spans="1:14" ht="18" customHeight="1">
      <c r="A26" s="86" t="s">
        <v>230</v>
      </c>
      <c r="B26" s="86"/>
      <c r="C26" s="86"/>
      <c r="D26" s="83">
        <f>_xlfn.IFNA(VLOOKUP(封面!B1,'2021决算导出'!A:AY,51,FALSE),"")</f>
        <v>0</v>
      </c>
      <c r="E26" s="83" t="s">
        <v>179</v>
      </c>
      <c r="F26" s="7" t="s">
        <v>179</v>
      </c>
      <c r="G26" s="86" t="s">
        <v>231</v>
      </c>
      <c r="H26" s="86"/>
      <c r="I26" s="86"/>
      <c r="J26" s="83">
        <f>_xlfn.IFNA(VLOOKUP(封面!B1,'2021决算导出'!A:AZ,52,FALSE),"")</f>
        <v>873756</v>
      </c>
      <c r="K26" s="83" t="s">
        <v>179</v>
      </c>
      <c r="L26" s="7" t="s">
        <v>215</v>
      </c>
    </row>
    <row r="27" spans="1:14" ht="18" customHeight="1">
      <c r="A27" s="86" t="s">
        <v>232</v>
      </c>
      <c r="B27" s="86"/>
      <c r="C27" s="86"/>
      <c r="D27" s="86"/>
      <c r="E27" s="83">
        <f>_xlfn.IFNA(VLOOKUP(封面!B1,'2021决算导出'!A:BA,53,FALSE),"")</f>
        <v>1035473</v>
      </c>
      <c r="F27" s="83" t="s">
        <v>179</v>
      </c>
      <c r="G27" s="7" t="s">
        <v>179</v>
      </c>
      <c r="H27" s="84" t="s">
        <v>233</v>
      </c>
      <c r="I27" s="84"/>
      <c r="J27" s="84"/>
      <c r="K27" s="29">
        <f>E27/$E$25</f>
        <v>1</v>
      </c>
      <c r="L27" s="18" t="s">
        <v>314</v>
      </c>
      <c r="M27" s="7" t="s">
        <v>408</v>
      </c>
    </row>
    <row r="28" spans="1:14" ht="18" customHeight="1">
      <c r="A28" s="86" t="s">
        <v>234</v>
      </c>
      <c r="B28" s="86"/>
      <c r="C28" s="86"/>
      <c r="D28" s="86"/>
      <c r="E28" s="83">
        <f>_xlfn.IFNA(VLOOKUP(封面!B1,'2021决算导出'!A:BB,54,FALSE),"")</f>
        <v>924573</v>
      </c>
      <c r="F28" s="83" t="s">
        <v>179</v>
      </c>
      <c r="G28" s="7" t="s">
        <v>179</v>
      </c>
      <c r="H28" s="84" t="s">
        <v>233</v>
      </c>
      <c r="I28" s="84"/>
      <c r="J28" s="84"/>
      <c r="K28" s="29">
        <f>E28/$E$25</f>
        <v>0.89289918713476835</v>
      </c>
      <c r="L28" s="18" t="s">
        <v>316</v>
      </c>
    </row>
    <row r="29" spans="1:14" ht="18" customHeight="1">
      <c r="A29" s="6" t="s">
        <v>235</v>
      </c>
    </row>
    <row r="30" spans="1:14" ht="18" customHeight="1">
      <c r="A30" s="86" t="s">
        <v>457</v>
      </c>
      <c r="B30" s="86"/>
      <c r="C30" s="8">
        <f>_xlfn.IFNA(VLOOKUP(封面!B1,'2021决算导出'!A:BC,55,FALSE),"")</f>
        <v>0</v>
      </c>
      <c r="D30" s="7" t="s">
        <v>236</v>
      </c>
      <c r="M30" s="92">
        <f>_xlfn.IFNA(VLOOKUP(封面!B1,'2021决算导出'!A:BD,56,FALSE),"")</f>
        <v>0</v>
      </c>
      <c r="N30" s="92" t="s">
        <v>179</v>
      </c>
    </row>
    <row r="31" spans="1:14" ht="18" customHeight="1">
      <c r="A31" s="12" t="s">
        <v>237</v>
      </c>
      <c r="B31" s="86" t="s">
        <v>238</v>
      </c>
      <c r="C31" s="86"/>
      <c r="D31" s="86"/>
      <c r="E31" s="86"/>
      <c r="F31" s="86"/>
      <c r="G31" s="8">
        <f>_xlfn.IFNA(VLOOKUP(封面!B1,'2021决算导出'!A:BE,57,FALSE),"")</f>
        <v>0</v>
      </c>
      <c r="H31" s="7" t="s">
        <v>239</v>
      </c>
      <c r="J31" s="7" t="s">
        <v>240</v>
      </c>
    </row>
    <row r="32" spans="1:14" ht="18" customHeight="1">
      <c r="A32" s="12">
        <f>_xlfn.IFNA(VLOOKUP(封面!B1,'2021决算导出'!A:BF,58,FALSE),"")</f>
        <v>0</v>
      </c>
      <c r="B32" s="7" t="s">
        <v>241</v>
      </c>
    </row>
    <row r="33" spans="1:14" ht="18" customHeight="1">
      <c r="A33" s="6" t="s">
        <v>242</v>
      </c>
    </row>
    <row r="34" spans="1:14" ht="18" customHeight="1">
      <c r="A34" s="7" t="s">
        <v>243</v>
      </c>
    </row>
    <row r="35" spans="1:14" ht="18" customHeight="1">
      <c r="A35" s="6" t="s">
        <v>244</v>
      </c>
    </row>
    <row r="36" spans="1:14" ht="375.6" customHeight="1">
      <c r="A36" s="89" t="s">
        <v>474</v>
      </c>
      <c r="B36" s="89"/>
      <c r="C36" s="89"/>
      <c r="D36" s="89"/>
      <c r="E36" s="89"/>
      <c r="F36" s="89"/>
      <c r="G36" s="89"/>
      <c r="H36" s="89"/>
      <c r="I36" s="89"/>
      <c r="J36" s="89"/>
      <c r="K36" s="89"/>
      <c r="L36" s="89"/>
      <c r="M36" s="89"/>
      <c r="N36" s="89"/>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N11"/>
  <sheetViews>
    <sheetView zoomScale="90" zoomScaleNormal="90" workbookViewId="0">
      <selection activeCell="A10" sqref="A10:N10"/>
    </sheetView>
  </sheetViews>
  <sheetFormatPr defaultRowHeight="14.25"/>
  <sheetData>
    <row r="10" spans="1:14" ht="54.6" customHeight="1">
      <c r="A10" s="81" t="s">
        <v>476</v>
      </c>
      <c r="B10" s="81"/>
      <c r="C10" s="81"/>
      <c r="D10" s="81"/>
      <c r="E10" s="81"/>
      <c r="F10" s="81"/>
      <c r="G10" s="81"/>
      <c r="H10" s="81"/>
      <c r="I10" s="81"/>
      <c r="J10" s="81"/>
      <c r="K10" s="81"/>
      <c r="L10" s="81"/>
      <c r="M10" s="81"/>
      <c r="N10" s="81"/>
    </row>
    <row r="11" spans="1:14" ht="78" customHeight="1">
      <c r="A11" s="82" t="s">
        <v>477</v>
      </c>
      <c r="B11" s="82"/>
      <c r="C11" s="82"/>
      <c r="D11" s="82"/>
      <c r="E11" s="82"/>
      <c r="F11" s="82"/>
      <c r="G11" s="82"/>
      <c r="H11" s="82"/>
      <c r="I11" s="82"/>
      <c r="J11" s="82"/>
      <c r="K11" s="82"/>
      <c r="L11" s="82"/>
      <c r="M11" s="82"/>
      <c r="N11" s="82"/>
    </row>
  </sheetData>
  <sheetProtection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458</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463</v>
      </c>
      <c r="X1" s="60" t="s">
        <v>464</v>
      </c>
      <c r="Y1" s="22" t="s">
        <v>465</v>
      </c>
      <c r="Z1" s="22" t="s">
        <v>459</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65"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460</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461</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462</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470</v>
      </c>
      <c r="T1" s="76" t="s">
        <v>471</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461</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462</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466</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466</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460</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460</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460</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460</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460</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460</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460</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460</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460</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460</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460</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466</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466</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461</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461</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461</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461</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461</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461</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462</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462</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462</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462</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462</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462</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466</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466</v>
      </c>
      <c r="B23" s="74">
        <v>2060499</v>
      </c>
      <c r="C23" s="74" t="s">
        <v>467</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468</v>
      </c>
      <c r="B34" s="74">
        <v>2120801</v>
      </c>
      <c r="C34" s="74" t="s">
        <v>467</v>
      </c>
      <c r="D34" s="74" t="s">
        <v>469</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2022-08-25T04:56:47Z</cp:lastPrinted>
  <dcterms:created xsi:type="dcterms:W3CDTF">2021-08-26T09:47:38Z</dcterms:created>
  <dcterms:modified xsi:type="dcterms:W3CDTF">2022-08-31T09:39:54Z</dcterms:modified>
</cp:coreProperties>
</file>