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2021年部门决算信息公开\255135-北京市宣武师范学校附属第一小学2021年决算公开及公开自查表(上交版)\"/>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63" i="5"/>
  <c r="J59" i="5"/>
  <c r="E59" i="5"/>
  <c r="J57" i="5"/>
  <c r="E57" i="5"/>
  <c r="J52" i="5"/>
  <c r="J54" i="5"/>
  <c r="E54" i="5"/>
  <c r="E52" i="5"/>
  <c r="J47" i="5"/>
  <c r="E47" i="5"/>
  <c r="J45"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60" i="5" l="1"/>
  <c r="F48" i="5"/>
  <c r="C53" i="5"/>
  <c r="G53" i="5" s="1"/>
  <c r="C58" i="5"/>
  <c r="G58" i="5" s="1"/>
  <c r="F35" i="5"/>
  <c r="F55" i="5"/>
  <c r="C60" i="5"/>
  <c r="G60" i="5" s="1"/>
  <c r="F60" i="5"/>
  <c r="F58" i="5"/>
  <c r="B58" i="5"/>
  <c r="B55" i="5"/>
  <c r="C55" i="5"/>
  <c r="G55" i="5" s="1"/>
  <c r="F53" i="5"/>
  <c r="B53" i="5"/>
  <c r="C48" i="5"/>
  <c r="G48" i="5" s="1"/>
  <c r="F37" i="5"/>
  <c r="F40" i="5"/>
  <c r="F46" i="5"/>
  <c r="B48" i="5"/>
  <c r="B46" i="5"/>
  <c r="C46" i="5"/>
  <c r="G46"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<sst xmlns="http://schemas.openxmlformats.org/spreadsheetml/2006/main" count="4744" uniqueCount="449">
  <si>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</si>
  <si>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</si>
  <si>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</si>
  <si>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</si>
  <si>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</si>
  <si>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</si>
  <si>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</si>
  <si>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</si>
  <si>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</si>
  <si>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</si>
  <si>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</si>
  <si>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</si>
  <si>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</si>
  <si>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</si>
  <si>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</si>
  <si>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</si>
  <si>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</si>
  <si>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</si>
  <si>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</si>
  <si>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</si>
  <si>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</si>
  <si>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</si>
  <si>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</si>
  <si>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</si>
  <si>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</si>
  <si>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</si>
  <si>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</si>
  <si>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</si>
  <si>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</si>
  <si>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</si>
  <si>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</si>
  <si>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</si>
  <si>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</si>
  <si>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</si>
  <si>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</si>
  <si>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</si>
  <si>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</si>
  <si>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</si>
  <si>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</si>
  <si>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</si>
  <si>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</si>
  <si>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</si>
  <si>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</si>
  <si>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</si>
  <si>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</si>
  <si>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</si>
  <si>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</si>
  <si>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</si>
  <si>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</si>
  <si>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</si>
  <si>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</si>
  <si>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</si>
  <si>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</si>
  <si>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</si>
  <si>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</si>
  <si>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</si>
  <si>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</si>
  <si>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</si>
  <si>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</si>
  <si>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</si>
  <si>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</si>
  <si>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</si>
  <si>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</si>
  <si>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</si>
  <si>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</si>
  <si>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</si>
  <si>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</si>
  <si>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</si>
  <si>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</si>
  <si>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</si>
  <si>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</si>
  <si>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</si>
  <si>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</si>
  <si>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</si>
  <si>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</si>
  <si>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</si>
  <si>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</si>
  <si>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</si>
  <si>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</si>
  <si>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</si>
  <si>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</si>
  <si>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</si>
  <si>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</si>
  <si>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</si>
  <si>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</si>
  <si>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</si>
  <si>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</si>
  <si>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</si>
  <si>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</si>
  <si>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</si>
  <si>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</si>
  <si>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</si>
  <si>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</si>
  <si>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</si>
  <si>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</si>
  <si>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</si>
  <si>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</si>
  <si>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</si>
  <si>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</si>
  <si>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</si>
  <si>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</si>
  <si>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</si>
  <si>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</si>
  <si>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</si>
  <si>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</si>
  <si>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</si>
  <si>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</si>
  <si>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</si>
  <si>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</si>
  <si>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</si>
  <si>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</si>
  <si>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</si>
  <si>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</si>
  <si>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</si>
  <si>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</si>
  <si>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</si>
  <si>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</si>
  <si>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</si>
  <si>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</si>
  <si>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</si>
  <si>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</si>
  <si>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</si>
  <si>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</si>
  <si>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</si>
  <si>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</si>
  <si>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</si>
  <si>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</si>
  <si>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</si>
  <si>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</si>
  <si>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</si>
  <si>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</si>
  <si>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</si>
  <si>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</si>
  <si>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</si>
  <si>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</si>
  <si>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</si>
  <si>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</si>
  <si>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</si>
  <si>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</si>
  <si>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</si>
  <si>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</si>
  <si>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</si>
  <si>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</si>
  <si>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</si>
  <si>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</si>
  <si>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</si>
  <si>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</si>
  <si>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</si>
  <si>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</si>
  <si>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</si>
  <si>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</si>
  <si>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</si>
  <si>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</si>
  <si>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</si>
  <si>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</si>
  <si>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</si>
  <si>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</si>
  <si>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</si>
  <si>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</si>
  <si>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</si>
  <si>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</si>
  <si>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</si>
  <si>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</si>
  <si>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</si>
  <si>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</si>
  <si>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</si>
  <si>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</si>
  <si>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</si>
  <si>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</si>
  <si>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</si>
  <si>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</si>
  <si>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</si>
  <si>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</si>
  <si>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</si>
  <si>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</si>
  <si>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</si>
  <si>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</si>
  <si>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</si>
  <si>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</si>
  <si>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</si>
  <si>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</si>
  <si>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</si>
  <si>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</si>
  <si>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</si>
  <si>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</si>
  <si>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</si>
  <si>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</si>
  <si>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</si>
  <si>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</si>
  <si>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</si>
  <si>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</si>
  <si>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</si>
  <si>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</si>
  <si>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</si>
  <si>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</si>
  <si>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</si>
  <si>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</si>
  <si>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</si>
  <si>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</si>
  <si>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</si>
  <si>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</si>
  <si>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</si>
  <si>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</si>
  <si>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</si>
  <si>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</si>
  <si>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</si>
  <si>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</si>
  <si>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</si>
  <si>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</si>
  <si>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</si>
  <si>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</si>
  <si>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</si>
  <si>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</si>
  <si>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</si>
  <si>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</si>
  <si>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</si>
  <si>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</si>
  <si>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</si>
  <si>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</si>
  <si>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</si>
  <si>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</si>
  <si>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</si>
  <si>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</si>
  <si>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</si>
  <si>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</si>
  <si>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</si>
  <si>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</si>
  <si>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</si>
  <si>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</si>
  <si>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</si>
  <si>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</si>
  <si>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</si>
  <si>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</si>
  <si>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</si>
  <si>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</si>
  <si>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</si>
  <si>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</si>
  <si>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</si>
  <si>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</si>
  <si>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</si>
  <si>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</si>
  <si>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</si>
  <si>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</si>
  <si>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</si>
  <si>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</si>
  <si>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</si>
  <si>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</si>
  <si>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</si>
  <si>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</si>
  <si>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</si>
  <si>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</si>
  <si>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</si>
  <si>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</si>
  <si>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</si>
  <si>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</si>
  <si>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</si>
  <si>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</si>
  <si>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</si>
  <si>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</si>
  <si>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</si>
  <si>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</si>
  <si>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</si>
  <si>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</si>
  <si>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</si>
  <si>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</si>
  <si>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</si>
  <si>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</si>
  <si>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</si>
  <si>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</si>
  <si>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</si>
  <si>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</si>
  <si>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</si>
  <si>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</si>
  <si>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</si>
  <si>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</si>
  <si>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</si>
  <si>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</si>
  <si>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</si>
  <si>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</si>
  <si>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</si>
  <si>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</si>
  <si>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</si>
  <si>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</si>
  <si>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</si>
  <si>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</si>
  <si>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</si>
  <si>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</si>
  <si>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</si>
  <si>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</si>
  <si>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</si>
  <si>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</si>
  <si>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</si>
  <si>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</si>
  <si>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</si>
  <si>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</si>
  <si>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</si>
  <si>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</si>
  <si>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</si>
  <si>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</si>
  <si>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</si>
  <si>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</si>
  <si>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</si>
  <si>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</si>
  <si>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</si>
  <si>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</si>
  <si>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</si>
  <si>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</si>
  <si>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</si>
  <si>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</si>
  <si>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</si>
  <si>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</si>
  <si>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</si>
  <si>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</si>
  <si>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</si>
  <si>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</si>
  <si>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</si>
  <si>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</si>
  <si>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</si>
  <si>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</si>
  <si>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</si>
  <si>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</si>
  <si>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</si>
  <si>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</si>
  <si>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</si>
  <si>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</si>
  <si>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</si>
  <si>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</si>
  <si>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</si>
  <si>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</si>
  <si>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</si>
  <si>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</si>
  <si>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</si>
  <si>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</si>
  <si>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</si>
  <si>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</si>
  <si>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</si>
  <si>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</si>
  <si>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</si>
  <si>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</si>
  <si>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</si>
  <si>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</si>
  <si>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</si>
  <si>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</si>
  <si>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</si>
  <si>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</si>
  <si>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</si>
  <si>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</si>
  <si>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</si>
  <si>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</si>
  <si>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</si>
  <si>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</si>
  <si>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</si>
  <si>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</si>
  <si>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</si>
  <si>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</si>
  <si>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</si>
  <si>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</si>
  <si>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</si>
  <si>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</si>
  <si>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</si>
  <si>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</si>
  <si>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</si>
  <si>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</si>
  <si>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</si>
  <si>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</si>
  <si>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</si>
  <si>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</si>
  <si>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</si>
  <si>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</si>
  <si>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</si>
  <si>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</si>
  <si>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</si>
  <si>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</si>
  <si>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</si>
  <si>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</si>
  <si>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</si>
  <si>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</si>
  <si>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</si>
  <si>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</si>
  <si>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</si>
  <si>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</si>
  <si>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</si>
  <si>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</si>
  <si>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</si>
  <si>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</si>
  <si>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</si>
  <si>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</si>
  <si>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</si>
  <si>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</si>
  <si>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</si>
  <si>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</si>
  <si>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</si>
  <si>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</si>
  <si>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</si>
  <si>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</si>
  <si>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</si>
  <si>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</si>
  <si>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</si>
  <si>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</si>
  <si>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</si>
  <si>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</si>
  <si>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</si>
  <si>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</si>
  <si>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</si>
  <si>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</si>
  <si>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</si>
  <si>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</si>
  <si>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</si>
  <si>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</si>
  <si>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</si>
  <si>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</si>
  <si>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2021年年初无预算。</t>
  </si>
  <si>
    <t>行政事业单位养老支出（款）2021年度决算</t>
  </si>
  <si>
    <t>抚恤（款）2021年度决算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</si>
  <si>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</si>
  <si>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</si>
  <si>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</si>
  <si>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</si>
  <si>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</si>
  <si>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</si>
  <si>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</si>
  <si>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</si>
  <si>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</si>
  <si>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</si>
  <si>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</si>
  <si>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</si>
  <si>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</si>
  <si>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</si>
  <si>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</si>
  <si>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</si>
  <si>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</si>
  <si>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</si>
  <si>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</si>
  <si>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</si>
  <si>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</si>
  <si>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</si>
  <si>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</si>
  <si>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学校共有三个校区，师生共计4000余人。多年来学校全面贯彻党的教育方针，落实立德树人的根本任务，着眼建设高质量的教育体系，强化学校教育主阵地作用，坚持学生为本、回应关切，遵循教育规律，着眼学生身心健康成长，自觉从核心区科学发展智力的大格局中去审视、定位教育发展，持续深化教育综合改革，深入推进优质教育资源均衡扩展，不断提升学校教育教学质量和服务水平。
    学校设置三处一室，分别为教学处、德育处、总务处、办公室。
</t>
    <phoneticPr fontId="4" type="noConversion"/>
  </si>
  <si>
    <t>从2021年度整体财政拨款收、支情况看，基本与上年持平，增减变动不大，主要是因为受疫情影响，继续维持上年压减非必要和一般性支出的原则，本年度虽基本建设项目资金有所减少，但由于扩班学生和教师人数的增加，而基本人员公用经费较上年略有增加。</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</si>
  <si>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</si>
  <si>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</si>
  <si>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</si>
  <si>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主要原因是2021年退休人员共去世3人，所以追加抚恤金预算。</t>
    <phoneticPr fontId="4" type="noConversion"/>
  </si>
  <si>
    <t>主要原因是疫情导致部分培训活动无法正常开展，进修及培训余款年底财政全部收回。</t>
    <phoneticPr fontId="4" type="noConversion"/>
  </si>
  <si>
    <t>主要原因是年中安排的扩班、减免教科书、金帆、人员工资等形成的支出，较年初预算有所增加。</t>
    <phoneticPr fontId="4" type="noConversion"/>
  </si>
  <si>
    <t>主要原因是各类项目支出是按照工程及设备购置的实际发生额进行结算的，工程及设备购置项目年初预算余款，年底财政全部收回。</t>
    <phoneticPr fontId="4" type="noConversion"/>
  </si>
  <si>
    <t>主要原因是机关事业单位基本养老保险缴费及职业年金缴费支出是按照实际发生额缴费清算的，年初预算余款，年底财政全部收回。</t>
    <phoneticPr fontId="4" type="noConversion"/>
  </si>
  <si>
    <t>主要原因是事业单位医疗经费支出是按照实际发生额缴费清算的，年初预算余款，年底财政全部收回</t>
    <phoneticPr fontId="4" type="noConversion"/>
  </si>
  <si>
    <t>主要原因是年中追加补发上年新入职及职称变动人员的住房补贴所致。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</si>
</sst>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5">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176" fontId="11" fillId="0" borderId="0" xfId="0" applyNumberFormat="1" applyFont="1" applyFill="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RowHeight="14.25"/>
  <cols>
    <col min="1" max="1" width="16.5" customWidth="1"/>
    <col min="2" max="2" width="12.75" bestFit="1" customWidth="1"/>
  </cols>
  <sheetData>
    <row r="1" spans="1:14" ht="37.9" customHeight="1">
      <c r="A1" s="25" t="s">
        <v>0</v>
      </c>
      <c r="B1" s="26">
        <v>255135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北京市宣武师范学校附属第一小学</v>
      </c>
      <c r="B11" s="71"/>
      <c r="C11" s="71"/>
      <c r="D11" s="71"/>
      <c r="E11" s="71"/>
      <c r="F11" s="71"/>
      <c r="G11" s="71"/>
      <c r="H11" s="71"/>
      <c r="I11" s="71"/>
      <c r="J11" s="71"/>
      <c r="K11" s="71"/>
      <c r="L11" s="71"/>
      <c r="M11" s="71"/>
      <c r="N11" s="1"/>
    </row>
    <row r="12" spans="1:14" ht="72" customHeight="1">
      <c r="A12" s="71" t="s">
        <v>395</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J16" sqref="J16"/>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73" t="s">
        <v>400</v>
      </c>
      <c r="B10" s="73"/>
      <c r="C10" s="73"/>
      <c r="D10" s="73"/>
      <c r="E10" s="73"/>
      <c r="F10" s="73"/>
      <c r="G10" s="73"/>
      <c r="H10" s="73"/>
      <c r="I10" s="73"/>
      <c r="J10" s="73"/>
      <c r="K10" s="73"/>
      <c r="L10" s="73"/>
      <c r="M10" s="73"/>
      <c r="N10" s="73"/>
    </row>
    <row r="11" spans="1:14" ht="78" customHeight="1">
      <c r="A11" s="74" t="s">
        <v>434</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abSelected="1" zoomScaleNormal="100" workbookViewId="0">
      <selection activeCell="D33" sqref="D33"/>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397</v>
      </c>
      <c r="B1" s="73"/>
      <c r="C1" s="73"/>
      <c r="D1" s="73"/>
      <c r="E1" s="73"/>
      <c r="F1" s="73"/>
      <c r="G1" s="73"/>
      <c r="H1" s="73"/>
      <c r="I1" s="73"/>
      <c r="J1" s="73"/>
      <c r="K1" s="73"/>
      <c r="L1" s="73"/>
      <c r="M1" s="73"/>
      <c r="N1" s="51"/>
    </row>
    <row r="2" spans="1:14" ht="18" customHeight="1">
      <c r="A2" s="6" t="s">
        <v>174</v>
      </c>
    </row>
    <row r="3" spans="1:14" ht="18" customHeight="1">
      <c r="A3" s="7" t="s">
        <v>175</v>
      </c>
    </row>
    <row r="4" spans="1:14" ht="96.75" customHeight="1">
      <c r="A4" s="76" t="s">
        <v>437</v>
      </c>
      <c r="B4" s="76"/>
      <c r="C4" s="76"/>
      <c r="D4" s="76"/>
      <c r="E4" s="76"/>
      <c r="F4" s="76"/>
      <c r="G4" s="76"/>
      <c r="H4" s="76"/>
      <c r="I4" s="76"/>
      <c r="J4" s="76"/>
      <c r="K4" s="76"/>
      <c r="L4" s="76"/>
      <c r="M4" s="76"/>
      <c r="N4" s="17"/>
    </row>
    <row r="5" spans="1:14" ht="18" customHeight="1">
      <c r="A5" s="7" t="s">
        <v>176</v>
      </c>
    </row>
    <row r="6" spans="1:14" ht="18" customHeight="1">
      <c r="A6" s="81" t="s">
        <v>231</v>
      </c>
      <c r="B6" s="81"/>
      <c r="C6" s="10">
        <v>249</v>
      </c>
      <c r="D6" s="10" t="s">
        <v>233</v>
      </c>
      <c r="E6" s="8">
        <f>_xlfn.IFNA(VLOOKUP(封面!B1,'2021决算导出'!A:C,3,FALSE),"")</f>
        <v>241</v>
      </c>
      <c r="F6" s="10" t="s">
        <v>234</v>
      </c>
      <c r="G6" s="10"/>
      <c r="H6" s="10"/>
      <c r="I6" s="10"/>
      <c r="J6" s="10"/>
      <c r="K6" s="10"/>
      <c r="L6" s="10"/>
      <c r="M6" s="10"/>
      <c r="N6" s="10"/>
    </row>
    <row r="7" spans="1:14" ht="18" customHeight="1">
      <c r="A7" s="6" t="s">
        <v>177</v>
      </c>
    </row>
    <row r="8" spans="1:14" ht="18" customHeight="1">
      <c r="A8" s="81" t="s">
        <v>401</v>
      </c>
      <c r="B8" s="81"/>
      <c r="C8" s="81"/>
      <c r="D8" s="13">
        <f>_xlfn.IFNA(VLOOKUP(封面!B1,'2021决算导出'!A:D,4,FALSE),"")</f>
        <v>104156195.68000001</v>
      </c>
      <c r="E8" s="7" t="s">
        <v>179</v>
      </c>
      <c r="F8" s="18" t="s">
        <v>235</v>
      </c>
      <c r="G8" s="28" t="str">
        <f>IF(ISNA(VLOOKUP(封面!B1,'2020决算导出'!A:D,4,FALSE)),"",IF(D8-VLOOKUP(封面!B1,'2020决算导出'!A:D,4,FALSE)&gt;0,"增加","减少"))</f>
        <v>增加</v>
      </c>
      <c r="H8" s="31">
        <f>IF(ISNA(VLOOKUP(封面!B1,'2020决算导出'!A:D,4,FALSE)),"",IF(D8-VLOOKUP(封面!B1,'2020决算导出'!A:D,4,FALSE)&gt;0,D8-VLOOKUP(封面!B1,'2020决算导出'!A:D,4,FALSE),VLOOKUP(封面!B1,'2020决算导出'!A:D,4,FALSE)-D8))</f>
        <v>595570.77000001073</v>
      </c>
      <c r="I8" s="15" t="s">
        <v>179</v>
      </c>
      <c r="J8" s="28" t="str">
        <f>IF(ISNA(VLOOKUP(封面!B1,'2020决算导出'!A:D,4,FALSE)),"",IF(D8-VLOOKUP(封面!B1,'2020决算导出'!A:D,4,FALSE)&gt;0,"增长","下降"))</f>
        <v>增长</v>
      </c>
      <c r="K8" s="29">
        <f>IF(ISNA(VLOOKUP(封面!B1,'2020决算导出'!A:D,4,FALSE)),"",H8/VLOOKUP(封面!B1,'2020决算导出'!A:D,4,FALSE))</f>
        <v>5.7509383563260187E-3</v>
      </c>
      <c r="L8" s="7" t="s">
        <v>299</v>
      </c>
    </row>
    <row r="9" spans="1:14" ht="18" customHeight="1">
      <c r="A9" s="7" t="s">
        <v>180</v>
      </c>
      <c r="G9" s="30"/>
      <c r="H9" s="30"/>
      <c r="I9" s="30"/>
      <c r="J9" s="30"/>
      <c r="K9" s="30"/>
    </row>
    <row r="10" spans="1:14" ht="18" customHeight="1">
      <c r="A10" s="81" t="s">
        <v>402</v>
      </c>
      <c r="B10" s="81"/>
      <c r="C10" s="81"/>
      <c r="D10" s="13">
        <f>_xlfn.IFNA(VLOOKUP(封面!B1,'2021决算导出'!A:E,5,FALSE),"")</f>
        <v>104156195.68000001</v>
      </c>
      <c r="E10" s="7" t="s">
        <v>179</v>
      </c>
      <c r="F10" s="18" t="s">
        <v>235</v>
      </c>
      <c r="G10" s="28" t="str">
        <f>IF(ISNA(VLOOKUP(封面!B1,'2020决算导出'!A:E,5,FALSE)),"",IF(D10-VLOOKUP(封面!B1,'2020决算导出'!A:E,5,FALSE)&gt;0,"增加","减少"))</f>
        <v>增加</v>
      </c>
      <c r="H10" s="31">
        <f>IF(ISNA(VLOOKUP(封面!B1,'2020决算导出'!A:E,5,FALSE)),"",IF(D10-VLOOKUP(封面!B1,'2020决算导出'!A:E,5,FALSE)&gt;0,D10-VLOOKUP(封面!B1,'2020决算导出'!A:E,5,FALSE),VLOOKUP(封面!B1,'2020决算导出'!A:E,5,FALSE)-D10))</f>
        <v>595570.77000001073</v>
      </c>
      <c r="I10" s="15" t="s">
        <v>179</v>
      </c>
      <c r="J10" s="28" t="str">
        <f>IF(ISNA(VLOOKUP(封面!B1,'2020决算导出'!A:E,5,FALSE)),"",IF(D10-VLOOKUP(封面!B1,'2020决算导出'!A:E,5,FALSE)&gt;0,"增长","下降"))</f>
        <v>增长</v>
      </c>
      <c r="K10" s="29">
        <f>IF(ISNA(VLOOKUP(封面!B1,'2020决算导出'!A:E,5,FALSE)),"",H10/VLOOKUP(封面!B1,'2020决算导出'!A:E,5,FALSE))</f>
        <v>5.7509383563260187E-3</v>
      </c>
      <c r="L10" s="7" t="s">
        <v>300</v>
      </c>
    </row>
    <row r="11" spans="1:14" ht="18" customHeight="1">
      <c r="A11" s="81" t="s">
        <v>181</v>
      </c>
      <c r="B11" s="81"/>
      <c r="C11" s="81"/>
      <c r="D11" s="13">
        <f>_xlfn.IFNA(VLOOKUP(封面!B1,'2021决算导出'!A:F,6,FALSE),"")</f>
        <v>104156195.68000001</v>
      </c>
      <c r="E11" s="7" t="s">
        <v>179</v>
      </c>
      <c r="F11" s="81" t="s">
        <v>182</v>
      </c>
      <c r="G11" s="81"/>
      <c r="H11" s="27">
        <f>D11/$D$10</f>
        <v>1</v>
      </c>
      <c r="I11" s="7" t="s">
        <v>301</v>
      </c>
    </row>
    <row r="12" spans="1:14" ht="18" customHeight="1">
      <c r="A12" s="81" t="s">
        <v>183</v>
      </c>
      <c r="B12" s="81"/>
      <c r="C12" s="81"/>
      <c r="D12" s="13">
        <f>_xlfn.IFNA(VLOOKUP(封面!B1,'2021决算导出'!A:G,7,FALSE),"")</f>
        <v>0</v>
      </c>
      <c r="E12" s="7" t="s">
        <v>179</v>
      </c>
      <c r="F12" s="81" t="s">
        <v>182</v>
      </c>
      <c r="G12" s="81"/>
      <c r="H12" s="27">
        <f t="shared" ref="H12:H15" si="0">D12/$D$10</f>
        <v>0</v>
      </c>
      <c r="I12" s="7" t="s">
        <v>301</v>
      </c>
    </row>
    <row r="13" spans="1:14" ht="18" customHeight="1">
      <c r="A13" s="81" t="s">
        <v>184</v>
      </c>
      <c r="B13" s="81"/>
      <c r="C13" s="81"/>
      <c r="D13" s="13">
        <f>_xlfn.IFNA(VLOOKUP(封面!B1,'2021决算导出'!A:H,8,FALSE),"")</f>
        <v>0</v>
      </c>
      <c r="E13" s="7" t="s">
        <v>179</v>
      </c>
      <c r="F13" s="81" t="s">
        <v>182</v>
      </c>
      <c r="G13" s="81"/>
      <c r="H13" s="27">
        <f t="shared" si="0"/>
        <v>0</v>
      </c>
      <c r="I13" s="7" t="s">
        <v>301</v>
      </c>
    </row>
    <row r="14" spans="1:14" ht="18" customHeight="1">
      <c r="A14" s="81" t="s">
        <v>185</v>
      </c>
      <c r="B14" s="81"/>
      <c r="C14" s="81"/>
      <c r="D14" s="13">
        <f>_xlfn.IFNA(VLOOKUP(封面!B1,'2021决算导出'!A:I,9,FALSE),"")</f>
        <v>0</v>
      </c>
      <c r="E14" s="7" t="s">
        <v>179</v>
      </c>
      <c r="F14" s="81" t="s">
        <v>182</v>
      </c>
      <c r="G14" s="81"/>
      <c r="H14" s="27">
        <f t="shared" si="0"/>
        <v>0</v>
      </c>
      <c r="I14" s="7" t="s">
        <v>301</v>
      </c>
    </row>
    <row r="15" spans="1:14" ht="18" customHeight="1">
      <c r="A15" s="81" t="s">
        <v>186</v>
      </c>
      <c r="B15" s="81"/>
      <c r="C15" s="81"/>
      <c r="D15" s="13">
        <f>_xlfn.IFNA(VLOOKUP(封面!B1,'2021决算导出'!A:J,10,FALSE),"")</f>
        <v>0</v>
      </c>
      <c r="E15" s="7" t="s">
        <v>179</v>
      </c>
      <c r="F15" s="81" t="s">
        <v>182</v>
      </c>
      <c r="G15" s="81"/>
      <c r="H15" s="27">
        <f t="shared" si="0"/>
        <v>0</v>
      </c>
      <c r="I15" s="7" t="s">
        <v>302</v>
      </c>
    </row>
    <row r="16" spans="1:14" ht="18" customHeight="1">
      <c r="A16" s="7" t="s">
        <v>187</v>
      </c>
    </row>
    <row r="17" spans="1:13" ht="18" customHeight="1">
      <c r="A17" s="81" t="s">
        <v>403</v>
      </c>
      <c r="B17" s="81"/>
      <c r="C17" s="81"/>
      <c r="D17" s="13">
        <f>_xlfn.IFNA(VLOOKUP(封面!B1,'2021决算导出'!A:K,11,FALSE),"")</f>
        <v>103924343.48</v>
      </c>
      <c r="E17" s="7" t="s">
        <v>179</v>
      </c>
      <c r="F17" s="18" t="s">
        <v>235</v>
      </c>
      <c r="G17" s="28" t="str">
        <f>IF(ISNA(VLOOKUP(封面!B1,'2020决算导出'!A:K,11,FALSE)),"",IF(D17-VLOOKUP(封面!B1,'2020决算导出'!A:K,11,FALSE)&gt;0,"增加","减少"))</f>
        <v>增加</v>
      </c>
      <c r="H17" s="31">
        <f>IF(ISNA(VLOOKUP(封面!B1,'2020决算导出'!A:K,11,FALSE)),"",IF(D17-VLOOKUP(封面!B1,'2020决算导出'!A:K,11,FALSE)&gt;0,D17-VLOOKUP(封面!B1,'2020决算导出'!A:K,11,FALSE),VLOOKUP(封面!B1,'2020决算导出'!A:K,11,FALSE)-D17))</f>
        <v>363718.57000000775</v>
      </c>
      <c r="I17" s="7" t="s">
        <v>179</v>
      </c>
      <c r="J17" s="28" t="str">
        <f>IF(ISNA(VLOOKUP(封面!B1,'2020决算导出'!A:K,11,FALSE)),"",IF(D17-VLOOKUP(封面!B1,'2020决算导出'!A:K,11,FALSE)&gt;0,"增长","下降"))</f>
        <v>增长</v>
      </c>
      <c r="K17" s="29">
        <f>IF(ISNA(VLOOKUP(封面!B1,'2020决算导出'!A:K,11,FALSE)),"",H17/VLOOKUP(封面!B1,'2020决算导出'!A:K,11,FALSE))</f>
        <v>3.5121318581854796E-3</v>
      </c>
      <c r="L17" s="7" t="s">
        <v>303</v>
      </c>
    </row>
    <row r="18" spans="1:13" ht="18" customHeight="1">
      <c r="A18" s="81" t="s">
        <v>188</v>
      </c>
      <c r="B18" s="81"/>
      <c r="C18" s="81"/>
      <c r="D18" s="13">
        <f>_xlfn.IFNA(VLOOKUP(封面!B1,'2021决算导出'!A:L,12,FALSE),"")</f>
        <v>96778402.579999998</v>
      </c>
      <c r="E18" s="7" t="s">
        <v>179</v>
      </c>
      <c r="F18" s="81" t="s">
        <v>189</v>
      </c>
      <c r="G18" s="81"/>
      <c r="H18" s="27">
        <f>D18/$D$17</f>
        <v>0.9312390084872153</v>
      </c>
      <c r="I18" s="7" t="s">
        <v>301</v>
      </c>
    </row>
    <row r="19" spans="1:13" ht="18" customHeight="1">
      <c r="A19" s="81" t="s">
        <v>190</v>
      </c>
      <c r="B19" s="81"/>
      <c r="C19" s="81"/>
      <c r="D19" s="13">
        <f>_xlfn.IFNA(VLOOKUP(封面!B1,'2021决算导出'!A:M,13,FALSE),"")</f>
        <v>7145940.9000000004</v>
      </c>
      <c r="E19" s="7" t="s">
        <v>179</v>
      </c>
      <c r="F19" s="81" t="s">
        <v>189</v>
      </c>
      <c r="G19" s="81"/>
      <c r="H19" s="27">
        <f t="shared" ref="H19:H20" si="1">D19/$D$17</f>
        <v>6.8760991512784683E-2</v>
      </c>
      <c r="I19" s="7" t="s">
        <v>301</v>
      </c>
    </row>
    <row r="20" spans="1:13" ht="18" customHeight="1">
      <c r="A20" s="81" t="s">
        <v>191</v>
      </c>
      <c r="B20" s="81"/>
      <c r="C20" s="81"/>
      <c r="D20" s="13">
        <f>_xlfn.IFNA(VLOOKUP(封面!B1,'2021决算导出'!A:N,14,FALSE),"")</f>
        <v>0</v>
      </c>
      <c r="E20" s="7" t="s">
        <v>179</v>
      </c>
      <c r="F20" s="81" t="s">
        <v>189</v>
      </c>
      <c r="G20" s="81"/>
      <c r="H20" s="27">
        <f t="shared" si="1"/>
        <v>0</v>
      </c>
      <c r="I20" s="7" t="s">
        <v>302</v>
      </c>
    </row>
    <row r="21" spans="1:13" ht="18" customHeight="1">
      <c r="A21" s="6" t="s">
        <v>192</v>
      </c>
    </row>
    <row r="22" spans="1:13" ht="18" customHeight="1">
      <c r="A22" s="81" t="s">
        <v>404</v>
      </c>
      <c r="B22" s="81"/>
      <c r="C22" s="81"/>
      <c r="D22" s="81"/>
      <c r="E22" s="75">
        <f>_xlfn.IFNA(VLOOKUP(封面!B1,'2021决算导出'!A:O,15,FALSE),"")</f>
        <v>104156195.68000001</v>
      </c>
      <c r="F22" s="75"/>
      <c r="G22" s="14" t="s">
        <v>235</v>
      </c>
      <c r="H22" s="28" t="str">
        <f>IF(ISNA(VLOOKUP(封面!B1,'2020决算导出'!A:O,15,FALSE)),"",IF(E22-VLOOKUP(封面!B1,'2020决算导出'!A:O,15,FALSE)&gt;0,"增加","减少"))</f>
        <v>增加</v>
      </c>
      <c r="I22" s="31">
        <f>IF(ISNA(VLOOKUP(封面!B1,'2020决算导出'!A:O,15,FALSE)),"",IF(E22-VLOOKUP(封面!B1,'2020决算导出'!A:O,15,FALSE)&gt;0,E22-VLOOKUP(封面!B1,'2020决算导出'!A:O,15,FALSE),VLOOKUP(封面!B1,'2020决算导出'!A:O,15,FALSE)-E22))</f>
        <v>595570.77000001073</v>
      </c>
      <c r="J22" s="7" t="s">
        <v>179</v>
      </c>
      <c r="K22" s="28" t="str">
        <f>IF(ISNA(VLOOKUP(封面!B1,'2020决算导出'!A:O,15,FALSE)),"",IF(E22-VLOOKUP(封面!B1,'2020决算导出'!A:O,15,FALSE)&gt;0,"增长","下降"))</f>
        <v>增长</v>
      </c>
      <c r="L22" s="29">
        <f>IF(ISNA(VLOOKUP(封面!B1,'2020决算导出'!A:O,15,FALSE)),"",I22/VLOOKUP(封面!B1,'2020决算导出'!A:O,15,FALSE))</f>
        <v>5.7509383563260187E-3</v>
      </c>
      <c r="M22" s="7" t="s">
        <v>299</v>
      </c>
    </row>
    <row r="23" spans="1:13" ht="59.25" customHeight="1">
      <c r="B23" s="83" t="s">
        <v>438</v>
      </c>
      <c r="C23" s="83"/>
      <c r="D23" s="83"/>
      <c r="E23" s="83"/>
      <c r="F23" s="83"/>
      <c r="G23" s="83"/>
      <c r="H23" s="83"/>
      <c r="I23" s="83"/>
      <c r="J23" s="83"/>
      <c r="K23" s="83"/>
      <c r="L23" s="83"/>
      <c r="M23" s="83"/>
    </row>
    <row r="24" spans="1:13" ht="18" customHeight="1">
      <c r="A24" s="6" t="s">
        <v>193</v>
      </c>
    </row>
    <row r="25" spans="1:13" ht="18" customHeight="1">
      <c r="A25" s="7" t="s">
        <v>194</v>
      </c>
    </row>
    <row r="26" spans="1:13" ht="18" customHeight="1">
      <c r="A26" s="81" t="s">
        <v>405</v>
      </c>
      <c r="B26" s="81"/>
      <c r="C26" s="81"/>
      <c r="D26" s="81"/>
      <c r="E26" s="81"/>
      <c r="F26" s="75">
        <f>_xlfn.IFNA(VLOOKUP(封面!B1,'2021决算导出'!A:P,16,FALSE),"")</f>
        <v>103924343.48</v>
      </c>
      <c r="G26" s="75"/>
      <c r="H26" s="7" t="s">
        <v>179</v>
      </c>
      <c r="I26" s="10" t="s">
        <v>195</v>
      </c>
      <c r="J26" s="10"/>
      <c r="K26" s="10"/>
      <c r="L26" s="10"/>
      <c r="M26" s="10"/>
    </row>
    <row r="27" spans="1:13" ht="18" customHeight="1">
      <c r="A27" s="81" t="s">
        <v>198</v>
      </c>
      <c r="B27" s="81"/>
      <c r="C27" s="81"/>
      <c r="D27" s="75">
        <f>_xlfn.IFNA(VLOOKUP(封面!B1,'2021决算导出'!A:Q,17,FALSE),"")</f>
        <v>72710950.390000001</v>
      </c>
      <c r="E27" s="75"/>
      <c r="F27" s="7" t="s">
        <v>179</v>
      </c>
      <c r="G27" s="78" t="s">
        <v>197</v>
      </c>
      <c r="H27" s="78"/>
      <c r="I27" s="27">
        <f>D27/$F$26</f>
        <v>0.69965272769794362</v>
      </c>
      <c r="J27" s="7" t="s">
        <v>301</v>
      </c>
      <c r="K27" s="9"/>
      <c r="L27" s="9"/>
      <c r="M27" s="9"/>
    </row>
    <row r="28" spans="1:13" ht="18" customHeight="1">
      <c r="A28" s="81" t="s">
        <v>199</v>
      </c>
      <c r="B28" s="81"/>
      <c r="C28" s="81"/>
      <c r="D28" s="75">
        <f>_xlfn.IFNA(VLOOKUP(封面!B1,'2021决算导出'!A:R,18,FALSE),"")</f>
        <v>0</v>
      </c>
      <c r="E28" s="75"/>
      <c r="F28" s="7" t="s">
        <v>179</v>
      </c>
      <c r="G28" s="78" t="s">
        <v>197</v>
      </c>
      <c r="H28" s="78"/>
      <c r="I28" s="27">
        <f t="shared" ref="I28:I32" si="2">D28/$F$26</f>
        <v>0</v>
      </c>
      <c r="J28" s="7" t="s">
        <v>301</v>
      </c>
      <c r="K28" s="9"/>
      <c r="L28" s="9"/>
      <c r="M28" s="9"/>
    </row>
    <row r="29" spans="1:13" ht="18" customHeight="1">
      <c r="A29" s="81" t="s">
        <v>196</v>
      </c>
      <c r="B29" s="81"/>
      <c r="C29" s="81"/>
      <c r="D29" s="75">
        <f>_xlfn.IFNA(VLOOKUP(封面!B1,'2021决算导出'!A:S,19,FALSE),"")</f>
        <v>13797433.83</v>
      </c>
      <c r="E29" s="75"/>
      <c r="F29" s="7" t="s">
        <v>179</v>
      </c>
      <c r="G29" s="78" t="s">
        <v>197</v>
      </c>
      <c r="H29" s="78"/>
      <c r="I29" s="27">
        <f t="shared" si="2"/>
        <v>0.13276421450432627</v>
      </c>
      <c r="J29" s="7" t="s">
        <v>301</v>
      </c>
    </row>
    <row r="30" spans="1:13" ht="18" customHeight="1">
      <c r="A30" s="81" t="s">
        <v>200</v>
      </c>
      <c r="B30" s="81"/>
      <c r="C30" s="81"/>
      <c r="D30" s="75">
        <f>_xlfn.IFNA(VLOOKUP(封面!B1,'2021决算导出'!A:T,20,FALSE),"")</f>
        <v>5866737.2599999998</v>
      </c>
      <c r="E30" s="75"/>
      <c r="F30" s="7" t="s">
        <v>179</v>
      </c>
      <c r="G30" s="78" t="s">
        <v>197</v>
      </c>
      <c r="H30" s="78"/>
      <c r="I30" s="27">
        <f t="shared" si="2"/>
        <v>5.6452002134889982E-2</v>
      </c>
      <c r="J30" s="7" t="s">
        <v>301</v>
      </c>
    </row>
    <row r="31" spans="1:13" ht="18" customHeight="1">
      <c r="A31" s="81" t="s">
        <v>201</v>
      </c>
      <c r="B31" s="81"/>
      <c r="C31" s="81"/>
      <c r="D31" s="75">
        <f>_xlfn.IFNA(VLOOKUP(封面!B1,'2021决算导出'!A:U,21,FALSE),"")</f>
        <v>0</v>
      </c>
      <c r="E31" s="75"/>
      <c r="F31" s="7" t="s">
        <v>179</v>
      </c>
      <c r="G31" s="78" t="s">
        <v>197</v>
      </c>
      <c r="H31" s="78"/>
      <c r="I31" s="27">
        <f t="shared" si="2"/>
        <v>0</v>
      </c>
      <c r="J31" s="7" t="s">
        <v>301</v>
      </c>
    </row>
    <row r="32" spans="1:13" ht="18" customHeight="1">
      <c r="A32" s="81" t="s">
        <v>202</v>
      </c>
      <c r="B32" s="81"/>
      <c r="C32" s="81"/>
      <c r="D32" s="75">
        <f>_xlfn.IFNA(VLOOKUP(封面!B1,'2021决算导出'!A:V,22,FALSE),"")</f>
        <v>11549222</v>
      </c>
      <c r="E32" s="75"/>
      <c r="F32" s="7" t="s">
        <v>179</v>
      </c>
      <c r="G32" s="78" t="s">
        <v>197</v>
      </c>
      <c r="H32" s="78"/>
      <c r="I32" s="27">
        <f t="shared" si="2"/>
        <v>0.11113105566284015</v>
      </c>
      <c r="J32" s="7" t="s">
        <v>301</v>
      </c>
    </row>
    <row r="33" spans="1:12" ht="18" customHeight="1">
      <c r="A33" s="7" t="s">
        <v>203</v>
      </c>
    </row>
    <row r="34" spans="1:12" ht="18" customHeight="1">
      <c r="A34" s="82" t="s">
        <v>406</v>
      </c>
      <c r="B34" s="82"/>
      <c r="C34" s="82"/>
      <c r="D34" s="82"/>
      <c r="E34" s="80">
        <f>_xlfn.IFNA(VLOOKUP(封面!B1,一般公共预算财政拨款支出决算具体情况!A:C,3,FALSE),"")</f>
        <v>72710950.389999986</v>
      </c>
      <c r="F34" s="80"/>
      <c r="G34" s="7" t="s">
        <v>179</v>
      </c>
      <c r="H34" s="78" t="s">
        <v>407</v>
      </c>
      <c r="I34" s="78"/>
      <c r="J34" s="75">
        <f>_xlfn.IFNA(VLOOKUP(封面!B1,一般公共预算财政拨款支出决算具体情况!A:D,4,FALSE),"")</f>
        <v>69518699.689999998</v>
      </c>
      <c r="K34" s="75"/>
      <c r="L34" s="11" t="s">
        <v>178</v>
      </c>
    </row>
    <row r="35" spans="1:12" ht="18" customHeight="1">
      <c r="B35" s="14" t="str">
        <f>IF(E34&gt;J34,"增加","减少")</f>
        <v>增加</v>
      </c>
      <c r="C35" s="75">
        <f>ABS(E34-J34)</f>
        <v>3192250.6999999881</v>
      </c>
      <c r="D35" s="75"/>
      <c r="E35" s="7" t="s">
        <v>179</v>
      </c>
      <c r="F35" s="14" t="str">
        <f>IF(E34&gt;J34,"增长","下降")</f>
        <v>增长</v>
      </c>
      <c r="G35" s="32">
        <f>IF(J34=0,IF(E34&gt;0,1,""),C35/J34)</f>
        <v>4.5919309685523095E-2</v>
      </c>
      <c r="H35" s="7" t="s">
        <v>302</v>
      </c>
      <c r="I35" s="11" t="s">
        <v>204</v>
      </c>
    </row>
    <row r="36" spans="1:12" ht="18" customHeight="1">
      <c r="A36" s="81" t="s">
        <v>408</v>
      </c>
      <c r="B36" s="81"/>
      <c r="C36" s="81"/>
      <c r="D36" s="81"/>
      <c r="E36" s="75">
        <f>_xlfn.IFNA(VLOOKUP(封面!B1,一般公共预算财政拨款支出决算具体情况!A:E,5,FALSE),"")</f>
        <v>71993189.289999992</v>
      </c>
      <c r="F36" s="75"/>
      <c r="G36" s="7" t="s">
        <v>179</v>
      </c>
      <c r="H36" s="78" t="s">
        <v>407</v>
      </c>
      <c r="I36" s="78"/>
      <c r="J36" s="75">
        <f>_xlfn.IFNA(VLOOKUP(封面!B1,一般公共预算财政拨款支出决算具体情况!A:F,6,FALSE),"")</f>
        <v>68602299.689999998</v>
      </c>
      <c r="K36" s="75"/>
      <c r="L36" s="11" t="s">
        <v>178</v>
      </c>
    </row>
    <row r="37" spans="1:12" ht="18" customHeight="1">
      <c r="A37" s="14"/>
      <c r="B37" s="14" t="str">
        <f>IF(E36&gt;J36,"增加","减少")</f>
        <v>增加</v>
      </c>
      <c r="C37" s="75">
        <f>ABS(E36-J36)</f>
        <v>3390889.599999994</v>
      </c>
      <c r="D37" s="75"/>
      <c r="E37" s="7" t="s">
        <v>179</v>
      </c>
      <c r="F37" s="14" t="str">
        <f>IF(E36&gt;J36,"增长","下降")</f>
        <v>增长</v>
      </c>
      <c r="G37" s="32">
        <f>IF(J36=0,IF(E36&gt;0,1,""),C37/J36)</f>
        <v>4.9428220559992048E-2</v>
      </c>
      <c r="H37" s="7" t="s">
        <v>302</v>
      </c>
    </row>
    <row r="38" spans="1:12" ht="29.25" customHeight="1">
      <c r="B38" s="76" t="s">
        <v>444</v>
      </c>
      <c r="C38" s="76"/>
      <c r="D38" s="76"/>
      <c r="E38" s="76"/>
      <c r="F38" s="76"/>
      <c r="G38" s="76"/>
      <c r="H38" s="76"/>
      <c r="I38" s="76"/>
      <c r="J38" s="76"/>
      <c r="K38" s="76"/>
      <c r="L38" s="76"/>
    </row>
    <row r="39" spans="1:12" ht="18" customHeight="1">
      <c r="A39" s="81" t="s">
        <v>409</v>
      </c>
      <c r="B39" s="81"/>
      <c r="C39" s="81"/>
      <c r="D39" s="81"/>
      <c r="E39" s="75">
        <f>_xlfn.IFNA(VLOOKUP(封面!B1,一般公共预算财政拨款支出决算具体情况!A:M,13,FALSE),"")</f>
        <v>13640</v>
      </c>
      <c r="F39" s="75"/>
      <c r="G39" s="7" t="s">
        <v>179</v>
      </c>
      <c r="H39" s="78" t="s">
        <v>407</v>
      </c>
      <c r="I39" s="78"/>
      <c r="J39" s="75">
        <f>_xlfn.IFNA(VLOOKUP(封面!B1,一般公共预算财政拨款支出决算具体情况!A:N,14,FALSE),"")</f>
        <v>156400</v>
      </c>
      <c r="K39" s="75"/>
      <c r="L39" s="11" t="s">
        <v>178</v>
      </c>
    </row>
    <row r="40" spans="1:12" ht="18" customHeight="1">
      <c r="A40" s="14"/>
      <c r="B40" s="14" t="str">
        <f>IF(E39&gt;J39,"增加","减少")</f>
        <v>减少</v>
      </c>
      <c r="C40" s="75">
        <f>ABS(E39-J39)</f>
        <v>142760</v>
      </c>
      <c r="D40" s="75"/>
      <c r="E40" s="7" t="s">
        <v>179</v>
      </c>
      <c r="F40" s="14" t="str">
        <f>IF(E39&gt;J39,"增长","下降")</f>
        <v>下降</v>
      </c>
      <c r="G40" s="32">
        <f>IF(J39=0,IF(E39&gt;0,1,""),C40/J39)</f>
        <v>0.91278772378516626</v>
      </c>
      <c r="H40" s="7" t="s">
        <v>302</v>
      </c>
    </row>
    <row r="41" spans="1:12" ht="29.25" customHeight="1">
      <c r="B41" s="76" t="s">
        <v>443</v>
      </c>
      <c r="C41" s="76"/>
      <c r="D41" s="76"/>
      <c r="E41" s="76"/>
      <c r="F41" s="76"/>
      <c r="G41" s="76"/>
      <c r="H41" s="76"/>
      <c r="I41" s="76"/>
      <c r="J41" s="76"/>
      <c r="K41" s="76"/>
      <c r="L41" s="76"/>
    </row>
    <row r="42" spans="1:12" ht="18" customHeight="1">
      <c r="A42" s="77" t="s">
        <v>410</v>
      </c>
      <c r="B42" s="77"/>
      <c r="C42" s="77"/>
      <c r="D42" s="77"/>
      <c r="E42" s="75">
        <f>_xlfn.IFNA(VLOOKUP(封面!B1,一般公共预算财政拨款支出决算具体情况!A:O,15,FALSE),"")</f>
        <v>704121.1</v>
      </c>
      <c r="F42" s="75"/>
      <c r="G42" s="7" t="s">
        <v>179</v>
      </c>
      <c r="H42" s="78" t="s">
        <v>407</v>
      </c>
      <c r="I42" s="78"/>
      <c r="J42" s="75">
        <f>_xlfn.IFNA(VLOOKUP(封面!B1,一般公共预算财政拨款支出决算具体情况!A:P,16,FALSE),"")</f>
        <v>760000</v>
      </c>
      <c r="K42" s="75"/>
      <c r="L42" s="11" t="s">
        <v>178</v>
      </c>
    </row>
    <row r="43" spans="1:12" ht="18" customHeight="1">
      <c r="A43" s="14"/>
      <c r="B43" s="14" t="str">
        <f>IF(E42&gt;J42,"增加","减少")</f>
        <v>减少</v>
      </c>
      <c r="C43" s="75">
        <f>ABS(E42-J42)</f>
        <v>55878.900000000023</v>
      </c>
      <c r="D43" s="75"/>
      <c r="E43" s="7" t="s">
        <v>179</v>
      </c>
      <c r="F43" s="14" t="str">
        <f>IF(E42&gt;J42,"增长","下降")</f>
        <v>下降</v>
      </c>
      <c r="G43" s="32">
        <f>IF(J42=0,IF(E42&gt;0,1,""),C43/J42)</f>
        <v>7.3524868421052658E-2</v>
      </c>
      <c r="H43" s="7" t="s">
        <v>302</v>
      </c>
    </row>
    <row r="44" spans="1:12" ht="40.5" customHeight="1">
      <c r="B44" s="76" t="s">
        <v>445</v>
      </c>
      <c r="C44" s="76"/>
      <c r="D44" s="76"/>
      <c r="E44" s="76"/>
      <c r="F44" s="76"/>
      <c r="G44" s="76"/>
      <c r="H44" s="76"/>
      <c r="I44" s="76"/>
      <c r="J44" s="76"/>
      <c r="K44" s="76"/>
      <c r="L44" s="76"/>
    </row>
    <row r="45" spans="1:12" ht="18" customHeight="1">
      <c r="A45" s="79" t="s">
        <v>439</v>
      </c>
      <c r="B45" s="79"/>
      <c r="C45" s="79"/>
      <c r="D45" s="79"/>
      <c r="E45" s="80">
        <f>_xlfn.IFNA(VLOOKUP(封面!B1,一般公共预算财政拨款支出决算具体情况!A:W,23,FALSE),"")</f>
        <v>13797433.829999998</v>
      </c>
      <c r="F45" s="80"/>
      <c r="G45" s="7" t="s">
        <v>179</v>
      </c>
      <c r="H45" s="78" t="s">
        <v>407</v>
      </c>
      <c r="I45" s="78"/>
      <c r="J45" s="75">
        <f>_xlfn.IFNA(VLOOKUP(封面!B1,一般公共预算财政拨款支出决算具体情况!A:X,24,FALSE),"")</f>
        <v>13808279.160000002</v>
      </c>
      <c r="K45" s="75"/>
      <c r="L45" s="11" t="s">
        <v>178</v>
      </c>
    </row>
    <row r="46" spans="1:12" ht="18" customHeight="1">
      <c r="B46" s="14" t="str">
        <f>IF(E45&gt;J45,"增加","减少")</f>
        <v>减少</v>
      </c>
      <c r="C46" s="75">
        <f>ABS(E45-J45)</f>
        <v>10845.3300000038</v>
      </c>
      <c r="D46" s="75"/>
      <c r="E46" s="7" t="s">
        <v>179</v>
      </c>
      <c r="F46" s="14" t="str">
        <f>IF(E45&gt;J45,"增长","下降")</f>
        <v>下降</v>
      </c>
      <c r="G46" s="32">
        <f>IF(J45=0,IF(E45&gt;0,1,""),C46/J45)</f>
        <v>7.8542227270583353E-4</v>
      </c>
      <c r="H46" s="7" t="s">
        <v>302</v>
      </c>
      <c r="I46" s="11" t="s">
        <v>204</v>
      </c>
    </row>
    <row r="47" spans="1:12" ht="18" customHeight="1">
      <c r="A47" s="77" t="s">
        <v>412</v>
      </c>
      <c r="B47" s="77"/>
      <c r="C47" s="77"/>
      <c r="D47" s="77"/>
      <c r="E47" s="75">
        <f>_xlfn.IFNA(VLOOKUP(封面!B1,一般公共预算财政拨款支出决算具体情况!A:Y,25,FALSE),"")</f>
        <v>13797433.829999998</v>
      </c>
      <c r="F47" s="75"/>
      <c r="G47" s="7" t="s">
        <v>179</v>
      </c>
      <c r="H47" s="78" t="s">
        <v>407</v>
      </c>
      <c r="I47" s="78"/>
      <c r="J47" s="75">
        <f>_xlfn.IFNA(VLOOKUP(封面!B1,一般公共预算财政拨款支出决算具体情况!A:Z,26,FALSE),"")</f>
        <v>13808279.160000002</v>
      </c>
      <c r="K47" s="75"/>
      <c r="L47" s="11" t="s">
        <v>178</v>
      </c>
    </row>
    <row r="48" spans="1:12" ht="18" customHeight="1">
      <c r="A48" s="14"/>
      <c r="B48" s="14" t="str">
        <f>IF(E47&gt;J47,"增加","减少")</f>
        <v>减少</v>
      </c>
      <c r="C48" s="75">
        <f>ABS(E47-J47)</f>
        <v>10845.3300000038</v>
      </c>
      <c r="D48" s="75"/>
      <c r="E48" s="7" t="s">
        <v>179</v>
      </c>
      <c r="F48" s="14" t="str">
        <f>IF(E47&gt;J47,"增长","下降")</f>
        <v>下降</v>
      </c>
      <c r="G48" s="32">
        <f>IF(J47=0,IF(E47&gt;0,1,""),C48/J47)</f>
        <v>7.8542227270583353E-4</v>
      </c>
      <c r="H48" s="7" t="s">
        <v>302</v>
      </c>
    </row>
    <row r="49" spans="1:12" ht="40.5" customHeight="1">
      <c r="B49" s="76" t="s">
        <v>446</v>
      </c>
      <c r="C49" s="76"/>
      <c r="D49" s="76"/>
      <c r="E49" s="76"/>
      <c r="F49" s="76"/>
      <c r="G49" s="76"/>
      <c r="H49" s="76"/>
      <c r="I49" s="76"/>
      <c r="J49" s="76"/>
      <c r="K49" s="76"/>
      <c r="L49" s="76"/>
    </row>
    <row r="50" spans="1:12" ht="18" customHeight="1">
      <c r="A50" s="77" t="s">
        <v>413</v>
      </c>
      <c r="B50" s="77"/>
      <c r="C50" s="77"/>
      <c r="D50" s="77"/>
      <c r="E50" s="75">
        <v>472558</v>
      </c>
      <c r="F50" s="75"/>
      <c r="G50" s="7" t="s">
        <v>179</v>
      </c>
      <c r="H50" s="78" t="s">
        <v>411</v>
      </c>
      <c r="I50" s="78"/>
      <c r="J50" s="75"/>
      <c r="K50" s="75"/>
      <c r="L50" s="11"/>
    </row>
    <row r="51" spans="1:12" ht="29.25" customHeight="1">
      <c r="B51" s="76" t="s">
        <v>442</v>
      </c>
      <c r="C51" s="76"/>
      <c r="D51" s="76"/>
      <c r="E51" s="76"/>
      <c r="F51" s="76"/>
      <c r="G51" s="76"/>
      <c r="H51" s="76"/>
      <c r="I51" s="76"/>
      <c r="J51" s="76"/>
      <c r="K51" s="76"/>
      <c r="L51" s="76"/>
    </row>
    <row r="52" spans="1:12" ht="18" customHeight="1">
      <c r="A52" s="79" t="s">
        <v>440</v>
      </c>
      <c r="B52" s="79"/>
      <c r="C52" s="79"/>
      <c r="D52" s="79"/>
      <c r="E52" s="80">
        <f>_xlfn.IFNA(VLOOKUP(封面!B1,一般公共预算财政拨款支出决算具体情况!A:AC,29,FALSE),"")</f>
        <v>5866737.2599999998</v>
      </c>
      <c r="F52" s="80"/>
      <c r="G52" s="7" t="s">
        <v>179</v>
      </c>
      <c r="H52" s="78" t="s">
        <v>407</v>
      </c>
      <c r="I52" s="78"/>
      <c r="J52" s="75">
        <f>_xlfn.IFNA(VLOOKUP(封面!B1,一般公共预算财政拨款支出决算具体情况!A:AD,30,FALSE),"")</f>
        <v>6327652.4199999999</v>
      </c>
      <c r="K52" s="75"/>
      <c r="L52" s="11" t="s">
        <v>178</v>
      </c>
    </row>
    <row r="53" spans="1:12" ht="18" customHeight="1">
      <c r="B53" s="14" t="str">
        <f>IF(E52&gt;J52,"增加","减少")</f>
        <v>减少</v>
      </c>
      <c r="C53" s="75">
        <f>ABS(E52-J52)</f>
        <v>460915.16000000015</v>
      </c>
      <c r="D53" s="75"/>
      <c r="E53" s="7" t="s">
        <v>179</v>
      </c>
      <c r="F53" s="14" t="str">
        <f>IF(E52&gt;J52,"增长","下降")</f>
        <v>下降</v>
      </c>
      <c r="G53" s="32">
        <f>IF(J52=0,IF(E52&gt;0,1,""),C53/J52)</f>
        <v>7.2841415647795671E-2</v>
      </c>
      <c r="H53" s="7" t="s">
        <v>302</v>
      </c>
      <c r="I53" s="11" t="s">
        <v>204</v>
      </c>
    </row>
    <row r="54" spans="1:12" ht="18" customHeight="1">
      <c r="A54" s="77" t="s">
        <v>414</v>
      </c>
      <c r="B54" s="77"/>
      <c r="C54" s="77"/>
      <c r="D54" s="77"/>
      <c r="E54" s="75">
        <f>_xlfn.IFNA(VLOOKUP(封面!B1,一般公共预算财政拨款支出决算具体情况!A:AE,31,FALSE),"")</f>
        <v>5866737.2599999998</v>
      </c>
      <c r="F54" s="75"/>
      <c r="G54" s="7" t="s">
        <v>179</v>
      </c>
      <c r="H54" s="78" t="s">
        <v>407</v>
      </c>
      <c r="I54" s="78"/>
      <c r="J54" s="75">
        <f>_xlfn.IFNA(VLOOKUP(封面!B1,一般公共预算财政拨款支出决算具体情况!A:AF,32,FALSE),"")</f>
        <v>6327652.4199999999</v>
      </c>
      <c r="K54" s="75"/>
      <c r="L54" s="11" t="s">
        <v>178</v>
      </c>
    </row>
    <row r="55" spans="1:12" ht="18" customHeight="1">
      <c r="A55" s="14"/>
      <c r="B55" s="14" t="str">
        <f>IF(E54&gt;J54,"增加","减少")</f>
        <v>减少</v>
      </c>
      <c r="C55" s="75">
        <f>ABS(E54-J54)</f>
        <v>460915.16000000015</v>
      </c>
      <c r="D55" s="75"/>
      <c r="E55" s="7" t="s">
        <v>179</v>
      </c>
      <c r="F55" s="14" t="str">
        <f>IF(E54&gt;J54,"增长","下降")</f>
        <v>下降</v>
      </c>
      <c r="G55" s="32">
        <f>IF(J54=0,IF(E54&gt;0,1,""),C55/J54)</f>
        <v>7.2841415647795671E-2</v>
      </c>
      <c r="H55" s="7" t="s">
        <v>302</v>
      </c>
    </row>
    <row r="56" spans="1:12" ht="29.25" customHeight="1">
      <c r="B56" s="76" t="s">
        <v>447</v>
      </c>
      <c r="C56" s="76"/>
      <c r="D56" s="76"/>
      <c r="E56" s="76"/>
      <c r="F56" s="76"/>
      <c r="G56" s="76"/>
      <c r="H56" s="76"/>
      <c r="I56" s="76"/>
      <c r="J56" s="76"/>
      <c r="K56" s="76"/>
      <c r="L56" s="76"/>
    </row>
    <row r="57" spans="1:12" ht="18" customHeight="1">
      <c r="A57" s="79" t="s">
        <v>441</v>
      </c>
      <c r="B57" s="79"/>
      <c r="C57" s="79"/>
      <c r="D57" s="79"/>
      <c r="E57" s="80">
        <f>_xlfn.IFNA(VLOOKUP(封面!B1,一般公共预算财政拨款支出决算具体情况!A:AK,37,FALSE),"")</f>
        <v>11549222</v>
      </c>
      <c r="F57" s="80"/>
      <c r="G57" s="7" t="s">
        <v>179</v>
      </c>
      <c r="H57" s="78" t="s">
        <v>407</v>
      </c>
      <c r="I57" s="78"/>
      <c r="J57" s="75">
        <f>_xlfn.IFNA(VLOOKUP(封面!B1,一般公共预算财政拨款支出决算具体情况!A:AL,38,FALSE),"")</f>
        <v>11478920.76</v>
      </c>
      <c r="K57" s="75"/>
      <c r="L57" s="11" t="s">
        <v>178</v>
      </c>
    </row>
    <row r="58" spans="1:12" ht="18" customHeight="1">
      <c r="B58" s="14" t="str">
        <f>IF(E57&gt;J57,"增加","减少")</f>
        <v>增加</v>
      </c>
      <c r="C58" s="75">
        <f>ABS(E57-J57)</f>
        <v>70301.240000000224</v>
      </c>
      <c r="D58" s="75"/>
      <c r="E58" s="7" t="s">
        <v>179</v>
      </c>
      <c r="F58" s="14" t="str">
        <f>IF(E57&gt;J57,"增长","下降")</f>
        <v>增长</v>
      </c>
      <c r="G58" s="32">
        <f>IF(J57=0,IF(E57&gt;0,1,""),C58/J57)</f>
        <v>6.1243771491981472E-3</v>
      </c>
      <c r="H58" s="7" t="s">
        <v>302</v>
      </c>
      <c r="I58" s="11" t="s">
        <v>204</v>
      </c>
    </row>
    <row r="59" spans="1:12" ht="18" customHeight="1">
      <c r="A59" s="77" t="s">
        <v>415</v>
      </c>
      <c r="B59" s="77"/>
      <c r="C59" s="77"/>
      <c r="D59" s="77"/>
      <c r="E59" s="75">
        <f>_xlfn.IFNA(VLOOKUP(封面!B1,一般公共预算财政拨款支出决算具体情况!A:AM,39,FALSE),"")</f>
        <v>11549222</v>
      </c>
      <c r="F59" s="75"/>
      <c r="G59" s="7" t="s">
        <v>179</v>
      </c>
      <c r="H59" s="78" t="s">
        <v>407</v>
      </c>
      <c r="I59" s="78"/>
      <c r="J59" s="75">
        <f>_xlfn.IFNA(VLOOKUP(封面!B1,一般公共预算财政拨款支出决算具体情况!A:AN,40,FALSE),"")</f>
        <v>11478920.76</v>
      </c>
      <c r="K59" s="75"/>
      <c r="L59" s="11" t="s">
        <v>178</v>
      </c>
    </row>
    <row r="60" spans="1:12" ht="18" customHeight="1">
      <c r="A60" s="14"/>
      <c r="B60" s="14" t="str">
        <f>IF(E59&gt;J59,"增加","减少")</f>
        <v>增加</v>
      </c>
      <c r="C60" s="75">
        <f>ABS(E59-J59)</f>
        <v>70301.240000000224</v>
      </c>
      <c r="D60" s="75"/>
      <c r="E60" s="7" t="s">
        <v>179</v>
      </c>
      <c r="F60" s="14" t="str">
        <f>IF(E59&gt;J59,"增长","下降")</f>
        <v>增长</v>
      </c>
      <c r="G60" s="32">
        <f>IF(J59=0,IF(E59&gt;0,1,""),C60/J59)</f>
        <v>6.1243771491981472E-3</v>
      </c>
      <c r="H60" s="7" t="s">
        <v>302</v>
      </c>
    </row>
    <row r="61" spans="1:12" ht="29.25" customHeight="1">
      <c r="B61" s="76" t="s">
        <v>448</v>
      </c>
      <c r="C61" s="76"/>
      <c r="D61" s="76"/>
      <c r="E61" s="76"/>
      <c r="F61" s="76"/>
      <c r="G61" s="76"/>
      <c r="H61" s="76"/>
      <c r="I61" s="76"/>
      <c r="J61" s="76"/>
      <c r="K61" s="76"/>
      <c r="L61" s="76"/>
    </row>
    <row r="62" spans="1:12" ht="18" customHeight="1">
      <c r="A62" s="6" t="s">
        <v>205</v>
      </c>
    </row>
    <row r="63" spans="1:12" ht="18" customHeight="1">
      <c r="A63" s="7" t="str">
        <f>IF(_xlfn.IFNA(VLOOKUP(封面!B1,'2021决算导出'!A:W,23,FALSE),"")=0,"本年度无此项支出。","")</f>
        <v>本年度无此项支出。</v>
      </c>
    </row>
    <row r="64" spans="1:12" ht="18" customHeight="1">
      <c r="A64" s="6" t="s">
        <v>206</v>
      </c>
    </row>
    <row r="65" spans="1:13" ht="18" customHeight="1">
      <c r="A65" s="7" t="s">
        <v>207</v>
      </c>
    </row>
    <row r="66" spans="1:13" ht="18" customHeight="1">
      <c r="A66" s="6" t="s">
        <v>208</v>
      </c>
    </row>
    <row r="67" spans="1:13" ht="23.25" customHeight="1">
      <c r="A67" s="7" t="s">
        <v>416</v>
      </c>
      <c r="G67" s="75">
        <f>_xlfn.IFNA(VLOOKUP(封面!B1,'2021决算导出'!A:AA,27,FALSE),"")</f>
        <v>96778402.579999998</v>
      </c>
      <c r="H67" s="75"/>
      <c r="I67" s="11" t="s">
        <v>179</v>
      </c>
    </row>
    <row r="68" spans="1:13" ht="130.15" customHeight="1">
      <c r="A68" s="76" t="s">
        <v>209</v>
      </c>
      <c r="B68" s="76"/>
      <c r="C68" s="76"/>
      <c r="D68" s="76"/>
      <c r="E68" s="76"/>
      <c r="F68" s="76"/>
      <c r="G68" s="76"/>
      <c r="H68" s="76"/>
      <c r="I68" s="76"/>
      <c r="J68" s="76"/>
      <c r="K68" s="76"/>
      <c r="L68" s="76"/>
      <c r="M68" s="76"/>
    </row>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sheetData>
  <mergeCells count="108">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B38:L38"/>
    <mergeCell ref="C35:D35"/>
    <mergeCell ref="C37:D37"/>
    <mergeCell ref="A36:D36"/>
    <mergeCell ref="E36:F36"/>
    <mergeCell ref="H36:I36"/>
    <mergeCell ref="J36:K36"/>
    <mergeCell ref="A34:D34"/>
    <mergeCell ref="E34:F34"/>
    <mergeCell ref="H34:I34"/>
    <mergeCell ref="J34:K34"/>
    <mergeCell ref="C40:D40"/>
    <mergeCell ref="B41:L41"/>
    <mergeCell ref="A42:D42"/>
    <mergeCell ref="E42:F42"/>
    <mergeCell ref="H42:I42"/>
    <mergeCell ref="J42:K42"/>
    <mergeCell ref="A39:D39"/>
    <mergeCell ref="E39:F39"/>
    <mergeCell ref="H39:I39"/>
    <mergeCell ref="J39:K39"/>
    <mergeCell ref="B49:L49"/>
    <mergeCell ref="A54:D54"/>
    <mergeCell ref="E54:F54"/>
    <mergeCell ref="H54:I54"/>
    <mergeCell ref="J54:K54"/>
    <mergeCell ref="C55:D55"/>
    <mergeCell ref="B56:L56"/>
    <mergeCell ref="C43:D43"/>
    <mergeCell ref="B44:L44"/>
    <mergeCell ref="A45:D45"/>
    <mergeCell ref="E45:F45"/>
    <mergeCell ref="H45:I45"/>
    <mergeCell ref="J45:K45"/>
    <mergeCell ref="A50:D50"/>
    <mergeCell ref="E50:F50"/>
    <mergeCell ref="H50:I50"/>
    <mergeCell ref="J50:K50"/>
    <mergeCell ref="C46:D46"/>
    <mergeCell ref="A47:D47"/>
    <mergeCell ref="G67:H67"/>
    <mergeCell ref="A68:M68"/>
    <mergeCell ref="A4:M4"/>
    <mergeCell ref="B61:L61"/>
    <mergeCell ref="C58:D58"/>
    <mergeCell ref="A59:D59"/>
    <mergeCell ref="E59:F59"/>
    <mergeCell ref="H59:I59"/>
    <mergeCell ref="J59:K59"/>
    <mergeCell ref="C60:D60"/>
    <mergeCell ref="A57:D57"/>
    <mergeCell ref="E57:F57"/>
    <mergeCell ref="H57:I57"/>
    <mergeCell ref="J57:K57"/>
    <mergeCell ref="E47:F47"/>
    <mergeCell ref="H47:I47"/>
    <mergeCell ref="J47:K47"/>
    <mergeCell ref="C48:D48"/>
    <mergeCell ref="B51:L51"/>
    <mergeCell ref="A52:D52"/>
    <mergeCell ref="E52:F52"/>
    <mergeCell ref="H52:I52"/>
    <mergeCell ref="J52:K52"/>
    <mergeCell ref="C53:D53"/>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4"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398</v>
      </c>
      <c r="B1" s="73"/>
      <c r="C1" s="73"/>
      <c r="D1" s="73"/>
      <c r="E1" s="73"/>
      <c r="F1" s="73"/>
      <c r="G1" s="73"/>
      <c r="H1" s="73"/>
      <c r="I1" s="73"/>
      <c r="J1" s="73"/>
      <c r="K1" s="73"/>
      <c r="L1" s="73"/>
      <c r="M1" s="73"/>
      <c r="N1" s="73"/>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1" t="s">
        <v>417</v>
      </c>
      <c r="B7" s="81"/>
      <c r="C7" s="81"/>
      <c r="D7" s="81"/>
      <c r="E7" s="75">
        <f>_xlfn.IFNA(VLOOKUP(封面!B1,'2021决算导出'!A:AW,49,FALSE),"")</f>
        <v>2612208.08</v>
      </c>
      <c r="F7" s="75"/>
      <c r="G7" s="7" t="s">
        <v>179</v>
      </c>
      <c r="H7" s="81" t="s">
        <v>215</v>
      </c>
      <c r="I7" s="81"/>
      <c r="J7" s="81"/>
      <c r="K7" s="81"/>
      <c r="L7" s="75">
        <f>_xlfn.IFNA(VLOOKUP(封面!B1,'2021决算导出'!A:AX,50,FALSE),"")</f>
        <v>124292</v>
      </c>
      <c r="M7" s="75" t="s">
        <v>179</v>
      </c>
      <c r="N7" s="7" t="s">
        <v>179</v>
      </c>
    </row>
    <row r="8" spans="1:14" ht="18" customHeight="1">
      <c r="A8" s="81" t="s">
        <v>216</v>
      </c>
      <c r="B8" s="81"/>
      <c r="C8" s="81"/>
      <c r="D8" s="75">
        <f>_xlfn.IFNA(VLOOKUP(封面!B1,'2021决算导出'!A:AY,51,FALSE),"")</f>
        <v>0</v>
      </c>
      <c r="E8" s="75" t="s">
        <v>179</v>
      </c>
      <c r="F8" s="7" t="s">
        <v>179</v>
      </c>
      <c r="G8" s="81" t="s">
        <v>217</v>
      </c>
      <c r="H8" s="81"/>
      <c r="I8" s="81"/>
      <c r="J8" s="75">
        <f>_xlfn.IFNA(VLOOKUP(封面!B1,'2021决算导出'!A:AZ,52,FALSE),"")</f>
        <v>2487916</v>
      </c>
      <c r="K8" s="75" t="s">
        <v>179</v>
      </c>
      <c r="L8" s="7" t="s">
        <v>211</v>
      </c>
    </row>
    <row r="9" spans="1:14" ht="18" customHeight="1">
      <c r="A9" s="81" t="s">
        <v>218</v>
      </c>
      <c r="B9" s="81"/>
      <c r="C9" s="81"/>
      <c r="D9" s="81"/>
      <c r="E9" s="75">
        <f>_xlfn.IFNA(VLOOKUP(封面!B1,'2021决算导出'!A:BA,53,FALSE),"")</f>
        <v>2612208</v>
      </c>
      <c r="F9" s="75" t="s">
        <v>179</v>
      </c>
      <c r="G9" s="7" t="s">
        <v>179</v>
      </c>
      <c r="H9" s="78" t="s">
        <v>219</v>
      </c>
      <c r="I9" s="78"/>
      <c r="J9" s="78"/>
      <c r="K9" s="27">
        <f>E9/$E$7</f>
        <v>0.99999996937456836</v>
      </c>
      <c r="L9" s="16" t="s">
        <v>300</v>
      </c>
      <c r="M9" s="7" t="s">
        <v>393</v>
      </c>
    </row>
    <row r="10" spans="1:14" ht="18" customHeight="1">
      <c r="A10" s="81" t="s">
        <v>220</v>
      </c>
      <c r="B10" s="81"/>
      <c r="C10" s="81"/>
      <c r="D10" s="81"/>
      <c r="E10" s="75">
        <f>_xlfn.IFNA(VLOOKUP(封面!B1,'2021决算导出'!A:BB,54,FALSE),"")</f>
        <v>0</v>
      </c>
      <c r="F10" s="75" t="s">
        <v>179</v>
      </c>
      <c r="G10" s="7" t="s">
        <v>179</v>
      </c>
      <c r="H10" s="78" t="s">
        <v>219</v>
      </c>
      <c r="I10" s="78"/>
      <c r="J10" s="78"/>
      <c r="K10" s="27">
        <f>E10/$E$7</f>
        <v>0</v>
      </c>
      <c r="L10" s="16" t="s">
        <v>302</v>
      </c>
    </row>
    <row r="11" spans="1:14" ht="18" customHeight="1">
      <c r="A11" s="6" t="s">
        <v>221</v>
      </c>
    </row>
    <row r="12" spans="1:14" ht="18" customHeight="1">
      <c r="A12" s="81" t="s">
        <v>418</v>
      </c>
      <c r="B12" s="81"/>
      <c r="C12" s="8">
        <f>_xlfn.IFNA(VLOOKUP(封面!B1,'2021决算导出'!A:BC,55,FALSE),"")</f>
        <v>0</v>
      </c>
      <c r="D12" s="7" t="s">
        <v>222</v>
      </c>
      <c r="M12" s="84">
        <f>_xlfn.IFNA(VLOOKUP(封面!B1,'2021决算导出'!A:BD,56,FALSE),"")</f>
        <v>0</v>
      </c>
      <c r="N12" s="84" t="s">
        <v>179</v>
      </c>
    </row>
    <row r="13" spans="1:14" ht="18" customHeight="1">
      <c r="A13" s="12" t="s">
        <v>223</v>
      </c>
      <c r="B13" s="81" t="s">
        <v>224</v>
      </c>
      <c r="C13" s="81"/>
      <c r="D13" s="81"/>
      <c r="E13" s="81"/>
      <c r="F13" s="81"/>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76" t="s">
        <v>433</v>
      </c>
      <c r="B18" s="76"/>
      <c r="C18" s="76"/>
      <c r="D18" s="76"/>
      <c r="E18" s="76"/>
      <c r="F18" s="76"/>
      <c r="G18" s="76"/>
      <c r="H18" s="76"/>
      <c r="I18" s="76"/>
      <c r="J18" s="76"/>
      <c r="K18" s="76"/>
      <c r="L18" s="76"/>
      <c r="M18" s="76"/>
      <c r="N18" s="76"/>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10" zoomScale="90" zoomScaleNormal="90" workbookViewId="0">
      <selection activeCell="M26" sqref="M26"/>
    </sheetView>
  </sheetViews>
  <sheetFormatPr defaultRowHeight="14.25"/>
  <sheetData>
    <row r="10" spans="1:14" ht="54.6" customHeight="1">
      <c r="A10" s="73" t="s">
        <v>435</v>
      </c>
      <c r="B10" s="73"/>
      <c r="C10" s="73"/>
      <c r="D10" s="73"/>
      <c r="E10" s="73"/>
      <c r="F10" s="73"/>
      <c r="G10" s="73"/>
      <c r="H10" s="73"/>
      <c r="I10" s="73"/>
      <c r="J10" s="73"/>
      <c r="K10" s="73"/>
      <c r="L10" s="73"/>
      <c r="M10" s="73"/>
      <c r="N10" s="73"/>
    </row>
    <row r="11" spans="1:14" ht="78" customHeight="1">
      <c r="A11" s="74" t="s">
        <v>436</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419</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424</v>
      </c>
      <c r="X1" s="52" t="s">
        <v>425</v>
      </c>
      <c r="Y1" s="20" t="s">
        <v>426</v>
      </c>
      <c r="Z1" s="20" t="s">
        <v>420</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4">
        <v>255001</v>
      </c>
      <c r="B2" s="23" t="s">
        <v>288</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295</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421</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296</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422</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423</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383</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236</v>
      </c>
      <c r="B1" s="20" t="s">
        <v>237</v>
      </c>
      <c r="C1" s="20" t="s">
        <v>232</v>
      </c>
      <c r="D1" s="63" t="s">
        <v>238</v>
      </c>
      <c r="E1" s="63" t="s">
        <v>239</v>
      </c>
      <c r="F1" s="20" t="s">
        <v>240</v>
      </c>
      <c r="G1" s="20" t="s">
        <v>241</v>
      </c>
      <c r="H1" s="20" t="s">
        <v>242</v>
      </c>
      <c r="I1" s="20" t="s">
        <v>243</v>
      </c>
      <c r="J1" s="20" t="s">
        <v>244</v>
      </c>
      <c r="K1" s="63" t="s">
        <v>245</v>
      </c>
      <c r="L1" s="20" t="s">
        <v>246</v>
      </c>
      <c r="M1" s="20" t="s">
        <v>247</v>
      </c>
      <c r="N1" s="20" t="s">
        <v>248</v>
      </c>
      <c r="O1" s="63"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67" t="s">
        <v>346</v>
      </c>
      <c r="D1" s="67" t="s">
        <v>347</v>
      </c>
      <c r="E1" s="39" t="s">
        <v>348</v>
      </c>
      <c r="F1" s="39" t="s">
        <v>349</v>
      </c>
      <c r="G1" s="39" t="s">
        <v>350</v>
      </c>
      <c r="H1" s="39" t="s">
        <v>351</v>
      </c>
      <c r="I1" s="39" t="s">
        <v>352</v>
      </c>
      <c r="J1" s="39" t="s">
        <v>353</v>
      </c>
      <c r="K1" s="39" t="s">
        <v>354</v>
      </c>
      <c r="L1" s="39" t="s">
        <v>355</v>
      </c>
      <c r="M1" s="39" t="s">
        <v>356</v>
      </c>
      <c r="N1" s="39" t="s">
        <v>357</v>
      </c>
      <c r="O1" s="39" t="s">
        <v>358</v>
      </c>
      <c r="P1" s="39" t="s">
        <v>359</v>
      </c>
      <c r="Q1" s="67" t="s">
        <v>360</v>
      </c>
      <c r="R1" s="67" t="s">
        <v>361</v>
      </c>
      <c r="S1" s="68" t="s">
        <v>431</v>
      </c>
      <c r="T1" s="68" t="s">
        <v>432</v>
      </c>
      <c r="U1" s="39" t="s">
        <v>362</v>
      </c>
      <c r="V1" s="39" t="s">
        <v>363</v>
      </c>
      <c r="W1" s="67" t="s">
        <v>364</v>
      </c>
      <c r="X1" s="67" t="s">
        <v>365</v>
      </c>
      <c r="Y1" s="39" t="s">
        <v>366</v>
      </c>
      <c r="Z1" s="39" t="s">
        <v>367</v>
      </c>
      <c r="AA1" s="39" t="s">
        <v>368</v>
      </c>
      <c r="AB1" s="39" t="s">
        <v>369</v>
      </c>
      <c r="AC1" s="67" t="s">
        <v>370</v>
      </c>
      <c r="AD1" s="67" t="s">
        <v>371</v>
      </c>
      <c r="AE1" s="39" t="s">
        <v>372</v>
      </c>
      <c r="AF1" s="39" t="s">
        <v>373</v>
      </c>
      <c r="AG1" s="67" t="s">
        <v>374</v>
      </c>
      <c r="AH1" s="67" t="s">
        <v>375</v>
      </c>
      <c r="AI1" s="39" t="s">
        <v>376</v>
      </c>
      <c r="AJ1" s="39" t="s">
        <v>377</v>
      </c>
      <c r="AK1" s="67" t="s">
        <v>378</v>
      </c>
      <c r="AL1" s="67"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422</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423</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427</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427</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421</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421</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421</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421</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421</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421</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421</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421</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421</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421</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421</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427</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427</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422</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422</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422</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422</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422</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422</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423</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423</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423</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423</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423</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423</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427</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6" t="s">
        <v>386</v>
      </c>
      <c r="B2" s="66">
        <v>2050101</v>
      </c>
      <c r="C2" s="66"/>
      <c r="D2" s="66"/>
      <c r="E2" s="66"/>
      <c r="F2" s="66">
        <v>205</v>
      </c>
    </row>
    <row r="3" spans="1:6">
      <c r="A3" s="66" t="s">
        <v>387</v>
      </c>
      <c r="B3" s="66">
        <v>2050102</v>
      </c>
      <c r="C3" s="66"/>
      <c r="D3" s="66"/>
      <c r="E3" s="66"/>
      <c r="F3" s="66">
        <v>206</v>
      </c>
    </row>
    <row r="4" spans="1:6">
      <c r="A4" s="66" t="s">
        <v>315</v>
      </c>
      <c r="B4" s="66">
        <v>2050201</v>
      </c>
      <c r="C4" s="66"/>
      <c r="D4" s="66"/>
      <c r="E4" s="66"/>
      <c r="F4" s="66">
        <v>208</v>
      </c>
    </row>
    <row r="5" spans="1:6">
      <c r="A5" s="66" t="s">
        <v>316</v>
      </c>
      <c r="B5" s="66">
        <v>2050202</v>
      </c>
      <c r="C5" s="66"/>
      <c r="D5" s="66"/>
      <c r="E5" s="66"/>
      <c r="F5" s="66">
        <v>210</v>
      </c>
    </row>
    <row r="6" spans="1:6">
      <c r="A6" s="66" t="s">
        <v>331</v>
      </c>
      <c r="B6" s="66">
        <v>2050203</v>
      </c>
      <c r="C6" s="66"/>
      <c r="D6" s="66"/>
      <c r="E6" s="66"/>
      <c r="F6" s="66">
        <v>212</v>
      </c>
    </row>
    <row r="7" spans="1:6">
      <c r="A7" s="66" t="s">
        <v>317</v>
      </c>
      <c r="B7" s="66">
        <v>2050204</v>
      </c>
      <c r="C7" s="66"/>
      <c r="D7" s="66"/>
      <c r="E7" s="66"/>
      <c r="F7" s="66">
        <v>221</v>
      </c>
    </row>
    <row r="8" spans="1:6">
      <c r="A8" s="66" t="s">
        <v>318</v>
      </c>
      <c r="B8" s="66">
        <v>2050299</v>
      </c>
      <c r="C8" s="66"/>
      <c r="D8" s="66"/>
      <c r="E8" s="66"/>
      <c r="F8" s="66">
        <v>229</v>
      </c>
    </row>
    <row r="9" spans="1:6">
      <c r="A9" s="66" t="s">
        <v>332</v>
      </c>
      <c r="B9" s="66">
        <v>2050302</v>
      </c>
      <c r="C9" s="66"/>
      <c r="D9" s="66"/>
      <c r="E9" s="66"/>
      <c r="F9" s="66">
        <v>234</v>
      </c>
    </row>
    <row r="10" spans="1:6">
      <c r="A10" s="66" t="s">
        <v>388</v>
      </c>
      <c r="B10" s="66">
        <v>2050304</v>
      </c>
      <c r="C10" s="66"/>
      <c r="D10" s="66"/>
      <c r="E10" s="66"/>
      <c r="F10" s="66">
        <v>213</v>
      </c>
    </row>
    <row r="11" spans="1:6">
      <c r="A11" s="66" t="s">
        <v>333</v>
      </c>
      <c r="B11" s="66">
        <v>2050399</v>
      </c>
      <c r="C11" s="66"/>
      <c r="D11" s="66"/>
      <c r="E11" s="66"/>
      <c r="F11" s="66"/>
    </row>
    <row r="12" spans="1:6">
      <c r="A12" s="66" t="s">
        <v>342</v>
      </c>
      <c r="B12" s="66">
        <v>2050403</v>
      </c>
      <c r="C12" s="66"/>
      <c r="D12" s="66"/>
      <c r="E12" s="66"/>
      <c r="F12" s="66"/>
    </row>
    <row r="13" spans="1:6">
      <c r="A13" s="66" t="s">
        <v>343</v>
      </c>
      <c r="B13" s="66">
        <v>2050404</v>
      </c>
      <c r="C13" s="66"/>
      <c r="D13" s="66"/>
      <c r="E13" s="66"/>
      <c r="F13" s="66"/>
    </row>
    <row r="14" spans="1:6">
      <c r="A14" s="66" t="s">
        <v>336</v>
      </c>
      <c r="B14" s="66">
        <v>2050701</v>
      </c>
      <c r="C14" s="66"/>
      <c r="D14" s="66"/>
      <c r="E14" s="66"/>
      <c r="F14" s="66"/>
    </row>
    <row r="15" spans="1:6">
      <c r="A15" s="66" t="s">
        <v>338</v>
      </c>
      <c r="B15" s="66">
        <v>2050702</v>
      </c>
      <c r="C15" s="66"/>
      <c r="D15" s="66"/>
      <c r="E15" s="66"/>
      <c r="F15" s="66"/>
    </row>
    <row r="16" spans="1:6">
      <c r="A16" s="66" t="s">
        <v>337</v>
      </c>
      <c r="B16" s="66">
        <v>2050799</v>
      </c>
      <c r="C16" s="66"/>
      <c r="D16" s="66"/>
      <c r="E16" s="66"/>
      <c r="F16" s="66"/>
    </row>
    <row r="17" spans="1:6">
      <c r="A17" s="66" t="s">
        <v>340</v>
      </c>
      <c r="B17" s="66">
        <v>2050801</v>
      </c>
      <c r="C17" s="66"/>
      <c r="D17" s="66"/>
      <c r="E17" s="66"/>
      <c r="F17" s="66"/>
    </row>
    <row r="18" spans="1:6">
      <c r="A18" s="66" t="s">
        <v>319</v>
      </c>
      <c r="B18" s="66">
        <v>2050803</v>
      </c>
      <c r="C18" s="66"/>
      <c r="D18" s="66"/>
      <c r="E18" s="66"/>
      <c r="F18" s="66"/>
    </row>
    <row r="19" spans="1:6">
      <c r="A19" s="66" t="s">
        <v>320</v>
      </c>
      <c r="B19" s="66">
        <v>2050903</v>
      </c>
      <c r="C19" s="66"/>
      <c r="D19" s="66"/>
      <c r="E19" s="66"/>
      <c r="F19" s="66"/>
    </row>
    <row r="20" spans="1:6">
      <c r="A20" s="66" t="s">
        <v>321</v>
      </c>
      <c r="B20" s="66">
        <v>2050904</v>
      </c>
      <c r="C20" s="66"/>
      <c r="D20" s="66"/>
      <c r="E20" s="66"/>
      <c r="F20" s="66"/>
    </row>
    <row r="21" spans="1:6">
      <c r="A21" s="66" t="s">
        <v>334</v>
      </c>
      <c r="B21" s="66">
        <v>2050905</v>
      </c>
      <c r="C21" s="66"/>
      <c r="D21" s="66"/>
      <c r="E21" s="66"/>
      <c r="F21" s="66"/>
    </row>
    <row r="22" spans="1:6">
      <c r="A22" s="66" t="s">
        <v>335</v>
      </c>
      <c r="B22" s="66">
        <v>2050999</v>
      </c>
      <c r="C22" s="66"/>
      <c r="D22" s="66"/>
      <c r="E22" s="66"/>
      <c r="F22" s="66"/>
    </row>
    <row r="23" spans="1:6">
      <c r="A23" s="66" t="s">
        <v>427</v>
      </c>
      <c r="B23" s="66">
        <v>2060499</v>
      </c>
      <c r="C23" s="66" t="s">
        <v>428</v>
      </c>
      <c r="D23" s="66"/>
      <c r="E23" s="66"/>
      <c r="F23" s="66"/>
    </row>
    <row r="24" spans="1:6">
      <c r="A24" s="66" t="s">
        <v>339</v>
      </c>
      <c r="B24" s="66">
        <v>2060702</v>
      </c>
      <c r="C24" s="66"/>
      <c r="D24" s="66"/>
      <c r="E24" s="66"/>
      <c r="F24" s="66"/>
    </row>
    <row r="25" spans="1:6">
      <c r="A25" s="66" t="s">
        <v>389</v>
      </c>
      <c r="B25" s="66">
        <v>2080501</v>
      </c>
      <c r="C25" s="66"/>
      <c r="D25" s="66"/>
      <c r="E25" s="66"/>
      <c r="F25" s="66"/>
    </row>
    <row r="26" spans="1:6">
      <c r="A26" s="66" t="s">
        <v>322</v>
      </c>
      <c r="B26" s="66">
        <v>2080502</v>
      </c>
      <c r="C26" s="66"/>
      <c r="D26" s="66"/>
      <c r="E26" s="66"/>
      <c r="F26" s="66"/>
    </row>
    <row r="27" spans="1:6">
      <c r="A27" s="66" t="s">
        <v>323</v>
      </c>
      <c r="B27" s="66">
        <v>2080505</v>
      </c>
      <c r="C27" s="66"/>
      <c r="D27" s="66"/>
      <c r="E27" s="66"/>
      <c r="F27" s="66"/>
    </row>
    <row r="28" spans="1:6">
      <c r="A28" s="66" t="s">
        <v>324</v>
      </c>
      <c r="B28" s="66">
        <v>2080506</v>
      </c>
      <c r="C28" s="66"/>
      <c r="D28" s="66"/>
      <c r="E28" s="66"/>
      <c r="F28" s="66"/>
    </row>
    <row r="29" spans="1:6">
      <c r="A29" s="66" t="s">
        <v>325</v>
      </c>
      <c r="B29" s="66">
        <v>2080801</v>
      </c>
      <c r="C29" s="66"/>
      <c r="D29" s="66"/>
      <c r="E29" s="66"/>
      <c r="F29" s="66"/>
    </row>
    <row r="30" spans="1:6">
      <c r="A30" s="66" t="s">
        <v>390</v>
      </c>
      <c r="B30" s="66">
        <v>2101101</v>
      </c>
      <c r="C30" s="66"/>
      <c r="D30" s="66"/>
      <c r="E30" s="66"/>
      <c r="F30" s="66"/>
    </row>
    <row r="31" spans="1:6">
      <c r="A31" s="66" t="s">
        <v>326</v>
      </c>
      <c r="B31" s="66">
        <v>2101102</v>
      </c>
      <c r="C31" s="66"/>
      <c r="D31" s="66"/>
      <c r="E31" s="66"/>
      <c r="F31" s="66"/>
    </row>
    <row r="32" spans="1:6">
      <c r="A32" s="66" t="s">
        <v>327</v>
      </c>
      <c r="B32" s="66">
        <v>2101199</v>
      </c>
      <c r="C32" s="66"/>
      <c r="D32" s="66"/>
      <c r="E32" s="66"/>
      <c r="F32" s="66"/>
    </row>
    <row r="33" spans="1:6">
      <c r="A33" s="66" t="s">
        <v>344</v>
      </c>
      <c r="B33" s="66">
        <v>2120399</v>
      </c>
      <c r="C33" s="66"/>
      <c r="D33" s="66"/>
      <c r="E33" s="66"/>
      <c r="F33" s="66"/>
    </row>
    <row r="34" spans="1:6">
      <c r="A34" s="66" t="s">
        <v>429</v>
      </c>
      <c r="B34" s="66">
        <v>2120801</v>
      </c>
      <c r="C34" s="66" t="s">
        <v>428</v>
      </c>
      <c r="D34" s="66" t="s">
        <v>430</v>
      </c>
      <c r="E34" s="66"/>
      <c r="F34" s="66"/>
    </row>
    <row r="35" spans="1:6">
      <c r="A35" s="66" t="s">
        <v>341</v>
      </c>
      <c r="B35" s="66">
        <v>2130506</v>
      </c>
      <c r="C35" s="66">
        <v>2020</v>
      </c>
      <c r="D35" s="66"/>
      <c r="E35" s="66"/>
      <c r="F35" s="66"/>
    </row>
    <row r="36" spans="1:6">
      <c r="A36" s="66" t="s">
        <v>328</v>
      </c>
      <c r="B36" s="66">
        <v>2210201</v>
      </c>
      <c r="C36" s="66"/>
      <c r="D36" s="66"/>
      <c r="E36" s="66"/>
      <c r="F36" s="66"/>
    </row>
    <row r="37" spans="1:6">
      <c r="A37" s="66" t="s">
        <v>329</v>
      </c>
      <c r="B37" s="66">
        <v>2210202</v>
      </c>
      <c r="C37" s="66"/>
      <c r="D37" s="66"/>
      <c r="E37" s="66"/>
      <c r="F37" s="66"/>
    </row>
    <row r="38" spans="1:6">
      <c r="A38" s="66" t="s">
        <v>330</v>
      </c>
      <c r="B38" s="66">
        <v>2210203</v>
      </c>
      <c r="C38" s="66"/>
      <c r="D38" s="66"/>
      <c r="E38" s="66"/>
      <c r="F38" s="66"/>
    </row>
    <row r="39" spans="1:6">
      <c r="A39" s="66" t="s">
        <v>391</v>
      </c>
      <c r="B39" s="66">
        <v>2296003</v>
      </c>
      <c r="C39" s="66"/>
      <c r="D39" s="66"/>
      <c r="E39" s="66"/>
      <c r="F39" s="66"/>
    </row>
    <row r="40" spans="1:6">
      <c r="A40" s="66" t="s">
        <v>392</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2022-08-30T01:59:51Z</cp:lastPrinted>
  <dcterms:created xsi:type="dcterms:W3CDTF">2021-08-26T09:47:38Z</dcterms:created>
  <dcterms:modified xsi:type="dcterms:W3CDTF">2022-08-31T02:09:54Z</dcterms:modified>
</cp:coreProperties>
</file>