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kMSGlNZyEo0yKlZ+yWBQq7nQNiOaaLOaXtlKfps7NrolkKZG/Ca9OweXhOPTqUOb3KKvHhGALCdjfB7eFxcoqA==" workbookSaltValue="KFRptOXfGC8DQd86D0j83g==" workbookSpinCount="100000" lockStructure="1"/>
  <bookViews>
    <workbookView xWindow="3285" yWindow="285" windowWidth="9300" windowHeight="11955"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s="1"/>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c r="E868" i="10"/>
  <c r="D868" i="10" s="1"/>
  <c r="C868" i="10" s="1"/>
  <c r="E867" i="10"/>
  <c r="D867" i="10" s="1"/>
  <c r="C867" i="10" s="1"/>
  <c r="E866" i="10"/>
  <c r="D866" i="10"/>
  <c r="C866" i="10" s="1"/>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c r="C850" i="10" s="1"/>
  <c r="E849" i="10"/>
  <c r="D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s="1"/>
  <c r="C797" i="10" s="1"/>
  <c r="E796" i="10"/>
  <c r="D796" i="10" s="1"/>
  <c r="C796" i="10" s="1"/>
  <c r="E795" i="10"/>
  <c r="D795" i="10" s="1"/>
  <c r="C795" i="10" s="1"/>
  <c r="E794" i="10"/>
  <c r="D794" i="10" s="1"/>
  <c r="C794" i="10" s="1"/>
  <c r="E793" i="10"/>
  <c r="D793" i="10" s="1"/>
  <c r="C793" i="10" s="1"/>
  <c r="E792" i="10"/>
  <c r="D792" i="10" s="1"/>
  <c r="E791" i="10"/>
  <c r="D791" i="10" s="1"/>
  <c r="C791" i="10" s="1"/>
  <c r="E790" i="10"/>
  <c r="D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s="1"/>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s="1"/>
  <c r="C622" i="10" s="1"/>
  <c r="E621" i="10"/>
  <c r="D621" i="10" s="1"/>
  <c r="C621" i="10" s="1"/>
  <c r="E620" i="10"/>
  <c r="D620" i="10" s="1"/>
  <c r="C620" i="10" s="1"/>
  <c r="E619" i="10"/>
  <c r="D619" i="10" s="1"/>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s="1"/>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E532" i="10"/>
  <c r="D532" i="10" s="1"/>
  <c r="C532" i="10" s="1"/>
  <c r="E531" i="10"/>
  <c r="D531" i="10" s="1"/>
  <c r="C531" i="10" s="1"/>
  <c r="E530" i="10"/>
  <c r="D530" i="10"/>
  <c r="C530" i="10" s="1"/>
  <c r="E529" i="10"/>
  <c r="D529" i="10"/>
  <c r="C529" i="10" s="1"/>
  <c r="E528" i="10"/>
  <c r="D528" i="10" s="1"/>
  <c r="C528" i="10" s="1"/>
  <c r="E527" i="10"/>
  <c r="D527" i="10" s="1"/>
  <c r="C527" i="10" s="1"/>
  <c r="E526" i="10"/>
  <c r="D526" i="10" s="1"/>
  <c r="C526" i="10" s="1"/>
  <c r="E525" i="10"/>
  <c r="D525" i="10" s="1"/>
  <c r="C525" i="10" s="1"/>
  <c r="E524" i="10"/>
  <c r="D524" i="10" s="1"/>
  <c r="C524" i="10" s="1"/>
  <c r="E523" i="10"/>
  <c r="D523" i="10"/>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c r="C477" i="10"/>
  <c r="E476" i="10"/>
  <c r="D476" i="10" s="1"/>
  <c r="E475" i="10"/>
  <c r="D475" i="10" s="1"/>
  <c r="C475" i="10" s="1"/>
  <c r="E474" i="10"/>
  <c r="D474" i="10" s="1"/>
  <c r="C474" i="10" s="1"/>
  <c r="E473" i="10"/>
  <c r="D473" i="10" s="1"/>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c r="C447" i="10" s="1"/>
  <c r="E446" i="10"/>
  <c r="D446" i="10"/>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s="1"/>
  <c r="C427" i="10" s="1"/>
  <c r="E426" i="10"/>
  <c r="D426" i="10" s="1"/>
  <c r="C426" i="10" s="1"/>
  <c r="E425" i="10"/>
  <c r="D425" i="10"/>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s="1"/>
  <c r="C391" i="10" s="1"/>
  <c r="E390" i="10"/>
  <c r="D390" i="10"/>
  <c r="E389" i="10"/>
  <c r="D389" i="10" s="1"/>
  <c r="C389" i="10" s="1"/>
  <c r="E388" i="10"/>
  <c r="D388" i="10" s="1"/>
  <c r="C388" i="10" s="1"/>
  <c r="E387" i="10"/>
  <c r="D387" i="10" s="1"/>
  <c r="C387" i="10" s="1"/>
  <c r="E386" i="10"/>
  <c r="D386" i="10" s="1"/>
  <c r="C386" i="10" s="1"/>
  <c r="E385" i="10"/>
  <c r="D385" i="10"/>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E377" i="10"/>
  <c r="D377" i="10" s="1"/>
  <c r="C377" i="10" s="1"/>
  <c r="E376" i="10"/>
  <c r="D376" i="10" s="1"/>
  <c r="C376" i="10" s="1"/>
  <c r="E375" i="10"/>
  <c r="D375" i="10" s="1"/>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s="1"/>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s="1"/>
  <c r="E354" i="10"/>
  <c r="D354" i="10" s="1"/>
  <c r="C354" i="10" s="1"/>
  <c r="E353" i="10"/>
  <c r="D353" i="10" s="1"/>
  <c r="C353" i="10" s="1"/>
  <c r="E352" i="10"/>
  <c r="D352" i="10" s="1"/>
  <c r="C352" i="10" s="1"/>
  <c r="E351" i="10"/>
  <c r="D351" i="10" s="1"/>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c r="C341" i="10" s="1"/>
  <c r="E340" i="10"/>
  <c r="D340" i="10" s="1"/>
  <c r="C340" i="10" s="1"/>
  <c r="E339" i="10"/>
  <c r="D339" i="10" s="1"/>
  <c r="C339" i="10" s="1"/>
  <c r="E338" i="10"/>
  <c r="D338" i="10"/>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c r="E265" i="10"/>
  <c r="D265" i="10" s="1"/>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1708" i="10" l="1"/>
  <c r="S153" i="11"/>
  <c r="T153" i="11"/>
  <c r="C355" i="10"/>
  <c r="S31" i="11"/>
  <c r="T31" i="11"/>
  <c r="C702" i="10"/>
  <c r="S60" i="11"/>
  <c r="T60" i="11"/>
  <c r="C790" i="10"/>
  <c r="S68" i="11"/>
  <c r="T68" i="11"/>
  <c r="C521" i="10"/>
  <c r="S45" i="11"/>
  <c r="T45" i="11"/>
  <c r="C769" i="10"/>
  <c r="S66" i="11"/>
  <c r="T66" i="11"/>
  <c r="C881" i="10"/>
  <c r="S77" i="11"/>
  <c r="T77" i="11"/>
  <c r="C18" i="10"/>
  <c r="S4" i="11"/>
  <c r="T4" i="11"/>
  <c r="C220" i="10"/>
  <c r="S20" i="11"/>
  <c r="T20" i="11"/>
  <c r="C533" i="10"/>
  <c r="S46" i="11"/>
  <c r="T46" i="11"/>
  <c r="C594" i="10"/>
  <c r="S51" i="11"/>
  <c r="T51" i="11"/>
  <c r="C737" i="10"/>
  <c r="S63" i="11"/>
  <c r="T63" i="11"/>
  <c r="C759" i="10"/>
  <c r="S65" i="11"/>
  <c r="T65" i="11"/>
  <c r="C800" i="10"/>
  <c r="S69" i="11"/>
  <c r="T69" i="11"/>
  <c r="C901" i="10"/>
  <c r="S79" i="11"/>
  <c r="T79" i="11"/>
  <c r="C930" i="10"/>
  <c r="S82" i="11"/>
  <c r="T82" i="11"/>
  <c r="C967" i="10"/>
  <c r="S86" i="11"/>
  <c r="T86" i="11"/>
  <c r="C1012" i="10"/>
  <c r="S91" i="11"/>
  <c r="T91" i="11"/>
  <c r="C1075" i="10"/>
  <c r="T96" i="11"/>
  <c r="S96" i="11"/>
  <c r="C1173" i="10"/>
  <c r="S104" i="11"/>
  <c r="T104" i="11"/>
  <c r="C1185" i="10"/>
  <c r="S105" i="11"/>
  <c r="T105" i="11"/>
  <c r="C1209" i="10"/>
  <c r="S107" i="11"/>
  <c r="T107" i="11"/>
  <c r="C1351" i="10"/>
  <c r="S119" i="11"/>
  <c r="T119" i="11"/>
  <c r="C1429" i="10"/>
  <c r="S126" i="11"/>
  <c r="T126" i="11"/>
  <c r="C1459" i="10"/>
  <c r="S129" i="11"/>
  <c r="T129" i="11"/>
  <c r="C1488" i="10"/>
  <c r="S132" i="11"/>
  <c r="T132" i="11"/>
  <c r="C1681" i="10"/>
  <c r="S150" i="11"/>
  <c r="T150" i="11"/>
  <c r="C1717" i="10"/>
  <c r="S154" i="11"/>
  <c r="T154" i="11"/>
  <c r="S155" i="11"/>
  <c r="T155" i="11"/>
  <c r="C1733" i="10"/>
  <c r="T156" i="11"/>
  <c r="S156" i="11"/>
  <c r="C1741" i="10"/>
  <c r="S157" i="11"/>
  <c r="T157" i="11"/>
  <c r="C1756" i="10"/>
  <c r="S159" i="11"/>
  <c r="T159" i="11"/>
  <c r="C1764" i="10"/>
  <c r="S160" i="11"/>
  <c r="T160" i="11"/>
  <c r="C1772" i="10"/>
  <c r="S161" i="11"/>
  <c r="T161" i="11"/>
  <c r="C84" i="10"/>
  <c r="S9" i="11"/>
  <c r="T9" i="11"/>
  <c r="C161" i="10"/>
  <c r="S15" i="11"/>
  <c r="T15" i="11"/>
  <c r="C293" i="10"/>
  <c r="S26" i="11"/>
  <c r="T26" i="11"/>
  <c r="C366" i="10"/>
  <c r="S32" i="11"/>
  <c r="T32" i="11"/>
  <c r="C390" i="10"/>
  <c r="S34" i="11"/>
  <c r="T34" i="11"/>
  <c r="C509" i="10"/>
  <c r="S44" i="11"/>
  <c r="T44" i="11"/>
  <c r="C656" i="10"/>
  <c r="S56" i="11"/>
  <c r="T56" i="11"/>
  <c r="C849" i="10"/>
  <c r="S74" i="11"/>
  <c r="T74" i="11"/>
  <c r="C983" i="10"/>
  <c r="S88" i="11"/>
  <c r="T88" i="11"/>
  <c r="C1120" i="10"/>
  <c r="S100" i="11"/>
  <c r="T100" i="11"/>
  <c r="C1374" i="10"/>
  <c r="S121" i="11"/>
  <c r="T121" i="11"/>
  <c r="C1396" i="10"/>
  <c r="S123" i="11"/>
  <c r="T123" i="11"/>
  <c r="C1518" i="10"/>
  <c r="S135" i="11"/>
  <c r="T135" i="11"/>
  <c r="C1547" i="10"/>
  <c r="S138" i="11"/>
  <c r="T138" i="11"/>
  <c r="C1637" i="10"/>
  <c r="S146" i="11"/>
  <c r="T146" i="11"/>
  <c r="C1749" i="10"/>
  <c r="S158" i="11"/>
  <c r="T158" i="11"/>
  <c r="C1781" i="10"/>
  <c r="E162" i="11"/>
  <c r="M162" i="11"/>
  <c r="U162" i="11"/>
  <c r="F162" i="11"/>
  <c r="N162" i="11"/>
  <c r="V162" i="11"/>
  <c r="G162" i="11"/>
  <c r="O162" i="11"/>
  <c r="AE162" i="11"/>
  <c r="AM162" i="11"/>
  <c r="H162" i="11"/>
  <c r="P162" i="11"/>
  <c r="AF162" i="11"/>
  <c r="AN162" i="11"/>
  <c r="I162" i="11"/>
  <c r="Y162" i="11"/>
  <c r="J162" i="11"/>
  <c r="Z162" i="11"/>
  <c r="K162" i="11"/>
  <c r="S162" i="11"/>
  <c r="AA162" i="11"/>
  <c r="AI162" i="11"/>
  <c r="L162" i="11"/>
  <c r="T162" i="11"/>
  <c r="AB162" i="11"/>
  <c r="AJ162" i="11"/>
  <c r="C5" i="10"/>
  <c r="AD3" i="11" s="1"/>
  <c r="S3" i="11"/>
  <c r="T3" i="11"/>
  <c r="C109" i="10"/>
  <c r="S11" i="11"/>
  <c r="T11" i="11"/>
  <c r="C123" i="10"/>
  <c r="S12" i="11"/>
  <c r="T12" i="11"/>
  <c r="C185" i="10"/>
  <c r="S17" i="11"/>
  <c r="T17" i="11"/>
  <c r="C472" i="10"/>
  <c r="S41" i="11"/>
  <c r="T41" i="11"/>
  <c r="C569" i="10"/>
  <c r="S49" i="11"/>
  <c r="T49" i="11"/>
  <c r="C692" i="10"/>
  <c r="S59" i="11"/>
  <c r="T59" i="11"/>
  <c r="C976" i="10"/>
  <c r="S87" i="11"/>
  <c r="T87" i="11"/>
  <c r="C1046" i="10"/>
  <c r="S94" i="11"/>
  <c r="T94" i="11"/>
  <c r="C1062" i="10"/>
  <c r="S95" i="11"/>
  <c r="T95" i="11"/>
  <c r="C1099" i="10"/>
  <c r="S98" i="11"/>
  <c r="T98" i="11"/>
  <c r="C1233" i="10"/>
  <c r="S109" i="11"/>
  <c r="T109" i="11"/>
  <c r="C1255" i="10"/>
  <c r="S111" i="11"/>
  <c r="T111" i="11"/>
  <c r="C1316" i="10"/>
  <c r="S116" i="11"/>
  <c r="T116" i="11"/>
  <c r="C1527" i="10"/>
  <c r="S136" i="11"/>
  <c r="T136" i="11"/>
  <c r="C1600" i="10"/>
  <c r="S143" i="11"/>
  <c r="T143" i="11"/>
  <c r="S151" i="11"/>
  <c r="T151" i="11"/>
  <c r="C207" i="10"/>
  <c r="S19" i="11"/>
  <c r="T19" i="11"/>
  <c r="C71" i="10"/>
  <c r="S8" i="11"/>
  <c r="T8" i="11"/>
  <c r="C281" i="10"/>
  <c r="AC25" i="11" s="1"/>
  <c r="S25" i="11"/>
  <c r="T25" i="11"/>
  <c r="C317" i="10"/>
  <c r="S28" i="11"/>
  <c r="T28" i="11"/>
  <c r="C424" i="10"/>
  <c r="S37" i="11"/>
  <c r="T37" i="11"/>
  <c r="C497" i="10"/>
  <c r="S43" i="11"/>
  <c r="T43" i="11"/>
  <c r="C556" i="10"/>
  <c r="S48" i="11"/>
  <c r="T48" i="11"/>
  <c r="C726" i="10"/>
  <c r="S62" i="11"/>
  <c r="T62" i="11"/>
  <c r="C939" i="10"/>
  <c r="S83" i="11"/>
  <c r="T83" i="11"/>
  <c r="C993" i="10"/>
  <c r="S89" i="11"/>
  <c r="T89" i="11"/>
  <c r="C1023" i="10"/>
  <c r="S92" i="11"/>
  <c r="T92" i="11"/>
  <c r="C1086" i="10"/>
  <c r="S97" i="11"/>
  <c r="T97" i="11"/>
  <c r="C1160" i="10"/>
  <c r="S103" i="11"/>
  <c r="T103" i="11"/>
  <c r="C1293" i="10"/>
  <c r="S114" i="11"/>
  <c r="T114" i="11"/>
  <c r="C1339" i="10"/>
  <c r="S118" i="11"/>
  <c r="T118" i="11"/>
  <c r="C1468" i="10"/>
  <c r="S130" i="11"/>
  <c r="T130" i="11"/>
  <c r="C1498" i="10"/>
  <c r="S133" i="11"/>
  <c r="T133" i="11"/>
  <c r="C1578" i="10"/>
  <c r="S141" i="11"/>
  <c r="T141" i="11"/>
  <c r="C1660" i="10"/>
  <c r="S148" i="11"/>
  <c r="T148" i="11"/>
  <c r="C1698" i="10"/>
  <c r="S152" i="11"/>
  <c r="T152" i="11"/>
  <c r="C194" i="10"/>
  <c r="S18" i="11"/>
  <c r="T18" i="11"/>
  <c r="C412" i="10"/>
  <c r="S36" i="11"/>
  <c r="T36" i="11"/>
  <c r="C437" i="10"/>
  <c r="S38" i="11"/>
  <c r="T38" i="11"/>
  <c r="C448" i="10"/>
  <c r="S39" i="11"/>
  <c r="T39" i="11"/>
  <c r="C484" i="10"/>
  <c r="S42" i="11"/>
  <c r="T42" i="11"/>
  <c r="C605" i="10"/>
  <c r="S52" i="11"/>
  <c r="T52" i="11"/>
  <c r="C644" i="10"/>
  <c r="W55" i="11" s="1"/>
  <c r="S55" i="11"/>
  <c r="T55" i="11"/>
  <c r="C680" i="10"/>
  <c r="S58" i="11"/>
  <c r="T58" i="11"/>
  <c r="C748" i="10"/>
  <c r="S64" i="11"/>
  <c r="T64" i="11"/>
  <c r="C810" i="10"/>
  <c r="S70" i="11"/>
  <c r="T70" i="11"/>
  <c r="C839" i="10"/>
  <c r="S73" i="11"/>
  <c r="T73" i="11"/>
  <c r="C871" i="10"/>
  <c r="S76" i="11"/>
  <c r="T76" i="11"/>
  <c r="C891" i="10"/>
  <c r="S78" i="11"/>
  <c r="T78" i="11"/>
  <c r="C910" i="10"/>
  <c r="S80" i="11"/>
  <c r="T80" i="11"/>
  <c r="C1032" i="10"/>
  <c r="S93" i="11"/>
  <c r="T93" i="11"/>
  <c r="C1197" i="10"/>
  <c r="S106" i="11"/>
  <c r="T106" i="11"/>
  <c r="C1363" i="10"/>
  <c r="S120" i="11"/>
  <c r="T120" i="11"/>
  <c r="C1440" i="10"/>
  <c r="S127" i="11"/>
  <c r="T127" i="11"/>
  <c r="C1610" i="10"/>
  <c r="S144" i="11"/>
  <c r="T144" i="11"/>
  <c r="C149" i="10"/>
  <c r="S14" i="11"/>
  <c r="T14" i="11"/>
  <c r="C257" i="10"/>
  <c r="S23" i="11"/>
  <c r="T23" i="11"/>
  <c r="C304" i="10"/>
  <c r="S27" i="11"/>
  <c r="T27" i="11"/>
  <c r="S40" i="11"/>
  <c r="T40" i="11"/>
  <c r="C618" i="10"/>
  <c r="S53" i="11"/>
  <c r="T53" i="11"/>
  <c r="C715" i="10"/>
  <c r="S61" i="11"/>
  <c r="T61" i="11"/>
  <c r="C825" i="10"/>
  <c r="S72" i="11"/>
  <c r="T72" i="11"/>
  <c r="C859" i="10"/>
  <c r="S75" i="11"/>
  <c r="T75" i="11"/>
  <c r="C919" i="10"/>
  <c r="S81" i="11"/>
  <c r="T81" i="11"/>
  <c r="C949" i="10"/>
  <c r="S84" i="11"/>
  <c r="T84" i="11"/>
  <c r="S108" i="11"/>
  <c r="T108" i="11"/>
  <c r="C1385" i="10"/>
  <c r="S122" i="11"/>
  <c r="T122" i="11"/>
  <c r="C1419" i="10"/>
  <c r="S125" i="11"/>
  <c r="T125" i="11"/>
  <c r="C1449" i="10"/>
  <c r="T128" i="11"/>
  <c r="S128" i="11"/>
  <c r="C1558" i="10"/>
  <c r="S139" i="11"/>
  <c r="T139" i="11"/>
  <c r="C1648" i="10"/>
  <c r="S147" i="11"/>
  <c r="T147" i="11"/>
  <c r="C1793" i="10"/>
  <c r="S164" i="11"/>
  <c r="S165" i="11" s="1"/>
  <c r="T164" i="11"/>
  <c r="T165" i="11" s="1"/>
  <c r="C44" i="10"/>
  <c r="S6" i="11"/>
  <c r="T6" i="11"/>
  <c r="C57" i="10"/>
  <c r="S7" i="11"/>
  <c r="T7" i="11"/>
  <c r="C2" i="10"/>
  <c r="T2" i="11"/>
  <c r="S2" i="11"/>
  <c r="C97" i="10"/>
  <c r="S10" i="11"/>
  <c r="T10" i="11"/>
  <c r="C135" i="10"/>
  <c r="AL13" i="11" s="1"/>
  <c r="S13" i="11"/>
  <c r="T13" i="11"/>
  <c r="C174" i="10"/>
  <c r="S16" i="11"/>
  <c r="T16" i="11"/>
  <c r="C233" i="10"/>
  <c r="S21" i="11"/>
  <c r="T21" i="11"/>
  <c r="C245" i="10"/>
  <c r="S22" i="11"/>
  <c r="T22" i="11"/>
  <c r="C270" i="10"/>
  <c r="S24" i="11"/>
  <c r="T24" i="11"/>
  <c r="C344" i="10"/>
  <c r="S30" i="11"/>
  <c r="T30" i="11"/>
  <c r="C812" i="10"/>
  <c r="S71" i="11"/>
  <c r="T71" i="11"/>
  <c r="C958" i="10"/>
  <c r="S85" i="11"/>
  <c r="T85" i="11"/>
  <c r="C1002" i="10"/>
  <c r="S90" i="11"/>
  <c r="T90" i="11"/>
  <c r="C1110" i="10"/>
  <c r="S99" i="11"/>
  <c r="T99" i="11"/>
  <c r="C1147" i="10"/>
  <c r="S102" i="11"/>
  <c r="T102" i="11"/>
  <c r="C1244" i="10"/>
  <c r="S110" i="11"/>
  <c r="T110" i="11"/>
  <c r="C1281" i="10"/>
  <c r="X113" i="11" s="1"/>
  <c r="S113" i="11"/>
  <c r="T113" i="11"/>
  <c r="C1304" i="10"/>
  <c r="S115" i="11"/>
  <c r="T115" i="11"/>
  <c r="C1327" i="10"/>
  <c r="S117" i="11"/>
  <c r="T117" i="11"/>
  <c r="C1407" i="10"/>
  <c r="S124" i="11"/>
  <c r="T124" i="11"/>
  <c r="C1478" i="10"/>
  <c r="S131" i="11"/>
  <c r="T131" i="11"/>
  <c r="C1508" i="10"/>
  <c r="S134" i="11"/>
  <c r="T134" i="11"/>
  <c r="C1537" i="10"/>
  <c r="S137" i="11"/>
  <c r="T137" i="11"/>
  <c r="C1588" i="10"/>
  <c r="S142" i="11"/>
  <c r="T142" i="11"/>
  <c r="C1671" i="10"/>
  <c r="S149" i="11"/>
  <c r="T149" i="11"/>
  <c r="C31" i="10"/>
  <c r="S5" i="11"/>
  <c r="T5" i="11"/>
  <c r="C333" i="10"/>
  <c r="S29" i="11"/>
  <c r="T29" i="11"/>
  <c r="C378" i="10"/>
  <c r="S33" i="11"/>
  <c r="T33" i="11"/>
  <c r="C401" i="10"/>
  <c r="S35" i="11"/>
  <c r="T35" i="11"/>
  <c r="C545" i="10"/>
  <c r="S47" i="11"/>
  <c r="T47" i="11"/>
  <c r="C580" i="10"/>
  <c r="S50" i="11"/>
  <c r="T50" i="11"/>
  <c r="C631" i="10"/>
  <c r="S54" i="11"/>
  <c r="T54" i="11"/>
  <c r="C668" i="10"/>
  <c r="S57" i="11"/>
  <c r="T57" i="11"/>
  <c r="C779" i="10"/>
  <c r="S67" i="11"/>
  <c r="T67" i="11"/>
  <c r="C1133" i="10"/>
  <c r="S101" i="11"/>
  <c r="T101" i="11"/>
  <c r="C1267" i="10"/>
  <c r="S112" i="11"/>
  <c r="T112" i="11"/>
  <c r="C1567" i="10"/>
  <c r="S140" i="11"/>
  <c r="T140" i="11"/>
  <c r="C1620" i="10"/>
  <c r="S145" i="11"/>
  <c r="T145" i="11"/>
  <c r="C1787" i="10"/>
  <c r="G163" i="11"/>
  <c r="O163" i="11"/>
  <c r="AE163" i="11"/>
  <c r="AM163" i="11"/>
  <c r="H163" i="11"/>
  <c r="P163" i="11"/>
  <c r="AF163" i="11"/>
  <c r="AN163" i="11"/>
  <c r="I163" i="11"/>
  <c r="Y163" i="11"/>
  <c r="J163" i="11"/>
  <c r="Z163" i="11"/>
  <c r="K163" i="11"/>
  <c r="S163" i="11"/>
  <c r="AA163" i="11"/>
  <c r="AI163" i="11"/>
  <c r="L163" i="11"/>
  <c r="T163" i="11"/>
  <c r="AB163" i="11"/>
  <c r="AJ163" i="11"/>
  <c r="E163" i="11"/>
  <c r="M163" i="11"/>
  <c r="U163" i="11"/>
  <c r="F163" i="11"/>
  <c r="N163" i="11"/>
  <c r="V163" i="11"/>
  <c r="H15" i="6"/>
  <c r="K27" i="6"/>
  <c r="K28" i="6"/>
  <c r="M21" i="6"/>
  <c r="B13" i="6"/>
  <c r="A17" i="6"/>
  <c r="B17" i="6"/>
  <c r="A13" i="6"/>
  <c r="AH3" i="11"/>
  <c r="R3" i="11"/>
  <c r="AM5" i="11"/>
  <c r="AI5" i="11"/>
  <c r="AE5" i="11"/>
  <c r="AA5" i="11"/>
  <c r="M5" i="11"/>
  <c r="I5" i="11"/>
  <c r="E5" i="11"/>
  <c r="Z5" i="11"/>
  <c r="V5" i="11"/>
  <c r="P5" i="11"/>
  <c r="L5" i="11"/>
  <c r="H5" i="11"/>
  <c r="Y5" i="11"/>
  <c r="U5" i="11"/>
  <c r="O5" i="11"/>
  <c r="K5" i="11"/>
  <c r="G5" i="11"/>
  <c r="AN5" i="11"/>
  <c r="AJ5" i="11"/>
  <c r="AF5" i="11"/>
  <c r="AB5" i="11"/>
  <c r="N5" i="11"/>
  <c r="J5" i="11"/>
  <c r="F5" i="11"/>
  <c r="C33" i="10"/>
  <c r="AD13" i="11"/>
  <c r="AC13" i="11"/>
  <c r="C13" i="11"/>
  <c r="R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W9" i="11" s="1"/>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AL9" i="11"/>
  <c r="AK9" i="11"/>
  <c r="AG9" i="11"/>
  <c r="X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K25" i="11"/>
  <c r="AG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AK55" i="11"/>
  <c r="AG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D93" i="11" s="1"/>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X118" i="11" s="1"/>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C118" i="11"/>
  <c r="C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R93" i="11"/>
  <c r="AH93" i="11"/>
  <c r="AD93" i="11"/>
  <c r="AG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136" i="11" l="1"/>
  <c r="AL93" i="11"/>
  <c r="AH118" i="11"/>
  <c r="AG118" i="11"/>
  <c r="D55" i="11"/>
  <c r="Q25" i="11"/>
  <c r="D25" i="11"/>
  <c r="D9" i="11"/>
  <c r="AG13" i="11"/>
  <c r="X3" i="11"/>
  <c r="AL3" i="11"/>
  <c r="Q138" i="11"/>
  <c r="C93" i="11"/>
  <c r="Q93" i="11"/>
  <c r="AL118" i="11"/>
  <c r="AK118" i="11"/>
  <c r="AD55" i="11"/>
  <c r="W25" i="11"/>
  <c r="AD25" i="11"/>
  <c r="AD9" i="11"/>
  <c r="AK13" i="11"/>
  <c r="C3" i="11"/>
  <c r="Q3" i="11"/>
  <c r="AG130" i="11"/>
  <c r="AC93" i="11"/>
  <c r="W93" i="11"/>
  <c r="Q118" i="11"/>
  <c r="R55" i="11"/>
  <c r="AH55" i="11"/>
  <c r="R25" i="11"/>
  <c r="AH25" i="11"/>
  <c r="R9" i="11"/>
  <c r="AH9" i="11"/>
  <c r="Q13" i="11"/>
  <c r="D13" i="11"/>
  <c r="AC3" i="11"/>
  <c r="W3" i="11"/>
  <c r="AC162" i="11"/>
  <c r="AK162" i="11"/>
  <c r="AD162" i="11"/>
  <c r="AL162" i="11"/>
  <c r="W162" i="11"/>
  <c r="X162" i="11"/>
  <c r="Q162" i="11"/>
  <c r="AG162" i="11"/>
  <c r="R162" i="11"/>
  <c r="AH162" i="11"/>
  <c r="C162" i="11"/>
  <c r="D162" i="11"/>
  <c r="W118" i="11"/>
  <c r="D113" i="11"/>
  <c r="X55" i="11"/>
  <c r="AL55" i="11"/>
  <c r="X25" i="11"/>
  <c r="AL25" i="11"/>
  <c r="AG3" i="11"/>
  <c r="AK93" i="11"/>
  <c r="X93" i="11"/>
  <c r="AD119" i="11"/>
  <c r="R118" i="11"/>
  <c r="C55" i="11"/>
  <c r="Q55" i="11"/>
  <c r="C25" i="11"/>
  <c r="C9" i="11"/>
  <c r="Q9" i="11"/>
  <c r="W13" i="11"/>
  <c r="AH13" i="11"/>
  <c r="AK3" i="11"/>
  <c r="C119" i="11"/>
  <c r="AC55" i="11"/>
  <c r="AC9" i="11"/>
  <c r="X13" i="11"/>
  <c r="D3" i="11"/>
  <c r="W163" i="11"/>
  <c r="X163" i="11"/>
  <c r="Q163" i="11"/>
  <c r="AG163" i="11"/>
  <c r="R163" i="11"/>
  <c r="AH163" i="11"/>
  <c r="C163" i="11"/>
  <c r="D163" i="11"/>
  <c r="AC163" i="11"/>
  <c r="AK163" i="11"/>
  <c r="AD163" i="11"/>
  <c r="AL163" i="11"/>
  <c r="AC101"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<sst xmlns="http://schemas.openxmlformats.org/spreadsheetml/2006/main" count="4861" uniqueCount="480">
  <si>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</si>
  <si>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</si>
  <si>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</si>
  <si>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</si>
  <si>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</si>
  <si>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</si>
  <si>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</si>
  <si>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</si>
  <si>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</si>
  <si>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</si>
  <si>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</si>
  <si>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</si>
  <si>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</si>
  <si>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</si>
  <si>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</si>
  <si>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</si>
  <si>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</si>
  <si>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</si>
  <si>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</si>
  <si>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</si>
  <si>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</si>
  <si>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</si>
  <si>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</si>
  <si>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</si>
  <si>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</si>
  <si>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</si>
  <si>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</si>
  <si>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</si>
  <si>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</si>
  <si>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</si>
  <si>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</si>
  <si>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</si>
  <si>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</si>
  <si>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</si>
  <si>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</si>
  <si>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</si>
  <si>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</si>
  <si>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</si>
  <si>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</si>
  <si>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</si>
  <si>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</si>
  <si>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</si>
  <si>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</si>
  <si>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</si>
  <si>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</si>
  <si>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</si>
  <si>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</si>
  <si>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</si>
  <si>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</si>
  <si>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</si>
  <si>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</si>
  <si>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</si>
  <si>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</si>
  <si>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</si>
  <si>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</si>
  <si>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</si>
  <si>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</si>
  <si>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</si>
  <si>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</si>
  <si>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</si>
  <si>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</si>
  <si>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</si>
  <si>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</si>
  <si>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</si>
  <si>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</si>
  <si>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</si>
  <si>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</si>
  <si>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</si>
  <si>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</si>
  <si>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</si>
  <si>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</si>
  <si>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</si>
  <si>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</si>
  <si>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</si>
  <si>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</si>
  <si>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</si>
  <si>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</si>
  <si>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</si>
  <si>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</si>
  <si>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</si>
  <si>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</si>
  <si>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</si>
  <si>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</si>
  <si>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</si>
  <si>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</si>
  <si>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</si>
  <si>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</si>
  <si>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</si>
  <si>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</si>
  <si>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</si>
  <si>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</si>
  <si>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</si>
  <si>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</si>
  <si>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</si>
  <si>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</si>
  <si>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</si>
  <si>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</si>
  <si>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</si>
  <si>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</si>
  <si>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</si>
  <si>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</si>
  <si>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</si>
  <si>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</si>
  <si>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</si>
  <si>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</si>
  <si>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</si>
  <si>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</si>
  <si>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</si>
  <si>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</si>
  <si>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</si>
  <si>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</si>
  <si>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</si>
  <si>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</si>
  <si>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</si>
  <si>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</si>
  <si>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</si>
  <si>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</si>
  <si>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</si>
  <si>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</si>
  <si>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</si>
  <si>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</si>
  <si>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</si>
  <si>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</si>
  <si>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</si>
  <si>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</si>
  <si>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</si>
  <si>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</si>
  <si>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</si>
  <si>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</si>
  <si>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</si>
  <si>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</si>
  <si>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</si>
  <si>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</si>
  <si>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</si>
  <si>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</si>
  <si>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</si>
  <si>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</si>
  <si>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</si>
  <si>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</si>
  <si>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</si>
  <si>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</si>
  <si>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</si>
  <si>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</si>
  <si>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</si>
  <si>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</si>
  <si>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</si>
  <si>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</si>
  <si>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</si>
  <si>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</si>
  <si>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</si>
  <si>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</si>
  <si>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</si>
  <si>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</si>
  <si>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</si>
  <si>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</si>
  <si>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</si>
  <si>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</si>
  <si>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</si>
  <si>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</si>
  <si>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</si>
  <si>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</si>
  <si>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</si>
  <si>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</si>
  <si>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</si>
  <si>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</si>
  <si>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</si>
  <si>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</si>
  <si>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</si>
  <si>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</si>
  <si>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</si>
  <si>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</si>
  <si>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</si>
  <si>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</si>
  <si>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</si>
  <si>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</si>
  <si>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</si>
  <si>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</si>
  <si>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</si>
  <si>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</si>
  <si>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</si>
  <si>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</si>
  <si>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</si>
  <si>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</si>
  <si>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</si>
  <si>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</si>
  <si>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</si>
  <si>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</si>
  <si>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</si>
  <si>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</si>
  <si>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</si>
  <si>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</si>
  <si>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</si>
  <si>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</si>
  <si>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</si>
  <si>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</si>
  <si>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</si>
  <si>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</si>
  <si>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</si>
  <si>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</si>
  <si>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</si>
  <si>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</si>
  <si>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</si>
  <si>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</si>
  <si>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</si>
  <si>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</si>
  <si>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</si>
  <si>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</si>
  <si>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</si>
  <si>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</si>
  <si>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</si>
  <si>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</si>
  <si>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</si>
  <si>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</si>
  <si>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</si>
  <si>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</si>
  <si>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</si>
  <si>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</si>
  <si>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</si>
  <si>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</si>
  <si>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</si>
  <si>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</si>
  <si>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</si>
  <si>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</si>
  <si>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</si>
  <si>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</si>
  <si>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</si>
  <si>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</si>
  <si>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</si>
  <si>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</si>
  <si>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</si>
  <si>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</si>
  <si>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</si>
  <si>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</si>
  <si>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</si>
  <si>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</si>
  <si>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</si>
  <si>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</si>
  <si>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</si>
  <si>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</si>
  <si>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</si>
  <si>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</si>
  <si>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</si>
  <si>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</si>
  <si>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</si>
  <si>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</si>
  <si>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</si>
  <si>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</si>
  <si>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</si>
  <si>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</si>
  <si>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</si>
  <si>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</si>
  <si>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</si>
  <si>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</si>
  <si>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</si>
  <si>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</si>
  <si>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</si>
  <si>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</si>
  <si>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</si>
  <si>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</si>
  <si>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</si>
  <si>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</si>
  <si>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</si>
  <si>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</si>
  <si>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</si>
  <si>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</si>
  <si>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</si>
  <si>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</si>
  <si>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</si>
  <si>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</si>
  <si>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</si>
  <si>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</si>
  <si>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</si>
  <si>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</si>
  <si>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</si>
  <si>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</si>
  <si>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</si>
  <si>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</si>
  <si>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</si>
  <si>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</si>
  <si>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</si>
  <si>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</si>
  <si>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</si>
  <si>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</si>
  <si>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</si>
  <si>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</si>
  <si>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</si>
  <si>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</si>
  <si>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</si>
  <si>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</si>
  <si>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</si>
  <si>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</si>
  <si>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</si>
  <si>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</si>
  <si>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</si>
  <si>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</si>
  <si>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</si>
  <si>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</si>
  <si>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</si>
  <si>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</si>
  <si>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</si>
  <si>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</si>
  <si>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</si>
  <si>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</si>
  <si>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</si>
  <si>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</si>
  <si>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</si>
  <si>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</si>
  <si>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</si>
  <si>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</si>
  <si>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</si>
  <si>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</si>
  <si>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</si>
  <si>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</si>
  <si>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</si>
  <si>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</si>
  <si>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</si>
  <si>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</si>
  <si>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</si>
  <si>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</si>
  <si>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</si>
  <si>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</si>
  <si>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</si>
  <si>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</si>
  <si>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</si>
  <si>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</si>
  <si>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</si>
  <si>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</si>
  <si>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</si>
  <si>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</si>
  <si>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</si>
  <si>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</si>
  <si>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</si>
  <si>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</si>
  <si>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</si>
  <si>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</si>
  <si>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</si>
  <si>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</si>
  <si>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</si>
  <si>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</si>
  <si>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</si>
  <si>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</si>
  <si>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</si>
  <si>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</si>
  <si>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</si>
  <si>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</si>
  <si>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</si>
  <si>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</si>
  <si>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</si>
  <si>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</si>
  <si>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</si>
  <si>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</si>
  <si>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</si>
  <si>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</si>
  <si>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</si>
  <si>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</si>
  <si>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</si>
  <si>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</si>
  <si>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</si>
  <si>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</si>
  <si>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</si>
  <si>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</si>
  <si>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</si>
  <si>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</si>
  <si>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</si>
  <si>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</si>
  <si>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</si>
  <si>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</si>
  <si>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</si>
  <si>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</si>
  <si>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</si>
  <si>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</si>
  <si>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</si>
  <si>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</si>
  <si>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</si>
  <si>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</si>
  <si>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</si>
  <si>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</si>
  <si>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</si>
  <si>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</si>
  <si>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</si>
  <si>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</si>
  <si>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</si>
  <si>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</si>
  <si>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</si>
  <si>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</si>
  <si>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</si>
  <si>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</si>
  <si>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</si>
  <si>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</si>
  <si>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</si>
  <si>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</si>
  <si>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</si>
  <si>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</si>
  <si>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</si>
  <si>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</si>
  <si>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</si>
  <si>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</si>
  <si>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</si>
  <si>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</si>
  <si>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</si>
  <si>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</si>
  <si>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</si>
  <si>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</si>
  <si>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</si>
  <si>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</si>
  <si>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</si>
  <si>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</si>
  <si>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</si>
  <si>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</si>
  <si>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</si>
  <si>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</si>
  <si>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</si>
  <si>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</si>
  <si>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</si>
  <si>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</si>
  <si>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</si>
  <si>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</si>
  <si>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</si>
  <si>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</si>
  <si>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</si>
  <si>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</si>
  <si>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</si>
  <si>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</si>
  <si>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</si>
  <si>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</si>
  <si>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</si>
  <si>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</si>
  <si>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</si>
  <si>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</si>
  <si>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</si>
  <si>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</si>
  <si>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</si>
  <si>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</si>
  <si>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</si>
  <si>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</si>
  <si>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</si>
  <si>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</si>
  <si>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</si>
  <si>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</si>
  <si>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</si>
  <si>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</si>
  <si>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</si>
  <si>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</si>
  <si>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</si>
  <si>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</si>
  <si>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</si>
  <si>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</si>
  <si>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</si>
  <si>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</si>
  <si>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</si>
  <si>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</si>
  <si>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</si>
  <si>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</si>
  <si>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</si>
  <si>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</si>
  <si>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</si>
  <si>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</si>
  <si>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</si>
  <si>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</si>
  <si>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</si>
  <si>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</si>
  <si>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</si>
  <si>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</si>
  <si>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</si>
  <si>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</si>
  <si>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</si>
  <si>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</si>
  <si>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</si>
  <si>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</si>
  <si>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</si>
  <si>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</si>
  <si>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</si>
  <si>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</si>
  <si>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</si>
  <si>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</si>
  <si>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</si>
  <si>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</si>
  <si>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</si>
  <si>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</si>
  <si>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实施小学教育，促进基础教育发展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</si>
</sst>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3.5"/>
  <cols>
    <col min="1" max="1" width="16.5" customWidth="1"/>
    <col min="2" max="2" width="12.75" bestFit="1" customWidth="1"/>
  </cols>
  <sheetData>
    <row r="1" spans="1:14" ht="37.9" customHeight="1">
      <c r="A1" s="27" t="s">
        <v>0</v>
      </c>
      <c r="B1" s="28">
        <v>255140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北京市西城区炭儿胡同小学</v>
      </c>
      <c r="B11" s="79"/>
      <c r="C11" s="79"/>
      <c r="D11" s="79"/>
      <c r="E11" s="79"/>
      <c r="F11" s="79"/>
      <c r="G11" s="79"/>
      <c r="H11" s="79"/>
      <c r="I11" s="79"/>
      <c r="J11" s="79"/>
      <c r="K11" s="79"/>
      <c r="L11" s="79"/>
      <c r="M11" s="79"/>
      <c r="N11" s="1"/>
    </row>
    <row r="12" spans="1:14" ht="72" customHeight="1">
      <c r="A12" s="79" t="s">
        <v>411</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75"/>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5"/>
  <sheetData>
    <row r="10" spans="1:14" ht="54.6" customHeight="1">
      <c r="A10" s="81" t="s">
        <v>416</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zoomScaleNormal="100" workbookViewId="0">
      <selection activeCell="A4" sqref="A4:M4"/>
    </sheetView>
  </sheetViews>
  <sheetFormatPr defaultRowHeight="13.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413</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9" t="s">
        <v>479</v>
      </c>
      <c r="B4" s="89"/>
      <c r="C4" s="89"/>
      <c r="D4" s="89"/>
      <c r="E4" s="89"/>
      <c r="F4" s="89"/>
      <c r="G4" s="89"/>
      <c r="H4" s="89"/>
      <c r="I4" s="89"/>
      <c r="J4" s="89"/>
      <c r="K4" s="89"/>
      <c r="L4" s="89"/>
      <c r="M4" s="89"/>
      <c r="N4" s="19"/>
    </row>
    <row r="5" spans="1:14" ht="18" customHeight="1">
      <c r="A5" s="7" t="s">
        <v>176</v>
      </c>
    </row>
    <row r="6" spans="1:14" ht="18" customHeight="1">
      <c r="A6" s="86" t="s">
        <v>246</v>
      </c>
      <c r="B6" s="86"/>
      <c r="C6" s="10"/>
      <c r="D6" s="10" t="s">
        <v>248</v>
      </c>
      <c r="E6" s="8">
        <f>_xlfn.IFNA(VLOOKUP(封面!B1,'2021决算导出'!A:C,3,FALSE),"")</f>
        <v>63</v>
      </c>
      <c r="F6" s="10" t="s">
        <v>249</v>
      </c>
      <c r="G6" s="10"/>
      <c r="H6" s="10"/>
      <c r="I6" s="10"/>
      <c r="J6" s="10"/>
      <c r="K6" s="10"/>
      <c r="L6" s="10"/>
      <c r="M6" s="10"/>
      <c r="N6" s="10"/>
    </row>
    <row r="7" spans="1:14" ht="18" customHeight="1">
      <c r="A7" s="6" t="s">
        <v>177</v>
      </c>
    </row>
    <row r="8" spans="1:14" ht="18" customHeight="1">
      <c r="A8" s="86" t="s">
        <v>417</v>
      </c>
      <c r="B8" s="86"/>
      <c r="C8" s="86"/>
      <c r="D8" s="14">
        <f>_xlfn.IFNA(VLOOKUP(封面!B1,'2021决算导出'!A:D,4,FALSE),"")</f>
        <v>29578331.859999999</v>
      </c>
      <c r="E8" s="7" t="s">
        <v>179</v>
      </c>
      <c r="F8" s="20" t="s">
        <v>250</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58143.800000000745</v>
      </c>
      <c r="I8" s="16" t="s">
        <v>179</v>
      </c>
      <c r="J8" s="30" t="str">
        <f>IF(ISNA(VLOOKUP(封面!B1,'2020决算导出'!A:D,4,FALSE)),"",IF(D8-VLOOKUP(封面!B1,'2020决算导出'!A:D,4,FALSE)&gt;0,"增长","下降"))</f>
        <v>增长</v>
      </c>
      <c r="K8" s="31">
        <f>IF(ISNA(VLOOKUP(封面!B1,'2020决算导出'!A:D,4,FALSE)),"",H8/VLOOKUP(封面!B1,'2020决算导出'!A:D,4,FALSE))</f>
        <v>1.9696283737021948E-3</v>
      </c>
      <c r="L8" s="7" t="s">
        <v>314</v>
      </c>
    </row>
    <row r="9" spans="1:14" ht="18" customHeight="1">
      <c r="A9" s="7" t="s">
        <v>180</v>
      </c>
      <c r="G9" s="32"/>
      <c r="H9" s="32"/>
      <c r="I9" s="32"/>
      <c r="J9" s="32"/>
      <c r="K9" s="32"/>
    </row>
    <row r="10" spans="1:14" ht="18" customHeight="1">
      <c r="A10" s="86" t="s">
        <v>418</v>
      </c>
      <c r="B10" s="86"/>
      <c r="C10" s="86"/>
      <c r="D10" s="14">
        <f>_xlfn.IFNA(VLOOKUP(封面!B1,'2021决算导出'!A:E,5,FALSE),"")</f>
        <v>29554023.129999999</v>
      </c>
      <c r="E10" s="7" t="s">
        <v>179</v>
      </c>
      <c r="F10" s="20" t="s">
        <v>250</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132250.91999999806</v>
      </c>
      <c r="I10" s="16" t="s">
        <v>179</v>
      </c>
      <c r="J10" s="30" t="str">
        <f>IF(ISNA(VLOOKUP(封面!B1,'2020决算导出'!A:E,5,FALSE)),"",IF(D10-VLOOKUP(封面!B1,'2020决算导出'!A:E,5,FALSE)&gt;0,"增长","下降"))</f>
        <v>增长</v>
      </c>
      <c r="K10" s="31">
        <f>IF(ISNA(VLOOKUP(封面!B1,'2020决算导出'!A:E,5,FALSE)),"",H10/VLOOKUP(封面!B1,'2020决算导出'!A:E,5,FALSE))</f>
        <v>4.4950018325221087E-3</v>
      </c>
      <c r="L10" s="7" t="s">
        <v>315</v>
      </c>
    </row>
    <row r="11" spans="1:14" ht="18" customHeight="1">
      <c r="A11" s="86" t="s">
        <v>181</v>
      </c>
      <c r="B11" s="86"/>
      <c r="C11" s="86"/>
      <c r="D11" s="14">
        <f>_xlfn.IFNA(VLOOKUP(封面!B1,'2021决算导出'!A:F,6,FALSE),"")</f>
        <v>29554023.129999999</v>
      </c>
      <c r="E11" s="7" t="s">
        <v>179</v>
      </c>
      <c r="F11" s="86" t="s">
        <v>182</v>
      </c>
      <c r="G11" s="86"/>
      <c r="H11" s="29">
        <f>D11/$D$10</f>
        <v>1</v>
      </c>
      <c r="I11" s="7" t="s">
        <v>316</v>
      </c>
    </row>
    <row r="12" spans="1:14" ht="18" customHeight="1">
      <c r="A12" s="86" t="s">
        <v>184</v>
      </c>
      <c r="B12" s="86"/>
      <c r="C12" s="86"/>
      <c r="D12" s="14">
        <f>_xlfn.IFNA(VLOOKUP(封面!B1,'2021决算导出'!A:G,7,FALSE),"")</f>
        <v>0</v>
      </c>
      <c r="E12" s="7" t="s">
        <v>179</v>
      </c>
      <c r="F12" s="86" t="s">
        <v>182</v>
      </c>
      <c r="G12" s="86"/>
      <c r="H12" s="29">
        <f t="shared" ref="H12:H15" si="0">D12/$D$10</f>
        <v>0</v>
      </c>
      <c r="I12" s="7" t="s">
        <v>316</v>
      </c>
    </row>
    <row r="13" spans="1:14" ht="18" customHeight="1">
      <c r="A13" s="86" t="s">
        <v>185</v>
      </c>
      <c r="B13" s="86"/>
      <c r="C13" s="86"/>
      <c r="D13" s="14">
        <f>_xlfn.IFNA(VLOOKUP(封面!B1,'2021决算导出'!A:H,8,FALSE),"")</f>
        <v>0</v>
      </c>
      <c r="E13" s="7" t="s">
        <v>179</v>
      </c>
      <c r="F13" s="86" t="s">
        <v>182</v>
      </c>
      <c r="G13" s="86"/>
      <c r="H13" s="29">
        <f t="shared" si="0"/>
        <v>0</v>
      </c>
      <c r="I13" s="7" t="s">
        <v>316</v>
      </c>
    </row>
    <row r="14" spans="1:14" ht="18" customHeight="1">
      <c r="A14" s="86" t="s">
        <v>186</v>
      </c>
      <c r="B14" s="86"/>
      <c r="C14" s="86"/>
      <c r="D14" s="14">
        <f>_xlfn.IFNA(VLOOKUP(封面!B1,'2021决算导出'!A:I,9,FALSE),"")</f>
        <v>0</v>
      </c>
      <c r="E14" s="7" t="s">
        <v>179</v>
      </c>
      <c r="F14" s="86" t="s">
        <v>182</v>
      </c>
      <c r="G14" s="86"/>
      <c r="H14" s="29">
        <f t="shared" si="0"/>
        <v>0</v>
      </c>
      <c r="I14" s="7" t="s">
        <v>316</v>
      </c>
    </row>
    <row r="15" spans="1:14" ht="18" customHeight="1">
      <c r="A15" s="86" t="s">
        <v>187</v>
      </c>
      <c r="B15" s="86"/>
      <c r="C15" s="86"/>
      <c r="D15" s="14">
        <f>_xlfn.IFNA(VLOOKUP(封面!B1,'2021决算导出'!A:J,10,FALSE),"")</f>
        <v>0</v>
      </c>
      <c r="E15" s="7" t="s">
        <v>179</v>
      </c>
      <c r="F15" s="86" t="s">
        <v>182</v>
      </c>
      <c r="G15" s="86"/>
      <c r="H15" s="29">
        <f t="shared" si="0"/>
        <v>0</v>
      </c>
      <c r="I15" s="7" t="s">
        <v>317</v>
      </c>
    </row>
    <row r="16" spans="1:14" ht="18" customHeight="1">
      <c r="A16" s="7" t="s">
        <v>188</v>
      </c>
    </row>
    <row r="17" spans="1:13" ht="18" customHeight="1">
      <c r="A17" s="86" t="s">
        <v>419</v>
      </c>
      <c r="B17" s="86"/>
      <c r="C17" s="86"/>
      <c r="D17" s="14">
        <f>_xlfn.IFNA(VLOOKUP(封面!B1,'2021决算导出'!A:K,11,FALSE),"")</f>
        <v>29578031.859999999</v>
      </c>
      <c r="E17" s="7" t="s">
        <v>179</v>
      </c>
      <c r="F17" s="20" t="s">
        <v>250</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82152.530000001192</v>
      </c>
      <c r="I17" s="7" t="s">
        <v>179</v>
      </c>
      <c r="J17" s="30" t="str">
        <f>IF(ISNA(VLOOKUP(封面!B1,'2020决算导出'!A:K,11,FALSE)),"",IF(D17-VLOOKUP(封面!B1,'2020决算导出'!A:K,11,FALSE)&gt;0,"增长","下降"))</f>
        <v>增长</v>
      </c>
      <c r="K17" s="31">
        <f>IF(ISNA(VLOOKUP(封面!B1,'2020决算导出'!A:K,11,FALSE)),"",H17/VLOOKUP(封面!B1,'2020决算导出'!A:K,11,FALSE))</f>
        <v>2.7852205754193122E-3</v>
      </c>
      <c r="L17" s="7" t="s">
        <v>318</v>
      </c>
    </row>
    <row r="18" spans="1:13" ht="18" customHeight="1">
      <c r="A18" s="86" t="s">
        <v>189</v>
      </c>
      <c r="B18" s="86"/>
      <c r="C18" s="86"/>
      <c r="D18" s="14">
        <f>_xlfn.IFNA(VLOOKUP(封面!B1,'2021决算导出'!A:L,12,FALSE),"")</f>
        <v>26616952.920000002</v>
      </c>
      <c r="E18" s="7" t="s">
        <v>179</v>
      </c>
      <c r="F18" s="86" t="s">
        <v>190</v>
      </c>
      <c r="G18" s="86"/>
      <c r="H18" s="29">
        <f>D18/$D$17</f>
        <v>0.89988925044047885</v>
      </c>
      <c r="I18" s="7" t="s">
        <v>316</v>
      </c>
    </row>
    <row r="19" spans="1:13" ht="18" customHeight="1">
      <c r="A19" s="86" t="s">
        <v>191</v>
      </c>
      <c r="B19" s="86"/>
      <c r="C19" s="86"/>
      <c r="D19" s="14">
        <f>_xlfn.IFNA(VLOOKUP(封面!B1,'2021决算导出'!A:M,13,FALSE),"")</f>
        <v>2961078.94</v>
      </c>
      <c r="E19" s="7" t="s">
        <v>179</v>
      </c>
      <c r="F19" s="86" t="s">
        <v>190</v>
      </c>
      <c r="G19" s="86"/>
      <c r="H19" s="29">
        <f t="shared" ref="H19:H20" si="1">D19/$D$17</f>
        <v>0.10011074955952123</v>
      </c>
      <c r="I19" s="7" t="s">
        <v>316</v>
      </c>
    </row>
    <row r="20" spans="1:13" ht="18" customHeight="1">
      <c r="A20" s="86" t="s">
        <v>192</v>
      </c>
      <c r="B20" s="86"/>
      <c r="C20" s="86"/>
      <c r="D20" s="14">
        <f>_xlfn.IFNA(VLOOKUP(封面!B1,'2021决算导出'!A:N,14,FALSE),"")</f>
        <v>0</v>
      </c>
      <c r="E20" s="7" t="s">
        <v>179</v>
      </c>
      <c r="F20" s="86" t="s">
        <v>190</v>
      </c>
      <c r="G20" s="86"/>
      <c r="H20" s="29">
        <f t="shared" si="1"/>
        <v>0</v>
      </c>
      <c r="I20" s="7" t="s">
        <v>317</v>
      </c>
    </row>
    <row r="21" spans="1:13" ht="18" customHeight="1">
      <c r="A21" s="6" t="s">
        <v>193</v>
      </c>
    </row>
    <row r="22" spans="1:13" ht="18" customHeight="1">
      <c r="A22" s="86" t="s">
        <v>420</v>
      </c>
      <c r="B22" s="86"/>
      <c r="C22" s="86"/>
      <c r="D22" s="86"/>
      <c r="E22" s="83">
        <f>_xlfn.IFNA(VLOOKUP(封面!B1,'2021决算导出'!A:O,15,FALSE),"")</f>
        <v>29578331.859999999</v>
      </c>
      <c r="F22" s="83"/>
      <c r="G22" s="15" t="s">
        <v>250</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58143.800000000745</v>
      </c>
      <c r="J22" s="7" t="s">
        <v>179</v>
      </c>
      <c r="K22" s="30" t="str">
        <f>IF(ISNA(VLOOKUP(封面!B1,'2020决算导出'!A:O,15,FALSE)),"",IF(E22-VLOOKUP(封面!B1,'2020决算导出'!A:O,15,FALSE)&gt;0,"增长","下降"))</f>
        <v>增长</v>
      </c>
      <c r="L22" s="31">
        <f>IF(ISNA(VLOOKUP(封面!B1,'2020决算导出'!A:O,15,FALSE)),"",I22/VLOOKUP(封面!B1,'2020决算导出'!A:O,15,FALSE))</f>
        <v>1.9696283737021948E-3</v>
      </c>
      <c r="M22" s="7" t="s">
        <v>314</v>
      </c>
    </row>
    <row r="23" spans="1:13" ht="63.6" customHeight="1">
      <c r="B23" s="87" t="s">
        <v>194</v>
      </c>
      <c r="C23" s="87"/>
      <c r="D23" s="87"/>
      <c r="E23" s="87"/>
      <c r="F23" s="87"/>
      <c r="G23" s="87"/>
      <c r="H23" s="87"/>
      <c r="I23" s="87"/>
      <c r="J23" s="87"/>
      <c r="K23" s="87"/>
      <c r="L23" s="87"/>
      <c r="M23" s="87"/>
    </row>
    <row r="24" spans="1:13" ht="18" customHeight="1">
      <c r="A24" s="6" t="s">
        <v>195</v>
      </c>
    </row>
    <row r="25" spans="1:13" ht="18" customHeight="1">
      <c r="A25" s="7" t="s">
        <v>196</v>
      </c>
    </row>
    <row r="26" spans="1:13" ht="18" customHeight="1">
      <c r="A26" s="86" t="s">
        <v>421</v>
      </c>
      <c r="B26" s="86"/>
      <c r="C26" s="86"/>
      <c r="D26" s="86"/>
      <c r="E26" s="86"/>
      <c r="F26" s="83">
        <f>_xlfn.IFNA(VLOOKUP(封面!B1,'2021决算导出'!A:P,16,FALSE),"")</f>
        <v>29578031.859999999</v>
      </c>
      <c r="G26" s="83"/>
      <c r="H26" s="7" t="s">
        <v>179</v>
      </c>
      <c r="I26" s="10" t="s">
        <v>197</v>
      </c>
      <c r="J26" s="10"/>
      <c r="K26" s="10"/>
      <c r="L26" s="10"/>
      <c r="M26" s="10"/>
    </row>
    <row r="27" spans="1:13" ht="18" customHeight="1">
      <c r="A27" s="86" t="s">
        <v>200</v>
      </c>
      <c r="B27" s="86"/>
      <c r="C27" s="86"/>
      <c r="D27" s="83">
        <f>_xlfn.IFNA(VLOOKUP(封面!B1,'2021决算导出'!A:Q,17,FALSE),"")</f>
        <v>19416419.010000002</v>
      </c>
      <c r="E27" s="83"/>
      <c r="F27" s="7" t="s">
        <v>179</v>
      </c>
      <c r="G27" s="84" t="s">
        <v>199</v>
      </c>
      <c r="H27" s="84"/>
      <c r="I27" s="29">
        <f>D27/$F$26</f>
        <v>0.65644729513791256</v>
      </c>
      <c r="J27" s="7" t="s">
        <v>316</v>
      </c>
      <c r="K27" s="9"/>
      <c r="L27" s="9"/>
      <c r="M27" s="9"/>
    </row>
    <row r="28" spans="1:13" ht="18" customHeight="1">
      <c r="A28" s="86" t="s">
        <v>201</v>
      </c>
      <c r="B28" s="86"/>
      <c r="C28" s="86"/>
      <c r="D28" s="83">
        <f>_xlfn.IFNA(VLOOKUP(封面!B1,'2021决算导出'!A:R,18,FALSE),"")</f>
        <v>0</v>
      </c>
      <c r="E28" s="83"/>
      <c r="F28" s="7" t="s">
        <v>179</v>
      </c>
      <c r="G28" s="84" t="s">
        <v>199</v>
      </c>
      <c r="H28" s="84"/>
      <c r="I28" s="29">
        <f t="shared" ref="I28:I32" si="2">D28/$F$26</f>
        <v>0</v>
      </c>
      <c r="J28" s="7" t="s">
        <v>316</v>
      </c>
      <c r="K28" s="9"/>
      <c r="L28" s="9"/>
      <c r="M28" s="9"/>
    </row>
    <row r="29" spans="1:13" ht="18" customHeight="1">
      <c r="A29" s="86" t="s">
        <v>198</v>
      </c>
      <c r="B29" s="86"/>
      <c r="C29" s="86"/>
      <c r="D29" s="83">
        <f>_xlfn.IFNA(VLOOKUP(封面!B1,'2021决算导出'!A:S,19,FALSE),"")</f>
        <v>5157325.2</v>
      </c>
      <c r="E29" s="83"/>
      <c r="F29" s="7" t="s">
        <v>179</v>
      </c>
      <c r="G29" s="84" t="s">
        <v>199</v>
      </c>
      <c r="H29" s="84"/>
      <c r="I29" s="29">
        <f t="shared" si="2"/>
        <v>0.17436336617699486</v>
      </c>
      <c r="J29" s="7" t="s">
        <v>316</v>
      </c>
    </row>
    <row r="30" spans="1:13" ht="18" customHeight="1">
      <c r="A30" s="86" t="s">
        <v>202</v>
      </c>
      <c r="B30" s="86"/>
      <c r="C30" s="86"/>
      <c r="D30" s="83">
        <f>_xlfn.IFNA(VLOOKUP(封面!B1,'2021决算导出'!A:T,20,FALSE),"")</f>
        <v>1861273.65</v>
      </c>
      <c r="E30" s="83"/>
      <c r="F30" s="7" t="s">
        <v>179</v>
      </c>
      <c r="G30" s="84" t="s">
        <v>199</v>
      </c>
      <c r="H30" s="84"/>
      <c r="I30" s="29">
        <f t="shared" si="2"/>
        <v>6.2927569312585085E-2</v>
      </c>
      <c r="J30" s="7" t="s">
        <v>316</v>
      </c>
    </row>
    <row r="31" spans="1:13" ht="18" customHeight="1">
      <c r="A31" s="86" t="s">
        <v>203</v>
      </c>
      <c r="B31" s="86"/>
      <c r="C31" s="86"/>
      <c r="D31" s="83">
        <f>_xlfn.IFNA(VLOOKUP(封面!B1,'2021决算导出'!A:U,21,FALSE),"")</f>
        <v>0</v>
      </c>
      <c r="E31" s="83"/>
      <c r="F31" s="7" t="s">
        <v>179</v>
      </c>
      <c r="G31" s="84" t="s">
        <v>199</v>
      </c>
      <c r="H31" s="84"/>
      <c r="I31" s="29">
        <f t="shared" si="2"/>
        <v>0</v>
      </c>
      <c r="J31" s="7" t="s">
        <v>316</v>
      </c>
    </row>
    <row r="32" spans="1:13" ht="18" customHeight="1">
      <c r="A32" s="86" t="s">
        <v>204</v>
      </c>
      <c r="B32" s="86"/>
      <c r="C32" s="86"/>
      <c r="D32" s="83">
        <f>_xlfn.IFNA(VLOOKUP(封面!B1,'2021决算导出'!A:V,22,FALSE),"")</f>
        <v>3143014</v>
      </c>
      <c r="E32" s="83"/>
      <c r="F32" s="7" t="s">
        <v>179</v>
      </c>
      <c r="G32" s="84" t="s">
        <v>199</v>
      </c>
      <c r="H32" s="84"/>
      <c r="I32" s="29">
        <f t="shared" si="2"/>
        <v>0.10626176937250753</v>
      </c>
      <c r="J32" s="7" t="s">
        <v>316</v>
      </c>
    </row>
    <row r="33" spans="1:12" ht="18" customHeight="1">
      <c r="A33" s="7" t="s">
        <v>205</v>
      </c>
    </row>
    <row r="34" spans="1:12" ht="18" customHeight="1">
      <c r="A34" s="88" t="s">
        <v>422</v>
      </c>
      <c r="B34" s="88"/>
      <c r="C34" s="88"/>
      <c r="D34" s="88"/>
      <c r="E34" s="83">
        <f>_xlfn.IFNA(VLOOKUP(封面!B1,一般公共预算财政拨款支出决算具体情况!A:C,3,FALSE),"")</f>
        <v>19416419.010000002</v>
      </c>
      <c r="F34" s="83"/>
      <c r="G34" s="7" t="s">
        <v>179</v>
      </c>
      <c r="H34" s="84" t="s">
        <v>423</v>
      </c>
      <c r="I34" s="84"/>
      <c r="J34" s="83">
        <f>_xlfn.IFNA(VLOOKUP(封面!B1,一般公共预算财政拨款支出决算具体情况!A:D,4,FALSE),"")</f>
        <v>16304553.460000001</v>
      </c>
      <c r="K34" s="83"/>
      <c r="L34" s="11" t="s">
        <v>178</v>
      </c>
    </row>
    <row r="35" spans="1:12" ht="18" customHeight="1">
      <c r="B35" s="15" t="str">
        <f>IF(E34&gt;J34,"增加","减少")</f>
        <v>增加</v>
      </c>
      <c r="C35" s="83">
        <f>ABS(E34-J34)</f>
        <v>3111865.5500000007</v>
      </c>
      <c r="D35" s="83"/>
      <c r="E35" s="7" t="s">
        <v>179</v>
      </c>
      <c r="F35" s="15" t="str">
        <f>IF(E34&gt;J34,"增长","下降")</f>
        <v>增长</v>
      </c>
      <c r="G35" s="34">
        <f>IF(J34=0,IF(E34&gt;0,1,""),C35/J34)</f>
        <v>0.19085867991627908</v>
      </c>
      <c r="H35" s="7" t="s">
        <v>317</v>
      </c>
      <c r="I35" s="11" t="s">
        <v>206</v>
      </c>
    </row>
    <row r="36" spans="1:12" ht="18" customHeight="1">
      <c r="A36" s="86" t="s">
        <v>424</v>
      </c>
      <c r="B36" s="86"/>
      <c r="C36" s="86"/>
      <c r="D36" s="86"/>
      <c r="E36" s="83">
        <f>_xlfn.IFNA(VLOOKUP(封面!B1,一般公共预算财政拨款支出决算具体情况!A:E,5,FALSE),"")</f>
        <v>18923579.010000002</v>
      </c>
      <c r="F36" s="83"/>
      <c r="G36" s="7" t="s">
        <v>179</v>
      </c>
      <c r="H36" s="84" t="s">
        <v>423</v>
      </c>
      <c r="I36" s="84"/>
      <c r="J36" s="83">
        <f>_xlfn.IFNA(VLOOKUP(封面!B1,一般公共预算财政拨款支出决算具体情况!A:F,6,FALSE),"")</f>
        <v>15811713.460000001</v>
      </c>
      <c r="K36" s="83"/>
      <c r="L36" s="11" t="s">
        <v>178</v>
      </c>
    </row>
    <row r="37" spans="1:12" ht="18" customHeight="1">
      <c r="A37" s="15"/>
      <c r="B37" s="15" t="str">
        <f>IF(E36&gt;J36,"增加","减少")</f>
        <v>增加</v>
      </c>
      <c r="C37" s="83">
        <f>ABS(E36-J36)</f>
        <v>3111865.5500000007</v>
      </c>
      <c r="D37" s="83"/>
      <c r="E37" s="7" t="s">
        <v>179</v>
      </c>
      <c r="F37" s="15" t="str">
        <f>IF(E36&gt;J36,"增长","下降")</f>
        <v>增长</v>
      </c>
      <c r="G37" s="34">
        <f>IF(J36=0,IF(E36&gt;0,1,""),C37/J36)</f>
        <v>0.19680761088115498</v>
      </c>
      <c r="H37" s="7" t="s">
        <v>317</v>
      </c>
    </row>
    <row r="38" spans="1:12" ht="36" customHeight="1">
      <c r="B38" s="89" t="s">
        <v>194</v>
      </c>
      <c r="C38" s="89"/>
      <c r="D38" s="89"/>
      <c r="E38" s="89"/>
      <c r="F38" s="89"/>
      <c r="G38" s="89"/>
      <c r="H38" s="89"/>
      <c r="I38" s="89"/>
      <c r="J38" s="89"/>
      <c r="K38" s="89"/>
      <c r="L38" s="89"/>
    </row>
    <row r="39" spans="1:12" ht="18" customHeight="1">
      <c r="A39" s="86" t="s">
        <v>425</v>
      </c>
      <c r="B39" s="86"/>
      <c r="C39" s="86"/>
      <c r="D39" s="86"/>
      <c r="E39" s="83">
        <f>_xlfn.IFNA(VLOOKUP(封面!B1,一般公共预算财政拨款支出决算具体情况!A:G,7,FALSE),"")</f>
        <v>0</v>
      </c>
      <c r="F39" s="83"/>
      <c r="G39" s="7" t="s">
        <v>179</v>
      </c>
      <c r="H39" s="84" t="s">
        <v>423</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317</v>
      </c>
    </row>
    <row r="41" spans="1:12" ht="36" customHeight="1">
      <c r="B41" s="89" t="s">
        <v>194</v>
      </c>
      <c r="C41" s="89"/>
      <c r="D41" s="89"/>
      <c r="E41" s="89"/>
      <c r="F41" s="89"/>
      <c r="G41" s="89"/>
      <c r="H41" s="89"/>
      <c r="I41" s="89"/>
      <c r="J41" s="89"/>
      <c r="K41" s="89"/>
      <c r="L41" s="89"/>
    </row>
    <row r="42" spans="1:12" ht="18" customHeight="1">
      <c r="A42" s="86" t="s">
        <v>426</v>
      </c>
      <c r="B42" s="86"/>
      <c r="C42" s="86"/>
      <c r="D42" s="86"/>
      <c r="E42" s="83">
        <f>_xlfn.IFNA(VLOOKUP(封面!B1,一般公共预算财政拨款支出决算具体情况!A:I,9,FALSE),"")</f>
        <v>0</v>
      </c>
      <c r="F42" s="83"/>
      <c r="G42" s="7" t="s">
        <v>179</v>
      </c>
      <c r="H42" s="84" t="s">
        <v>423</v>
      </c>
      <c r="I42" s="84"/>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317</v>
      </c>
    </row>
    <row r="44" spans="1:12" ht="36" customHeight="1">
      <c r="B44" s="89" t="s">
        <v>194</v>
      </c>
      <c r="C44" s="89"/>
      <c r="D44" s="89"/>
      <c r="E44" s="89"/>
      <c r="F44" s="89"/>
      <c r="G44" s="89"/>
      <c r="H44" s="89"/>
      <c r="I44" s="89"/>
      <c r="J44" s="89"/>
      <c r="K44" s="89"/>
      <c r="L44" s="89"/>
    </row>
    <row r="45" spans="1:12" ht="18" customHeight="1">
      <c r="A45" s="86" t="s">
        <v>427</v>
      </c>
      <c r="B45" s="86"/>
      <c r="C45" s="86"/>
      <c r="D45" s="86"/>
      <c r="E45" s="83">
        <f>_xlfn.IFNA(VLOOKUP(封面!B1,一般公共预算财政拨款支出决算具体情况!A:K,11,FALSE),"")</f>
        <v>0</v>
      </c>
      <c r="F45" s="83"/>
      <c r="G45" s="7" t="s">
        <v>179</v>
      </c>
      <c r="H45" s="84" t="s">
        <v>423</v>
      </c>
      <c r="I45" s="84"/>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317</v>
      </c>
    </row>
    <row r="47" spans="1:12" ht="36" customHeight="1">
      <c r="B47" s="89" t="s">
        <v>194</v>
      </c>
      <c r="C47" s="89"/>
      <c r="D47" s="89"/>
      <c r="E47" s="89"/>
      <c r="F47" s="89"/>
      <c r="G47" s="89"/>
      <c r="H47" s="89"/>
      <c r="I47" s="89"/>
      <c r="J47" s="89"/>
      <c r="K47" s="89"/>
      <c r="L47" s="89"/>
    </row>
    <row r="48" spans="1:12" ht="18" customHeight="1">
      <c r="A48" s="86" t="s">
        <v>428</v>
      </c>
      <c r="B48" s="86"/>
      <c r="C48" s="86"/>
      <c r="D48" s="86"/>
      <c r="E48" s="83">
        <f>_xlfn.IFNA(VLOOKUP(封面!B1,一般公共预算财政拨款支出决算具体情况!A:M,13,FALSE),"")</f>
        <v>42840</v>
      </c>
      <c r="F48" s="83"/>
      <c r="G48" s="7" t="s">
        <v>179</v>
      </c>
      <c r="H48" s="84" t="s">
        <v>423</v>
      </c>
      <c r="I48" s="84"/>
      <c r="J48" s="83">
        <f>_xlfn.IFNA(VLOOKUP(封面!B1,一般公共预算财政拨款支出决算具体情况!A:N,14,FALSE),"")</f>
        <v>42840</v>
      </c>
      <c r="K48" s="83"/>
      <c r="L48" s="11" t="s">
        <v>178</v>
      </c>
    </row>
    <row r="49" spans="1:12" ht="18" customHeight="1">
      <c r="A49" s="15"/>
      <c r="B49" s="15" t="str">
        <f>IF(E48&gt;J48,"增加","减少")</f>
        <v>减少</v>
      </c>
      <c r="C49" s="83">
        <f>ABS(E48-J48)</f>
        <v>0</v>
      </c>
      <c r="D49" s="83"/>
      <c r="E49" s="7" t="s">
        <v>179</v>
      </c>
      <c r="F49" s="15" t="str">
        <f>IF(E48&gt;J48,"增长","下降")</f>
        <v>下降</v>
      </c>
      <c r="G49" s="34">
        <f>IF(J48=0,IF(E48&gt;0,1,""),C49/J48)</f>
        <v>0</v>
      </c>
      <c r="H49" s="7" t="s">
        <v>317</v>
      </c>
    </row>
    <row r="50" spans="1:12" ht="36" customHeight="1">
      <c r="B50" s="89" t="s">
        <v>194</v>
      </c>
      <c r="C50" s="89"/>
      <c r="D50" s="89"/>
      <c r="E50" s="89"/>
      <c r="F50" s="89"/>
      <c r="G50" s="89"/>
      <c r="H50" s="89"/>
      <c r="I50" s="89"/>
      <c r="J50" s="89"/>
      <c r="K50" s="89"/>
      <c r="L50" s="89"/>
    </row>
    <row r="51" spans="1:12" ht="18" customHeight="1">
      <c r="A51" s="85" t="s">
        <v>429</v>
      </c>
      <c r="B51" s="85"/>
      <c r="C51" s="85"/>
      <c r="D51" s="85"/>
      <c r="E51" s="83">
        <f>_xlfn.IFNA(VLOOKUP(封面!B1,一般公共预算财政拨款支出决算具体情况!A:O,15,FALSE),"")</f>
        <v>450000</v>
      </c>
      <c r="F51" s="83"/>
      <c r="G51" s="7" t="s">
        <v>179</v>
      </c>
      <c r="H51" s="84" t="s">
        <v>423</v>
      </c>
      <c r="I51" s="84"/>
      <c r="J51" s="83">
        <f>_xlfn.IFNA(VLOOKUP(封面!B1,一般公共预算财政拨款支出决算具体情况!A:P,16,FALSE),"")</f>
        <v>450000</v>
      </c>
      <c r="K51" s="83"/>
      <c r="L51" s="11" t="s">
        <v>178</v>
      </c>
    </row>
    <row r="52" spans="1:12" ht="18" customHeight="1">
      <c r="A52" s="15"/>
      <c r="B52" s="15" t="str">
        <f>IF(E51&gt;J51,"增加","减少")</f>
        <v>减少</v>
      </c>
      <c r="C52" s="83">
        <f>ABS(E51-J51)</f>
        <v>0</v>
      </c>
      <c r="D52" s="83"/>
      <c r="E52" s="7" t="s">
        <v>179</v>
      </c>
      <c r="F52" s="15" t="str">
        <f>IF(E51&gt;J51,"增长","下降")</f>
        <v>下降</v>
      </c>
      <c r="G52" s="34">
        <f>IF(J51=0,IF(E51&gt;0,1,""),C52/J51)</f>
        <v>0</v>
      </c>
      <c r="H52" s="7" t="s">
        <v>317</v>
      </c>
    </row>
    <row r="53" spans="1:12" ht="36" customHeight="1">
      <c r="B53" s="89" t="s">
        <v>194</v>
      </c>
      <c r="C53" s="89"/>
      <c r="D53" s="89"/>
      <c r="E53" s="89"/>
      <c r="F53" s="89"/>
      <c r="G53" s="89"/>
      <c r="H53" s="89"/>
      <c r="I53" s="89"/>
      <c r="J53" s="89"/>
      <c r="K53" s="89"/>
      <c r="L53" s="89"/>
    </row>
    <row r="54" spans="1:12" ht="18" customHeight="1">
      <c r="A54" s="90" t="s">
        <v>430</v>
      </c>
      <c r="B54" s="90"/>
      <c r="C54" s="90"/>
      <c r="D54" s="90"/>
      <c r="E54" s="83">
        <f>_xlfn.IFNA(VLOOKUP(封面!B1,一般公共预算财政拨款支出决算具体情况!A:Q,17,FALSE),"")</f>
        <v>0</v>
      </c>
      <c r="F54" s="83"/>
      <c r="G54" s="7" t="s">
        <v>179</v>
      </c>
      <c r="H54" s="88" t="s">
        <v>431</v>
      </c>
      <c r="I54" s="88"/>
      <c r="J54" s="88"/>
      <c r="K54" s="88"/>
      <c r="L54" s="11"/>
    </row>
    <row r="55" spans="1:12" ht="18" customHeight="1">
      <c r="A55" s="85" t="s">
        <v>473</v>
      </c>
      <c r="B55" s="85"/>
      <c r="C55" s="85"/>
      <c r="D55" s="85"/>
      <c r="E55" s="83">
        <f>_xlfn.IFNA(VLOOKUP(封面!B1,一般公共预算财政拨款支出决算具体情况!A:S,19,FALSE),"")</f>
        <v>0</v>
      </c>
      <c r="F55" s="83"/>
      <c r="G55" s="7" t="s">
        <v>179</v>
      </c>
      <c r="H55" s="88" t="s">
        <v>433</v>
      </c>
      <c r="I55" s="88"/>
      <c r="J55" s="88"/>
      <c r="K55" s="88"/>
      <c r="L55" s="11"/>
    </row>
    <row r="56" spans="1:12" ht="36" customHeight="1">
      <c r="B56" s="89" t="s">
        <v>194</v>
      </c>
      <c r="C56" s="89"/>
      <c r="D56" s="89"/>
      <c r="E56" s="89"/>
      <c r="F56" s="89"/>
      <c r="G56" s="89"/>
      <c r="H56" s="89"/>
      <c r="I56" s="89"/>
      <c r="J56" s="89"/>
      <c r="K56" s="89"/>
      <c r="L56" s="89"/>
    </row>
    <row r="57" spans="1:12" ht="18" customHeight="1">
      <c r="A57" s="86" t="s">
        <v>432</v>
      </c>
      <c r="B57" s="86"/>
      <c r="C57" s="86"/>
      <c r="D57" s="86"/>
      <c r="E57" s="83">
        <f>_xlfn.IFNA(VLOOKUP(封面!B1,一般公共预算财政拨款支出决算具体情况!A:U,21,FALSE),"")</f>
        <v>0</v>
      </c>
      <c r="F57" s="83"/>
      <c r="G57" s="7" t="s">
        <v>179</v>
      </c>
      <c r="H57" s="88" t="s">
        <v>433</v>
      </c>
      <c r="I57" s="88"/>
      <c r="J57" s="88"/>
      <c r="K57" s="88"/>
      <c r="L57" s="11"/>
    </row>
    <row r="58" spans="1:12" ht="36" customHeight="1">
      <c r="B58" s="89" t="s">
        <v>194</v>
      </c>
      <c r="C58" s="89"/>
      <c r="D58" s="89"/>
      <c r="E58" s="89"/>
      <c r="F58" s="89"/>
      <c r="G58" s="89"/>
      <c r="H58" s="89"/>
      <c r="I58" s="89"/>
      <c r="J58" s="89"/>
      <c r="K58" s="89"/>
      <c r="L58" s="89"/>
    </row>
    <row r="59" spans="1:12" ht="18" customHeight="1">
      <c r="A59" s="90" t="s">
        <v>434</v>
      </c>
      <c r="B59" s="90"/>
      <c r="C59" s="90"/>
      <c r="D59" s="90"/>
      <c r="E59" s="83">
        <f>_xlfn.IFNA(VLOOKUP(封面!B1,一般公共预算财政拨款支出决算具体情况!A:W,23,FALSE),"")</f>
        <v>5157325.2</v>
      </c>
      <c r="F59" s="83"/>
      <c r="G59" s="7" t="s">
        <v>179</v>
      </c>
      <c r="H59" s="84" t="s">
        <v>423</v>
      </c>
      <c r="I59" s="84"/>
      <c r="J59" s="83">
        <f>_xlfn.IFNA(VLOOKUP(封面!B1,一般公共预算财政拨款支出决算具体情况!A:X,24,FALSE),"")</f>
        <v>4556542.17</v>
      </c>
      <c r="K59" s="83"/>
      <c r="L59" s="11" t="s">
        <v>178</v>
      </c>
    </row>
    <row r="60" spans="1:12" ht="18" customHeight="1">
      <c r="B60" s="15" t="str">
        <f>IF(E59&gt;J59,"增加","减少")</f>
        <v>增加</v>
      </c>
      <c r="C60" s="83">
        <f>ABS(E59-J59)</f>
        <v>600783.03000000026</v>
      </c>
      <c r="D60" s="83"/>
      <c r="E60" s="7" t="s">
        <v>179</v>
      </c>
      <c r="F60" s="15" t="str">
        <f>IF(E59&gt;J59,"增长","下降")</f>
        <v>增长</v>
      </c>
      <c r="G60" s="34">
        <f>IF(J59=0,IF(E59&gt;0,1,""),C60/J59)</f>
        <v>0.1318506462983092</v>
      </c>
      <c r="H60" s="7" t="s">
        <v>317</v>
      </c>
      <c r="I60" s="11" t="s">
        <v>206</v>
      </c>
    </row>
    <row r="61" spans="1:12" ht="18" customHeight="1">
      <c r="A61" s="85" t="s">
        <v>435</v>
      </c>
      <c r="B61" s="85"/>
      <c r="C61" s="85"/>
      <c r="D61" s="85"/>
      <c r="E61" s="83">
        <f>_xlfn.IFNA(VLOOKUP(封面!B1,一般公共预算财政拨款支出决算具体情况!A:Y,25,FALSE),"")</f>
        <v>5157325.2</v>
      </c>
      <c r="F61" s="83"/>
      <c r="G61" s="7" t="s">
        <v>179</v>
      </c>
      <c r="H61" s="84" t="s">
        <v>423</v>
      </c>
      <c r="I61" s="84"/>
      <c r="J61" s="83">
        <f>_xlfn.IFNA(VLOOKUP(封面!B1,一般公共预算财政拨款支出决算具体情况!A:Z,26,FALSE),"")</f>
        <v>4556542.17</v>
      </c>
      <c r="K61" s="83"/>
      <c r="L61" s="11" t="s">
        <v>178</v>
      </c>
    </row>
    <row r="62" spans="1:12" ht="18" customHeight="1">
      <c r="A62" s="15"/>
      <c r="B62" s="15" t="str">
        <f>IF(E61&gt;J61,"增加","减少")</f>
        <v>增加</v>
      </c>
      <c r="C62" s="83">
        <f>ABS(E61-J61)</f>
        <v>600783.03000000026</v>
      </c>
      <c r="D62" s="83"/>
      <c r="E62" s="7" t="s">
        <v>179</v>
      </c>
      <c r="F62" s="15" t="str">
        <f>IF(E61&gt;J61,"增长","下降")</f>
        <v>增长</v>
      </c>
      <c r="G62" s="34">
        <f>IF(J61=0,IF(E61&gt;0,1,""),C62/J61)</f>
        <v>0.1318506462983092</v>
      </c>
      <c r="H62" s="7" t="s">
        <v>317</v>
      </c>
    </row>
    <row r="63" spans="1:12" ht="36" customHeight="1">
      <c r="B63" s="89" t="s">
        <v>194</v>
      </c>
      <c r="C63" s="89"/>
      <c r="D63" s="89"/>
      <c r="E63" s="89"/>
      <c r="F63" s="89"/>
      <c r="G63" s="89"/>
      <c r="H63" s="89"/>
      <c r="I63" s="89"/>
      <c r="J63" s="89"/>
      <c r="K63" s="89"/>
      <c r="L63" s="89"/>
    </row>
    <row r="64" spans="1:12" ht="18" customHeight="1">
      <c r="A64" s="85" t="s">
        <v>436</v>
      </c>
      <c r="B64" s="85"/>
      <c r="C64" s="85"/>
      <c r="D64" s="85"/>
      <c r="E64" s="83">
        <f>_xlfn.IFNA(VLOOKUP(封面!B1,一般公共预算财政拨款支出决算具体情况!A:AA,27,FALSE),"")</f>
        <v>0</v>
      </c>
      <c r="F64" s="83"/>
      <c r="G64" s="7" t="s">
        <v>179</v>
      </c>
      <c r="H64" s="84" t="s">
        <v>433</v>
      </c>
      <c r="I64" s="84"/>
      <c r="J64" s="83"/>
      <c r="K64" s="83"/>
      <c r="L64" s="11"/>
    </row>
    <row r="65" spans="1:12" ht="36" customHeight="1">
      <c r="B65" s="89" t="s">
        <v>194</v>
      </c>
      <c r="C65" s="89"/>
      <c r="D65" s="89"/>
      <c r="E65" s="89"/>
      <c r="F65" s="89"/>
      <c r="G65" s="89"/>
      <c r="H65" s="89"/>
      <c r="I65" s="89"/>
      <c r="J65" s="89"/>
      <c r="K65" s="89"/>
      <c r="L65" s="89"/>
    </row>
    <row r="66" spans="1:12" ht="18" customHeight="1">
      <c r="A66" s="90" t="s">
        <v>437</v>
      </c>
      <c r="B66" s="90"/>
      <c r="C66" s="90"/>
      <c r="D66" s="90"/>
      <c r="E66" s="83">
        <f>_xlfn.IFNA(VLOOKUP(封面!B1,一般公共预算财政拨款支出决算具体情况!A:AC,29,FALSE),"")</f>
        <v>1861273.65</v>
      </c>
      <c r="F66" s="83"/>
      <c r="G66" s="7" t="s">
        <v>179</v>
      </c>
      <c r="H66" s="84" t="s">
        <v>423</v>
      </c>
      <c r="I66" s="84"/>
      <c r="J66" s="83">
        <f>_xlfn.IFNA(VLOOKUP(封面!B1,一般公共预算财政拨款支出决算具体情况!A:AD,30,FALSE),"")</f>
        <v>1493568.39</v>
      </c>
      <c r="K66" s="83"/>
      <c r="L66" s="11" t="s">
        <v>178</v>
      </c>
    </row>
    <row r="67" spans="1:12" ht="18" customHeight="1">
      <c r="B67" s="15" t="str">
        <f>IF(E66&gt;J66,"增加","减少")</f>
        <v>增加</v>
      </c>
      <c r="C67" s="83">
        <f>ABS(E66-J66)</f>
        <v>367705.26</v>
      </c>
      <c r="D67" s="83"/>
      <c r="E67" s="7" t="s">
        <v>179</v>
      </c>
      <c r="F67" s="15" t="str">
        <f>IF(E66&gt;J66,"增长","下降")</f>
        <v>增长</v>
      </c>
      <c r="G67" s="34">
        <f>IF(J66=0,IF(E66&gt;0,1,""),C67/J66)</f>
        <v>0.24619244921218508</v>
      </c>
      <c r="H67" s="7" t="s">
        <v>317</v>
      </c>
      <c r="I67" s="11" t="s">
        <v>206</v>
      </c>
    </row>
    <row r="68" spans="1:12" ht="18" customHeight="1">
      <c r="A68" s="85" t="s">
        <v>438</v>
      </c>
      <c r="B68" s="85"/>
      <c r="C68" s="85"/>
      <c r="D68" s="85"/>
      <c r="E68" s="83">
        <f>_xlfn.IFNA(VLOOKUP(封面!B1,一般公共预算财政拨款支出决算具体情况!A:AE,31,FALSE),"")</f>
        <v>1861273.65</v>
      </c>
      <c r="F68" s="83"/>
      <c r="G68" s="7" t="s">
        <v>179</v>
      </c>
      <c r="H68" s="84" t="s">
        <v>423</v>
      </c>
      <c r="I68" s="84"/>
      <c r="J68" s="83">
        <f>_xlfn.IFNA(VLOOKUP(封面!B1,一般公共预算财政拨款支出决算具体情况!A:AF,32,FALSE),"")</f>
        <v>1493568.39</v>
      </c>
      <c r="K68" s="83"/>
      <c r="L68" s="11" t="s">
        <v>178</v>
      </c>
    </row>
    <row r="69" spans="1:12" ht="18" customHeight="1">
      <c r="A69" s="15"/>
      <c r="B69" s="15" t="str">
        <f>IF(E68&gt;J68,"增加","减少")</f>
        <v>增加</v>
      </c>
      <c r="C69" s="83">
        <f>ABS(E68-J68)</f>
        <v>367705.26</v>
      </c>
      <c r="D69" s="83"/>
      <c r="E69" s="7" t="s">
        <v>179</v>
      </c>
      <c r="F69" s="15" t="str">
        <f>IF(E68&gt;J68,"增长","下降")</f>
        <v>增长</v>
      </c>
      <c r="G69" s="34">
        <f>IF(J68=0,IF(E68&gt;0,1,""),C69/J68)</f>
        <v>0.24619244921218508</v>
      </c>
      <c r="H69" s="7" t="s">
        <v>317</v>
      </c>
    </row>
    <row r="70" spans="1:12" ht="36" customHeight="1">
      <c r="B70" s="89" t="s">
        <v>194</v>
      </c>
      <c r="C70" s="89"/>
      <c r="D70" s="89"/>
      <c r="E70" s="89"/>
      <c r="F70" s="89"/>
      <c r="G70" s="89"/>
      <c r="H70" s="89"/>
      <c r="I70" s="89"/>
      <c r="J70" s="89"/>
      <c r="K70" s="89"/>
      <c r="L70" s="89"/>
    </row>
    <row r="71" spans="1:12" ht="18" customHeight="1">
      <c r="A71" s="90" t="s">
        <v>439</v>
      </c>
      <c r="B71" s="90"/>
      <c r="C71" s="90"/>
      <c r="D71" s="90"/>
      <c r="E71" s="83">
        <f>_xlfn.IFNA(VLOOKUP(封面!B1,一般公共预算财政拨款支出决算具体情况!A:AG,33,FALSE),"")</f>
        <v>0</v>
      </c>
      <c r="F71" s="83"/>
      <c r="G71" s="7" t="s">
        <v>179</v>
      </c>
      <c r="H71" s="84" t="s">
        <v>423</v>
      </c>
      <c r="I71" s="84"/>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314</v>
      </c>
      <c r="I72" s="11" t="s">
        <v>206</v>
      </c>
    </row>
    <row r="73" spans="1:12" ht="18" customHeight="1">
      <c r="A73" s="85" t="s">
        <v>440</v>
      </c>
      <c r="B73" s="85"/>
      <c r="C73" s="85"/>
      <c r="D73" s="85"/>
      <c r="E73" s="83">
        <f>_xlfn.IFNA(VLOOKUP(封面!B1,一般公共预算财政拨款支出决算具体情况!A:AI,35,FALSE),"")</f>
        <v>0</v>
      </c>
      <c r="F73" s="83"/>
      <c r="G73" s="7" t="s">
        <v>179</v>
      </c>
      <c r="H73" s="84" t="s">
        <v>423</v>
      </c>
      <c r="I73" s="84"/>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314</v>
      </c>
      <c r="I74" s="57"/>
      <c r="J74" s="56"/>
      <c r="K74" s="56"/>
      <c r="L74" s="11"/>
    </row>
    <row r="75" spans="1:12" ht="36" customHeight="1">
      <c r="B75" s="89" t="s">
        <v>194</v>
      </c>
      <c r="C75" s="89"/>
      <c r="D75" s="89"/>
      <c r="E75" s="89"/>
      <c r="F75" s="89"/>
      <c r="G75" s="89"/>
      <c r="H75" s="89"/>
      <c r="I75" s="89"/>
      <c r="J75" s="89"/>
      <c r="K75" s="89"/>
      <c r="L75" s="89"/>
    </row>
    <row r="76" spans="1:12" ht="18" customHeight="1">
      <c r="A76" s="90" t="s">
        <v>474</v>
      </c>
      <c r="B76" s="90"/>
      <c r="C76" s="90"/>
      <c r="D76" s="90"/>
      <c r="E76" s="83">
        <f>_xlfn.IFNA(VLOOKUP(封面!B1,一般公共预算财政拨款支出决算具体情况!A:AK,37,FALSE),"")</f>
        <v>3143014</v>
      </c>
      <c r="F76" s="83"/>
      <c r="G76" s="7" t="s">
        <v>179</v>
      </c>
      <c r="H76" s="84" t="s">
        <v>423</v>
      </c>
      <c r="I76" s="84"/>
      <c r="J76" s="83">
        <f>_xlfn.IFNA(VLOOKUP(封面!B1,一般公共预算财政拨款支出决算具体情况!A:AL,38,FALSE),"")</f>
        <v>2818113.59</v>
      </c>
      <c r="K76" s="83"/>
      <c r="L76" s="11" t="s">
        <v>178</v>
      </c>
    </row>
    <row r="77" spans="1:12" ht="18" customHeight="1">
      <c r="B77" s="15" t="str">
        <f>IF(E76&gt;J76,"增加","减少")</f>
        <v>增加</v>
      </c>
      <c r="C77" s="83">
        <f>ABS(E76-J76)</f>
        <v>324900.41000000015</v>
      </c>
      <c r="D77" s="83"/>
      <c r="E77" s="7" t="s">
        <v>179</v>
      </c>
      <c r="F77" s="15" t="str">
        <f>IF(E76&gt;J76,"增长","下降")</f>
        <v>增长</v>
      </c>
      <c r="G77" s="34">
        <f>IF(J76=0,IF(E76&gt;0,1,""),C77/J76)</f>
        <v>0.11529003342977391</v>
      </c>
      <c r="H77" s="7" t="s">
        <v>317</v>
      </c>
      <c r="I77" s="11" t="s">
        <v>206</v>
      </c>
    </row>
    <row r="78" spans="1:12" ht="18" customHeight="1">
      <c r="A78" s="85" t="s">
        <v>441</v>
      </c>
      <c r="B78" s="85"/>
      <c r="C78" s="85"/>
      <c r="D78" s="85"/>
      <c r="E78" s="83">
        <f>_xlfn.IFNA(VLOOKUP(封面!B1,一般公共预算财政拨款支出决算具体情况!A:AM,39,FALSE),"")</f>
        <v>3143014</v>
      </c>
      <c r="F78" s="83"/>
      <c r="G78" s="7" t="s">
        <v>179</v>
      </c>
      <c r="H78" s="84" t="s">
        <v>423</v>
      </c>
      <c r="I78" s="84"/>
      <c r="J78" s="83">
        <f>_xlfn.IFNA(VLOOKUP(封面!B1,一般公共预算财政拨款支出决算具体情况!A:AN,40,FALSE),"")</f>
        <v>2818113.59</v>
      </c>
      <c r="K78" s="83"/>
      <c r="L78" s="11" t="s">
        <v>178</v>
      </c>
    </row>
    <row r="79" spans="1:12" ht="18" customHeight="1">
      <c r="A79" s="15"/>
      <c r="B79" s="15" t="str">
        <f>IF(E78&gt;J78,"增加","减少")</f>
        <v>增加</v>
      </c>
      <c r="C79" s="83">
        <f>ABS(E78-J78)</f>
        <v>324900.41000000015</v>
      </c>
      <c r="D79" s="83"/>
      <c r="E79" s="7" t="s">
        <v>179</v>
      </c>
      <c r="F79" s="15" t="str">
        <f>IF(E78&gt;J78,"增长","下降")</f>
        <v>增长</v>
      </c>
      <c r="G79" s="34">
        <f>IF(J78=0,IF(E78&gt;0,1,""),C79/J78)</f>
        <v>0.11529003342977391</v>
      </c>
      <c r="H79" s="7" t="s">
        <v>317</v>
      </c>
    </row>
    <row r="80" spans="1:12" ht="36" customHeight="1">
      <c r="B80" s="89" t="s">
        <v>194</v>
      </c>
      <c r="C80" s="89"/>
      <c r="D80" s="89"/>
      <c r="E80" s="89"/>
      <c r="F80" s="89"/>
      <c r="G80" s="89"/>
      <c r="H80" s="89"/>
      <c r="I80" s="89"/>
      <c r="J80" s="89"/>
      <c r="K80" s="89"/>
      <c r="L80" s="89"/>
    </row>
    <row r="81" spans="1:13" ht="18" customHeight="1">
      <c r="A81" s="6" t="s">
        <v>207</v>
      </c>
    </row>
    <row r="82" spans="1:13" ht="18" customHeight="1">
      <c r="A82" s="7" t="str">
        <f>IF(_xlfn.IFNA(VLOOKUP(封面!B1,'2021决算导出'!A:W,23,FALSE),"")=0,"本年度无此项支出。","")</f>
        <v>本年度无此项支出。</v>
      </c>
    </row>
    <row r="83" spans="1:13" ht="18" customHeight="1">
      <c r="A83" s="7" t="s">
        <v>208</v>
      </c>
    </row>
    <row r="84" spans="1:13" ht="18" customHeight="1">
      <c r="A84" s="86" t="s">
        <v>442</v>
      </c>
      <c r="B84" s="86"/>
      <c r="C84" s="86"/>
      <c r="D84" s="86"/>
      <c r="E84" s="86"/>
      <c r="F84" s="83">
        <f>_xlfn.IFNA(VLOOKUP(封面!B1,'2021决算导出'!A:W,23,FALSE),"")</f>
        <v>0</v>
      </c>
      <c r="G84" s="83"/>
      <c r="H84" s="7" t="s">
        <v>179</v>
      </c>
      <c r="I84" s="88" t="s">
        <v>197</v>
      </c>
      <c r="J84" s="88"/>
      <c r="K84" s="88"/>
      <c r="L84" s="88"/>
      <c r="M84" s="88"/>
    </row>
    <row r="85" spans="1:13" ht="18" customHeight="1">
      <c r="A85" s="86" t="s">
        <v>209</v>
      </c>
      <c r="B85" s="86"/>
      <c r="C85" s="86"/>
      <c r="D85" s="83">
        <f>_xlfn.IFNA(VLOOKUP(封面!B1,'2021决算导出'!A:Y,25,FALSE),"")</f>
        <v>0</v>
      </c>
      <c r="E85" s="83"/>
      <c r="F85" s="7" t="s">
        <v>179</v>
      </c>
      <c r="G85" s="84" t="s">
        <v>199</v>
      </c>
      <c r="H85" s="84"/>
      <c r="I85" s="13">
        <v>100</v>
      </c>
      <c r="J85" s="7" t="s">
        <v>183</v>
      </c>
      <c r="K85" s="9"/>
      <c r="L85" s="9"/>
      <c r="M85" s="9"/>
    </row>
    <row r="86" spans="1:13" ht="18" customHeight="1">
      <c r="A86" s="7" t="s">
        <v>210</v>
      </c>
    </row>
    <row r="87" spans="1:13" ht="18" customHeight="1">
      <c r="A87" s="88" t="s">
        <v>443</v>
      </c>
      <c r="B87" s="88"/>
      <c r="C87" s="88"/>
      <c r="D87" s="88"/>
      <c r="E87" s="83">
        <f>_xlfn.IFNA(VLOOKUP(封面!B1,'2021决算导出'!A:Y,25,FALSE),"")</f>
        <v>0</v>
      </c>
      <c r="F87" s="83"/>
      <c r="G87" s="7" t="s">
        <v>179</v>
      </c>
      <c r="H87" s="84" t="s">
        <v>423</v>
      </c>
      <c r="I87" s="84"/>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317</v>
      </c>
      <c r="I88" s="11" t="s">
        <v>206</v>
      </c>
    </row>
    <row r="89" spans="1:13" ht="18" customHeight="1">
      <c r="A89" s="85" t="s">
        <v>444</v>
      </c>
      <c r="B89" s="85"/>
      <c r="C89" s="85"/>
      <c r="D89" s="85"/>
      <c r="E89" s="83">
        <f>E87</f>
        <v>0</v>
      </c>
      <c r="F89" s="83"/>
      <c r="G89" s="7" t="s">
        <v>179</v>
      </c>
      <c r="H89" s="84" t="s">
        <v>423</v>
      </c>
      <c r="I89" s="84"/>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317</v>
      </c>
    </row>
    <row r="91" spans="1:13" ht="36" customHeight="1">
      <c r="B91" s="89" t="s">
        <v>194</v>
      </c>
      <c r="C91" s="89"/>
      <c r="D91" s="89"/>
      <c r="E91" s="89"/>
      <c r="F91" s="89"/>
      <c r="G91" s="89"/>
      <c r="H91" s="89"/>
      <c r="I91" s="89"/>
      <c r="J91" s="89"/>
      <c r="K91" s="89"/>
      <c r="L91" s="89"/>
    </row>
    <row r="92" spans="1:13" ht="18" customHeight="1">
      <c r="A92" s="6" t="s">
        <v>211</v>
      </c>
    </row>
    <row r="93" spans="1:13" ht="18" customHeight="1">
      <c r="A93" s="7" t="s">
        <v>212</v>
      </c>
    </row>
    <row r="94" spans="1:13" ht="18" customHeight="1">
      <c r="A94" s="6" t="s">
        <v>213</v>
      </c>
    </row>
    <row r="95" spans="1:13" ht="18" customHeight="1">
      <c r="A95" s="7" t="s">
        <v>445</v>
      </c>
      <c r="G95" s="83">
        <f>_xlfn.IFNA(VLOOKUP(封面!B1,'2021决算导出'!A:AA,27,FALSE),"")</f>
        <v>26616952.920000002</v>
      </c>
      <c r="H95" s="83"/>
      <c r="I95" s="11" t="s">
        <v>179</v>
      </c>
    </row>
    <row r="96" spans="1:13" ht="130.15" customHeight="1">
      <c r="A96" s="89" t="s">
        <v>214</v>
      </c>
      <c r="B96" s="89"/>
      <c r="C96" s="89"/>
      <c r="D96" s="89"/>
      <c r="E96" s="89"/>
      <c r="F96" s="89"/>
      <c r="G96" s="89"/>
      <c r="H96" s="89"/>
      <c r="I96" s="89"/>
      <c r="J96" s="89"/>
      <c r="K96" s="89"/>
      <c r="L96" s="89"/>
      <c r="M96" s="89"/>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52:D52"/>
    <mergeCell ref="B53:L53"/>
    <mergeCell ref="A54:D54"/>
    <mergeCell ref="E54:F54"/>
    <mergeCell ref="C49:D49"/>
    <mergeCell ref="B50:L50"/>
    <mergeCell ref="A51:D51"/>
    <mergeCell ref="E51:F51"/>
    <mergeCell ref="H51:I51"/>
    <mergeCell ref="J51:K51"/>
    <mergeCell ref="H54:K54"/>
    <mergeCell ref="C46:D46"/>
    <mergeCell ref="B47:L47"/>
    <mergeCell ref="A48:D48"/>
    <mergeCell ref="E48:F48"/>
    <mergeCell ref="H48:I48"/>
    <mergeCell ref="J48:K48"/>
    <mergeCell ref="C43:D43"/>
    <mergeCell ref="B44:L44"/>
    <mergeCell ref="A45:D45"/>
    <mergeCell ref="E45:F45"/>
    <mergeCell ref="H45:I45"/>
    <mergeCell ref="J45:K45"/>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B41:L41"/>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64:F64"/>
    <mergeCell ref="H64:I64"/>
    <mergeCell ref="J64:K64"/>
    <mergeCell ref="C60:D60"/>
    <mergeCell ref="A61:D61"/>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D8" sqref="D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414</v>
      </c>
      <c r="B1" s="81"/>
      <c r="C1" s="81"/>
      <c r="D1" s="81"/>
      <c r="E1" s="81"/>
      <c r="F1" s="81"/>
      <c r="G1" s="81"/>
      <c r="H1" s="81"/>
      <c r="I1" s="81"/>
      <c r="J1" s="81"/>
      <c r="K1" s="81"/>
      <c r="L1" s="81"/>
      <c r="M1" s="81"/>
      <c r="N1" s="81"/>
    </row>
    <row r="2" spans="1:14" ht="18" customHeight="1">
      <c r="A2" s="6" t="s">
        <v>215</v>
      </c>
    </row>
    <row r="3" spans="1:14" ht="18" customHeight="1">
      <c r="A3" s="16" t="str">
        <f>IF(_xlfn.IFNA(VLOOKUP(封面!B1,'2021决算导出'!A:AB,28,FALSE),"")=0,"本年度无此项支出。","")</f>
        <v>本年度无此项支出。</v>
      </c>
    </row>
    <row r="4" spans="1:14" ht="18" customHeight="1">
      <c r="A4" s="7" t="s">
        <v>446</v>
      </c>
      <c r="F4" s="83">
        <f>_xlfn.IFNA(VLOOKUP(封面!B1,'2021决算导出'!A:AB,28,FALSE),"")</f>
        <v>0</v>
      </c>
      <c r="G4" s="83"/>
      <c r="H4" s="7" t="s">
        <v>179</v>
      </c>
      <c r="I4" s="7" t="s">
        <v>447</v>
      </c>
    </row>
    <row r="5" spans="1:14" ht="18" customHeight="1">
      <c r="A5" s="92">
        <f>_xlfn.IFNA(VLOOKUP(封面!B1,'2021决算导出'!A:AC,29,FALSE),"")</f>
        <v>0</v>
      </c>
      <c r="B5" s="92"/>
      <c r="C5" s="7" t="s">
        <v>178</v>
      </c>
      <c r="D5" s="30" t="str">
        <f>IF(F4&gt;A5,"增加","减少")</f>
        <v>减少</v>
      </c>
      <c r="E5" s="92">
        <f>ABS(F4-A5)</f>
        <v>0</v>
      </c>
      <c r="F5" s="92"/>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1" t="s">
        <v>449</v>
      </c>
      <c r="B9" s="91"/>
      <c r="C9" s="91"/>
      <c r="D9" s="91"/>
      <c r="E9" s="91"/>
      <c r="F9" s="91"/>
      <c r="G9" s="91"/>
      <c r="H9" s="91"/>
      <c r="I9" s="91"/>
      <c r="J9" s="91"/>
      <c r="K9" s="91"/>
      <c r="L9" s="91"/>
      <c r="M9" s="91"/>
      <c r="N9" s="91"/>
    </row>
    <row r="10" spans="1:14" ht="18" customHeight="1">
      <c r="A10" s="7" t="s">
        <v>220</v>
      </c>
    </row>
    <row r="11" spans="1:14" ht="18" customHeight="1">
      <c r="A11" s="86" t="s">
        <v>450</v>
      </c>
      <c r="B11" s="86"/>
      <c r="C11" s="35">
        <f>_xlfn.IFNA(VLOOKUP(封面!B1,'2021决算导出'!A:AI,35,FALSE),"")</f>
        <v>0</v>
      </c>
      <c r="D11" s="7" t="s">
        <v>179</v>
      </c>
      <c r="E11" s="86" t="s">
        <v>451</v>
      </c>
      <c r="F11" s="86"/>
      <c r="G11" s="86"/>
      <c r="H11" s="92">
        <f>_xlfn.IFNA(VLOOKUP(封面!B1,'2021决算导出'!A:AJ,36,FALSE),"")</f>
        <v>0</v>
      </c>
      <c r="I11" s="92"/>
      <c r="J11" s="16" t="s">
        <v>178</v>
      </c>
      <c r="K11" s="30" t="str">
        <f>IF(C11&gt;H11,"增加","减少")</f>
        <v>减少</v>
      </c>
      <c r="L11" s="92">
        <f>ABS(C11-H11)</f>
        <v>0</v>
      </c>
      <c r="M11" s="92"/>
      <c r="N11" s="7" t="s">
        <v>216</v>
      </c>
    </row>
    <row r="12" spans="1:14" ht="18" customHeight="1">
      <c r="A12" s="86" t="s">
        <v>452</v>
      </c>
      <c r="B12" s="86"/>
      <c r="C12" s="86"/>
      <c r="D12" s="86"/>
      <c r="E12" s="86"/>
      <c r="F12" s="92">
        <f>_xlfn.IFNA(VLOOKUP(封面!B1,'2021决算导出'!A:AK,37,FALSE),"")</f>
        <v>0</v>
      </c>
      <c r="G12" s="92"/>
      <c r="H12" s="17" t="s">
        <v>179</v>
      </c>
      <c r="I12" s="86" t="s">
        <v>451</v>
      </c>
      <c r="J12" s="86"/>
      <c r="K12" s="86"/>
      <c r="L12" s="92">
        <f>_xlfn.IFNA(VLOOKUP(封面!B1,'2021决算导出'!A:AL,38,FALSE),"")</f>
        <v>0</v>
      </c>
      <c r="M12" s="92"/>
      <c r="N12" s="7" t="s">
        <v>178</v>
      </c>
    </row>
    <row r="13" spans="1:14" ht="18" customHeight="1">
      <c r="A13" s="15" t="str">
        <f>IF(F12&gt;L12,"增加","减少")</f>
        <v>减少</v>
      </c>
      <c r="B13" s="92">
        <f>ABS(F12-L12)</f>
        <v>0</v>
      </c>
      <c r="C13" s="92"/>
      <c r="D13" s="7" t="s">
        <v>216</v>
      </c>
      <c r="H13" s="92"/>
      <c r="I13" s="92"/>
      <c r="J13" s="16"/>
    </row>
    <row r="14" spans="1:14" ht="36" customHeight="1">
      <c r="A14" s="89" t="s">
        <v>194</v>
      </c>
      <c r="B14" s="89"/>
      <c r="C14" s="89"/>
      <c r="D14" s="89"/>
      <c r="E14" s="89"/>
      <c r="F14" s="89"/>
      <c r="G14" s="89"/>
      <c r="H14" s="89"/>
      <c r="I14" s="89"/>
      <c r="J14" s="89"/>
      <c r="K14" s="89"/>
      <c r="L14" s="89"/>
      <c r="M14" s="89"/>
      <c r="N14" s="89"/>
    </row>
    <row r="15" spans="1:14" ht="18" customHeight="1">
      <c r="A15" s="86" t="s">
        <v>453</v>
      </c>
      <c r="B15" s="86"/>
      <c r="C15" s="86"/>
      <c r="D15" s="8">
        <f>_xlfn.IFNA(VLOOKUP(封面!B1,'2021决算导出'!A:AM,39,FALSE),"")</f>
        <v>0</v>
      </c>
      <c r="E15" s="7" t="s">
        <v>221</v>
      </c>
      <c r="F15" s="86" t="s">
        <v>222</v>
      </c>
      <c r="G15" s="86"/>
      <c r="H15" s="92">
        <f>IF(D15=0,0,F12/D15)</f>
        <v>0</v>
      </c>
      <c r="I15" s="92"/>
      <c r="J15" s="7" t="s">
        <v>216</v>
      </c>
    </row>
    <row r="16" spans="1:14" ht="18" customHeight="1">
      <c r="A16" s="84" t="s">
        <v>454</v>
      </c>
      <c r="B16" s="84"/>
      <c r="C16" s="84"/>
      <c r="D16" s="84"/>
      <c r="E16" s="84"/>
      <c r="F16" s="92">
        <f>_xlfn.IFNA(VLOOKUP(封面!B1,'2021决算导出'!A:AO,41,FALSE),"")</f>
        <v>0</v>
      </c>
      <c r="G16" s="92" t="s">
        <v>179</v>
      </c>
      <c r="H16" s="7" t="s">
        <v>179</v>
      </c>
      <c r="I16" s="7" t="s">
        <v>451</v>
      </c>
      <c r="L16" s="92">
        <f>_xlfn.IFNA(VLOOKUP(封面!B1,'2021决算导出'!A:AP,42,FALSE),"")</f>
        <v>0</v>
      </c>
      <c r="M16" s="92" t="s">
        <v>179</v>
      </c>
      <c r="N16" s="7" t="s">
        <v>179</v>
      </c>
    </row>
    <row r="17" spans="1:14" ht="18" customHeight="1">
      <c r="A17" s="15" t="str">
        <f>IF(F16&gt;L16,"增加","减少")</f>
        <v>减少</v>
      </c>
      <c r="B17" s="92">
        <f>ABS(F16-L16)</f>
        <v>0</v>
      </c>
      <c r="C17" s="92"/>
      <c r="D17" s="7" t="s">
        <v>216</v>
      </c>
    </row>
    <row r="18" spans="1:14" ht="36" customHeight="1">
      <c r="A18" s="89" t="s">
        <v>223</v>
      </c>
      <c r="B18" s="89"/>
      <c r="C18" s="89"/>
      <c r="D18" s="89"/>
      <c r="E18" s="89"/>
      <c r="F18" s="89"/>
      <c r="G18" s="89"/>
      <c r="H18" s="89"/>
      <c r="I18" s="89"/>
      <c r="J18" s="89"/>
      <c r="K18" s="89"/>
      <c r="L18" s="89"/>
      <c r="M18" s="89"/>
      <c r="N18" s="89"/>
    </row>
    <row r="19" spans="1:14" ht="18" customHeight="1">
      <c r="A19" s="86" t="s">
        <v>455</v>
      </c>
      <c r="B19" s="86"/>
      <c r="C19" s="86"/>
      <c r="D19" s="86"/>
      <c r="E19" s="86"/>
      <c r="F19" s="86"/>
      <c r="G19" s="92">
        <f>_xlfn.IFNA(VLOOKUP(封面!B1,'2021决算导出'!A:AQ,43,FALSE),"")</f>
        <v>0</v>
      </c>
      <c r="H19" s="92" t="s">
        <v>179</v>
      </c>
      <c r="I19" s="7" t="s">
        <v>179</v>
      </c>
      <c r="J19" s="7" t="s">
        <v>224</v>
      </c>
      <c r="L19" s="92">
        <f>_xlfn.IFNA(VLOOKUP(封面!B1,'2021决算导出'!A:AR,44,FALSE),"")</f>
        <v>0</v>
      </c>
      <c r="M19" s="92" t="s">
        <v>179</v>
      </c>
      <c r="N19" s="7" t="s">
        <v>179</v>
      </c>
    </row>
    <row r="20" spans="1:14" ht="18" customHeight="1">
      <c r="A20" s="86" t="s">
        <v>225</v>
      </c>
      <c r="B20" s="86"/>
      <c r="C20" s="92">
        <f>_xlfn.IFNA(VLOOKUP(封面!B1,'2021决算导出'!A:AS,45,FALSE),"")</f>
        <v>0</v>
      </c>
      <c r="D20" s="92" t="s">
        <v>179</v>
      </c>
      <c r="E20" s="7" t="s">
        <v>179</v>
      </c>
      <c r="F20" s="86" t="s">
        <v>226</v>
      </c>
      <c r="G20" s="86"/>
      <c r="H20" s="86"/>
      <c r="I20" s="92">
        <f>_xlfn.IFNA(VLOOKUP(封面!B1,'2021决算导出'!A:AT,46,FALSE),"")</f>
        <v>0</v>
      </c>
      <c r="J20" s="92" t="s">
        <v>179</v>
      </c>
      <c r="K20" s="7" t="s">
        <v>216</v>
      </c>
    </row>
    <row r="21" spans="1:14" ht="18" customHeight="1">
      <c r="A21" s="86" t="s">
        <v>456</v>
      </c>
      <c r="B21" s="86"/>
      <c r="C21" s="86"/>
      <c r="D21" s="8">
        <f>_xlfn.IFNA(VLOOKUP(封面!B1,'2021决算导出'!A:AU,47,FALSE),"")</f>
        <v>0</v>
      </c>
      <c r="E21" s="88" t="s">
        <v>408</v>
      </c>
      <c r="F21" s="88"/>
      <c r="G21" s="88"/>
      <c r="H21" s="88"/>
      <c r="I21" s="88"/>
      <c r="J21" s="88"/>
      <c r="K21" s="88"/>
      <c r="L21" s="88"/>
      <c r="M21" s="54" t="e">
        <f>F16/D21</f>
        <v>#DIV/0!</v>
      </c>
      <c r="N21" s="7" t="s">
        <v>216</v>
      </c>
    </row>
    <row r="22" spans="1:14" ht="18" customHeight="1">
      <c r="A22" s="6" t="s">
        <v>227</v>
      </c>
    </row>
    <row r="23" spans="1:14" ht="18" customHeight="1">
      <c r="A23" s="7" t="s">
        <v>228</v>
      </c>
    </row>
    <row r="24" spans="1:14" ht="18" customHeight="1">
      <c r="A24" s="6" t="s">
        <v>229</v>
      </c>
    </row>
    <row r="25" spans="1:14" ht="18" customHeight="1">
      <c r="A25" s="86" t="s">
        <v>457</v>
      </c>
      <c r="B25" s="86"/>
      <c r="C25" s="86"/>
      <c r="D25" s="86"/>
      <c r="E25" s="83">
        <f>_xlfn.IFNA(VLOOKUP(封面!B1,'2021决算导出'!A:AW,49,FALSE),"")</f>
        <v>265756</v>
      </c>
      <c r="F25" s="83"/>
      <c r="G25" s="7" t="s">
        <v>179</v>
      </c>
      <c r="H25" s="86" t="s">
        <v>230</v>
      </c>
      <c r="I25" s="86"/>
      <c r="J25" s="86"/>
      <c r="K25" s="86"/>
      <c r="L25" s="83">
        <f>_xlfn.IFNA(VLOOKUP(封面!B1,'2021决算导出'!A:AX,50,FALSE),"")</f>
        <v>130756</v>
      </c>
      <c r="M25" s="83" t="s">
        <v>179</v>
      </c>
      <c r="N25" s="7" t="s">
        <v>179</v>
      </c>
    </row>
    <row r="26" spans="1:14" ht="18" customHeight="1">
      <c r="A26" s="86" t="s">
        <v>231</v>
      </c>
      <c r="B26" s="86"/>
      <c r="C26" s="86"/>
      <c r="D26" s="83">
        <f>_xlfn.IFNA(VLOOKUP(封面!B1,'2021决算导出'!A:AY,51,FALSE),"")</f>
        <v>0</v>
      </c>
      <c r="E26" s="83" t="s">
        <v>179</v>
      </c>
      <c r="F26" s="7" t="s">
        <v>179</v>
      </c>
      <c r="G26" s="86" t="s">
        <v>232</v>
      </c>
      <c r="H26" s="86"/>
      <c r="I26" s="86"/>
      <c r="J26" s="83">
        <f>_xlfn.IFNA(VLOOKUP(封面!B1,'2021决算导出'!A:AZ,52,FALSE),"")</f>
        <v>135000</v>
      </c>
      <c r="K26" s="83" t="s">
        <v>179</v>
      </c>
      <c r="L26" s="7" t="s">
        <v>216</v>
      </c>
    </row>
    <row r="27" spans="1:14" ht="18" customHeight="1">
      <c r="A27" s="86" t="s">
        <v>233</v>
      </c>
      <c r="B27" s="86"/>
      <c r="C27" s="86"/>
      <c r="D27" s="86"/>
      <c r="E27" s="83">
        <f>_xlfn.IFNA(VLOOKUP(封面!B1,'2021决算导出'!A:BA,53,FALSE),"")</f>
        <v>0</v>
      </c>
      <c r="F27" s="83" t="s">
        <v>179</v>
      </c>
      <c r="G27" s="7" t="s">
        <v>179</v>
      </c>
      <c r="H27" s="84" t="s">
        <v>234</v>
      </c>
      <c r="I27" s="84"/>
      <c r="J27" s="84"/>
      <c r="K27" s="29">
        <f>E27/$E$25</f>
        <v>0</v>
      </c>
      <c r="L27" s="18" t="s">
        <v>315</v>
      </c>
      <c r="M27" s="7" t="s">
        <v>409</v>
      </c>
    </row>
    <row r="28" spans="1:14" ht="18" customHeight="1">
      <c r="A28" s="86" t="s">
        <v>235</v>
      </c>
      <c r="B28" s="86"/>
      <c r="C28" s="86"/>
      <c r="D28" s="86"/>
      <c r="E28" s="83">
        <f>_xlfn.IFNA(VLOOKUP(封面!B1,'2021决算导出'!A:BB,54,FALSE),"")</f>
        <v>0</v>
      </c>
      <c r="F28" s="83" t="s">
        <v>179</v>
      </c>
      <c r="G28" s="7" t="s">
        <v>179</v>
      </c>
      <c r="H28" s="84" t="s">
        <v>234</v>
      </c>
      <c r="I28" s="84"/>
      <c r="J28" s="84"/>
      <c r="K28" s="29">
        <f>E28/$E$25</f>
        <v>0</v>
      </c>
      <c r="L28" s="18" t="s">
        <v>317</v>
      </c>
    </row>
    <row r="29" spans="1:14" ht="18" customHeight="1">
      <c r="A29" s="6" t="s">
        <v>236</v>
      </c>
    </row>
    <row r="30" spans="1:14" ht="18" customHeight="1">
      <c r="A30" s="86" t="s">
        <v>458</v>
      </c>
      <c r="B30" s="86"/>
      <c r="C30" s="8">
        <f>_xlfn.IFNA(VLOOKUP(封面!B1,'2021决算导出'!A:BC,55,FALSE),"")</f>
        <v>0</v>
      </c>
      <c r="D30" s="7" t="s">
        <v>237</v>
      </c>
      <c r="M30" s="92">
        <f>_xlfn.IFNA(VLOOKUP(封面!B1,'2021决算导出'!A:BD,56,FALSE),"")</f>
        <v>0</v>
      </c>
      <c r="N30" s="92" t="s">
        <v>179</v>
      </c>
    </row>
    <row r="31" spans="1:14" ht="18" customHeight="1">
      <c r="A31" s="12" t="s">
        <v>238</v>
      </c>
      <c r="B31" s="86" t="s">
        <v>239</v>
      </c>
      <c r="C31" s="86"/>
      <c r="D31" s="86"/>
      <c r="E31" s="86"/>
      <c r="F31" s="86"/>
      <c r="G31" s="8">
        <f>_xlfn.IFNA(VLOOKUP(封面!B1,'2021决算导出'!A:BE,57,FALSE),"")</f>
        <v>0</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 customHeight="1">
      <c r="A36" s="89" t="s">
        <v>475</v>
      </c>
      <c r="B36" s="89"/>
      <c r="C36" s="89"/>
      <c r="D36" s="89"/>
      <c r="E36" s="89"/>
      <c r="F36" s="89"/>
      <c r="G36" s="89"/>
      <c r="H36" s="89"/>
      <c r="I36" s="89"/>
      <c r="J36" s="89"/>
      <c r="K36" s="89"/>
      <c r="L36" s="89"/>
      <c r="M36" s="89"/>
      <c r="N36" s="89"/>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5"/>
  <sheetData>
    <row r="10" spans="1:14" ht="54.6" customHeight="1">
      <c r="A10" s="81" t="s">
        <v>477</v>
      </c>
      <c r="B10" s="81"/>
      <c r="C10" s="81"/>
      <c r="D10" s="81"/>
      <c r="E10" s="81"/>
      <c r="F10" s="81"/>
      <c r="G10" s="81"/>
      <c r="H10" s="81"/>
      <c r="I10" s="81"/>
      <c r="J10" s="81"/>
      <c r="K10" s="81"/>
      <c r="L10" s="81"/>
      <c r="M10" s="81"/>
      <c r="N10" s="81"/>
    </row>
    <row r="11" spans="1:14" ht="78" customHeight="1">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3.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ZLL1X</cp:lastModifiedBy>
  <cp:lastPrinted>2022-08-25T04:56:47Z</cp:lastPrinted>
  <dcterms:created xsi:type="dcterms:W3CDTF">2021-08-26T09:47:38Z</dcterms:created>
  <dcterms:modified xsi:type="dcterms:W3CDTF">2022-08-30T05:50:29Z</dcterms:modified>
</cp:coreProperties>
</file>