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1原D盘工作\2022\上报\决算公开\255150椿树馆小学\"/>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7" i="5"/>
  <c r="A75" i="5"/>
  <c r="J71" i="5"/>
  <c r="E71" i="5"/>
  <c r="J69" i="5"/>
  <c r="E69" i="5"/>
  <c r="J67" i="5"/>
  <c r="E67" i="5"/>
  <c r="J65" i="5"/>
  <c r="J60" i="5"/>
  <c r="E65" i="5"/>
  <c r="J62" i="5"/>
  <c r="E62" i="5"/>
  <c r="E60" i="5"/>
  <c r="E59" i="5"/>
  <c r="J56" i="5"/>
  <c r="E56" i="5"/>
  <c r="J54" i="5"/>
  <c r="E54" i="5"/>
  <c r="E53" i="5"/>
  <c r="E5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6" i="5" l="1"/>
  <c r="G66" i="5" s="1"/>
  <c r="F68" i="5"/>
  <c r="B68" i="5"/>
  <c r="C68" i="5"/>
  <c r="G68" i="5" s="1"/>
  <c r="F66" i="5"/>
  <c r="B66" i="5"/>
  <c r="H10" i="5"/>
  <c r="K10" i="5" s="1"/>
  <c r="G10" i="5"/>
  <c r="G87"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1" i="5" l="1"/>
  <c r="J48" i="5"/>
  <c r="E48" i="5"/>
  <c r="J45" i="5"/>
  <c r="E45" i="5"/>
  <c r="J43" i="5"/>
  <c r="E43" i="5"/>
  <c r="J41" i="5"/>
  <c r="E41" i="5"/>
  <c r="J39" i="5"/>
  <c r="E39" i="5"/>
  <c r="J36" i="5"/>
  <c r="E36" i="5"/>
  <c r="J34" i="5"/>
  <c r="E34" i="5"/>
  <c r="B72" i="5" l="1"/>
  <c r="F57" i="5"/>
  <c r="C61" i="5"/>
  <c r="G61" i="5" s="1"/>
  <c r="C70" i="5"/>
  <c r="G70" i="5" s="1"/>
  <c r="F35" i="5"/>
  <c r="F40" i="5"/>
  <c r="F44" i="5"/>
  <c r="F63" i="5"/>
  <c r="C72" i="5"/>
  <c r="G72" i="5" s="1"/>
  <c r="F72" i="5"/>
  <c r="F70" i="5"/>
  <c r="B70" i="5"/>
  <c r="B63" i="5"/>
  <c r="C63" i="5"/>
  <c r="G63" i="5" s="1"/>
  <c r="F61" i="5"/>
  <c r="B61" i="5"/>
  <c r="C57" i="5"/>
  <c r="G57" i="5" s="1"/>
  <c r="F37" i="5"/>
  <c r="F42" i="5"/>
  <c r="F46" i="5"/>
  <c r="F55" i="5"/>
  <c r="B57" i="5"/>
  <c r="B55" i="5"/>
  <c r="C55" i="5"/>
  <c r="G55"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2" i="5" l="1"/>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<sst xmlns="http://schemas.openxmlformats.org/spreadsheetml/2006/main" count="4852" uniqueCount="484">
  <si>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</si>
  <si>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</si>
  <si>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</si>
  <si>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</si>
  <si>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</si>
  <si>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</si>
  <si>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</si>
  <si>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</si>
  <si>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</si>
  <si>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</si>
  <si>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</si>
  <si>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</si>
  <si>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</si>
  <si>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</si>
  <si>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</si>
  <si>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</si>
  <si>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</si>
  <si>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</si>
  <si>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</si>
  <si>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</si>
  <si>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</si>
  <si>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</si>
  <si>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</si>
  <si>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</si>
  <si>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</si>
  <si>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</si>
  <si>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</si>
  <si>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</si>
  <si>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</si>
  <si>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</si>
  <si>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</si>
  <si>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</si>
  <si>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</si>
  <si>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</si>
  <si>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</si>
  <si>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</si>
  <si>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</si>
  <si>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</si>
  <si>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</si>
  <si>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</si>
  <si>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</si>
  <si>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</si>
  <si>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</si>
  <si>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</si>
  <si>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</si>
  <si>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</si>
  <si>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</si>
  <si>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</si>
  <si>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</si>
  <si>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</si>
  <si>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</si>
  <si>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</si>
  <si>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</si>
  <si>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</si>
  <si>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</si>
  <si>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</si>
  <si>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</si>
  <si>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</si>
  <si>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</si>
  <si>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</si>
  <si>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</si>
  <si>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</si>
  <si>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</si>
  <si>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</si>
  <si>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</si>
  <si>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</si>
  <si>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</si>
  <si>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</si>
  <si>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</si>
  <si>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</si>
  <si>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</si>
  <si>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</si>
  <si>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</si>
  <si>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</si>
  <si>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</si>
  <si>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</si>
  <si>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</si>
  <si>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</si>
  <si>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</si>
  <si>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</si>
  <si>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</si>
  <si>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</si>
  <si>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</si>
  <si>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</si>
  <si>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</si>
  <si>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</si>
  <si>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</si>
  <si>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</si>
  <si>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</si>
  <si>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</si>
  <si>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</si>
  <si>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</si>
  <si>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</si>
  <si>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</si>
  <si>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</si>
  <si>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</si>
  <si>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</si>
  <si>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</si>
  <si>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</si>
  <si>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</si>
  <si>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</si>
  <si>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</si>
  <si>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</si>
  <si>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</si>
  <si>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</si>
  <si>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</si>
  <si>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</si>
  <si>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</si>
  <si>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</si>
  <si>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</si>
  <si>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</si>
  <si>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</si>
  <si>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</si>
  <si>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</si>
  <si>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</si>
  <si>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</si>
  <si>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</si>
  <si>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</si>
  <si>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</si>
  <si>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</si>
  <si>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</si>
  <si>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</si>
  <si>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</si>
  <si>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</si>
  <si>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</si>
  <si>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</si>
  <si>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</si>
  <si>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</si>
  <si>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</si>
  <si>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</si>
  <si>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</si>
  <si>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</si>
  <si>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</si>
  <si>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</si>
  <si>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</si>
  <si>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</si>
  <si>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</si>
  <si>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</si>
  <si>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</si>
  <si>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</si>
  <si>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</si>
  <si>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</si>
  <si>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</si>
  <si>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</si>
  <si>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</si>
  <si>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</si>
  <si>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</si>
  <si>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</si>
  <si>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</si>
  <si>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</si>
  <si>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</si>
  <si>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</si>
  <si>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</si>
  <si>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</si>
  <si>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</si>
  <si>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</si>
  <si>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</si>
  <si>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</si>
  <si>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</si>
  <si>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</si>
  <si>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</si>
  <si>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</si>
  <si>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</si>
  <si>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</si>
  <si>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</si>
  <si>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</si>
  <si>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</si>
  <si>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</si>
  <si>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</si>
  <si>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</si>
  <si>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</si>
  <si>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</si>
  <si>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</si>
  <si>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</si>
  <si>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</si>
  <si>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</si>
  <si>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</si>
  <si>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</si>
  <si>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</si>
  <si>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</si>
  <si>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</si>
  <si>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</si>
  <si>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</si>
  <si>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</si>
  <si>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</si>
  <si>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</si>
  <si>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</si>
  <si>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</si>
  <si>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</si>
  <si>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</si>
  <si>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</si>
  <si>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</si>
  <si>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</si>
  <si>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</si>
  <si>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</si>
  <si>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</si>
  <si>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</si>
  <si>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</si>
  <si>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</si>
  <si>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</si>
  <si>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</si>
  <si>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</si>
  <si>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</si>
  <si>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</si>
  <si>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</si>
  <si>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</si>
  <si>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</si>
  <si>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</si>
  <si>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</si>
  <si>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</si>
  <si>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</si>
  <si>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</si>
  <si>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</si>
  <si>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</si>
  <si>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</si>
  <si>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</si>
  <si>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</si>
  <si>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</si>
  <si>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</si>
  <si>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</si>
  <si>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</si>
  <si>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</si>
  <si>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</si>
  <si>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</si>
  <si>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</si>
  <si>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</si>
  <si>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</si>
  <si>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</si>
  <si>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</si>
  <si>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</si>
  <si>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</si>
  <si>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</si>
  <si>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</si>
  <si>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</si>
  <si>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</si>
  <si>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</si>
  <si>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</si>
  <si>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</si>
  <si>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</si>
  <si>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</si>
  <si>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</si>
  <si>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</si>
  <si>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</si>
  <si>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</si>
  <si>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</si>
  <si>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</si>
  <si>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</si>
  <si>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</si>
  <si>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</si>
  <si>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</si>
  <si>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</si>
  <si>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</si>
  <si>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</si>
  <si>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</si>
  <si>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</si>
  <si>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</si>
  <si>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</si>
  <si>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</si>
  <si>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</si>
  <si>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</si>
  <si>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</si>
  <si>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</si>
  <si>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</si>
  <si>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</si>
  <si>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</si>
  <si>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</si>
  <si>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</si>
  <si>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</si>
  <si>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</si>
  <si>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</si>
  <si>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</si>
  <si>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</si>
  <si>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</si>
  <si>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</si>
  <si>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</si>
  <si>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</si>
  <si>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</si>
  <si>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</si>
  <si>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</si>
  <si>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</si>
  <si>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</si>
  <si>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</si>
  <si>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</si>
  <si>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</si>
  <si>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</si>
  <si>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</si>
  <si>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</si>
  <si>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</si>
  <si>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</si>
  <si>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</si>
  <si>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</si>
  <si>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</si>
  <si>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</si>
  <si>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</si>
  <si>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</si>
  <si>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</si>
  <si>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</si>
  <si>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</si>
  <si>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</si>
  <si>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</si>
  <si>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</si>
  <si>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</si>
  <si>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</si>
  <si>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</si>
  <si>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</si>
  <si>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</si>
  <si>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</si>
  <si>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</si>
  <si>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</si>
  <si>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</si>
  <si>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</si>
  <si>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</si>
  <si>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</si>
  <si>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</si>
  <si>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</si>
  <si>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</si>
  <si>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</si>
  <si>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</si>
  <si>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</si>
  <si>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</si>
  <si>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</si>
  <si>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</si>
  <si>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</si>
  <si>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</si>
  <si>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</si>
  <si>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</si>
  <si>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</si>
  <si>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</si>
  <si>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</si>
  <si>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</si>
  <si>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</si>
  <si>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</si>
  <si>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</si>
  <si>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</si>
  <si>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</si>
  <si>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</si>
  <si>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</si>
  <si>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</si>
  <si>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</si>
  <si>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</si>
  <si>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</si>
  <si>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</si>
  <si>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</si>
  <si>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</si>
  <si>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</si>
  <si>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</si>
  <si>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</si>
  <si>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</si>
  <si>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</si>
  <si>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</si>
  <si>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</si>
  <si>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</si>
  <si>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</si>
  <si>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</si>
  <si>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</si>
  <si>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</si>
  <si>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</si>
  <si>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</si>
  <si>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</si>
  <si>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</si>
  <si>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</si>
  <si>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</si>
  <si>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</si>
  <si>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</si>
  <si>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</si>
  <si>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</si>
  <si>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</si>
  <si>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</si>
  <si>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</si>
  <si>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</si>
  <si>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</si>
  <si>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</si>
  <si>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</si>
  <si>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</si>
  <si>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</si>
  <si>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</si>
  <si>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</si>
  <si>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</si>
  <si>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</si>
  <si>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</si>
  <si>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</si>
  <si>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</si>
  <si>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</si>
  <si>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</si>
  <si>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</si>
  <si>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</si>
  <si>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</si>
  <si>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</si>
  <si>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</si>
  <si>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</si>
  <si>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</si>
  <si>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</si>
  <si>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</si>
  <si>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</si>
  <si>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</si>
  <si>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</si>
  <si>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</si>
  <si>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</si>
  <si>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</si>
  <si>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</si>
  <si>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</si>
  <si>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</si>
  <si>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</si>
  <si>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</si>
  <si>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</si>
  <si>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</si>
  <si>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</si>
  <si>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</si>
  <si>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</si>
  <si>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</si>
  <si>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</si>
  <si>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</si>
  <si>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</si>
  <si>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</si>
  <si>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</si>
  <si>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</si>
  <si>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</si>
  <si>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</si>
  <si>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</si>
  <si>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</si>
  <si>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</si>
  <si>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</si>
  <si>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</si>
  <si>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</si>
  <si>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</si>
  <si>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</si>
  <si>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</si>
  <si>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</si>
  <si>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</si>
  <si>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</si>
  <si>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</si>
  <si>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</si>
  <si>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</si>
  <si>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</si>
  <si>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</si>
  <si>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</si>
  <si>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</si>
  <si>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</si>
  <si>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</si>
  <si>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</si>
  <si>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</si>
  <si>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</si>
  <si>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</si>
  <si>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</si>
  <si>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</si>
  <si>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</si>
  <si>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</si>
  <si>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</si>
  <si>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</si>
  <si>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</si>
  <si>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</si>
  <si>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</si>
  <si>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</si>
  <si>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</si>
  <si>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</si>
  <si>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</si>
  <si>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</si>
  <si>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</si>
  <si>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</si>
  <si>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</si>
  <si>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</si>
  <si>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</si>
  <si>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</si>
  <si>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</si>
  <si>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</si>
  <si>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</si>
  <si>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</si>
  <si>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</si>
  <si>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</si>
  <si>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</si>
  <si>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</si>
  <si>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</si>
  <si>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</si>
  <si>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</si>
  <si>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</si>
  <si>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</si>
  <si>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</si>
  <si>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</si>
  <si>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1、2021年收入年初预算数42,115,878.66元，为一般公共预算财政拨款收入。其中年初结转结余50,000.00元，为政府性基金预算财政拨款收入
2、2021年支出年初预算数42,115,878.66元，按功能分类划分，教育支出32,364,792.06元，社会保障和就业支出3,940,337.60元，卫生健康支出1,933,560.20元，住房保障支出3,827,188.80元，其他支出50000.00元。按支出性质和经济分类划分，人员经费26,278,304.48元，日常公用经费3,292,627.02元，项目支出12,544,947.16元。
</t>
    <phoneticPr fontId="4" type="noConversion"/>
  </si>
  <si>
    <t>主要原因是今年新进教师19人，扩班增加校址</t>
    <phoneticPr fontId="4" type="noConversion"/>
  </si>
  <si>
    <t>主要原因是受疫情影响，教师外出培训减少</t>
    <phoneticPr fontId="4" type="noConversion"/>
  </si>
  <si>
    <t>主要原因是取消了乐器的购置</t>
    <phoneticPr fontId="4" type="noConversion"/>
  </si>
  <si>
    <t>主要原因是今年新进教师19人</t>
    <phoneticPr fontId="4" type="noConversion"/>
  </si>
  <si>
    <t>北京市西城区椿树馆小学是一所公办小学，建校于1965年。地址：广安门外南街43号,2021年9月新增分址：广安门外南街47号，主要职责是小学教育。自建校以来，一直致力于学生的德智体全面发展，先后被评为北京市随班就读工作先进学校、北京市健康教育促进学校、区级的小足球传统项目校、西城区精神文明单位。学校现有在册教职工96人，退休人员35人。全校共有36个教学班，学生1500人。
1.新校址建设，教委为我校解决学位不足的问题，本年建设了新校址。为确保学生如期进入新学校，做了大量的工作，施工期间我校领导和相关教师经常跑工地，督促建设速度和检查工程质量，按照制定措施和时间安排表，顺利实现9月1日的开学工作。
2开展丰富多彩的课外实践活动，本年开展了丰富多彩科技活动，促进科技服务业发展；追求优质的课堂教学，突出实效的德育活动，培养学生的综合素质，促进科技成果惠及民生和提高城市精细化管理水平，切实推动“科技北京”的发展建设。我校学生在市区科技、艺术、体育多项比赛中取得优异成绩。
3.教育综合改革，落实教育大会精神，持续推进教育综合改革，我校积极落实“五项”管理要求和“双减”工作，积极开展课后服务工作，丰富课后服务内容，提高课后服务质量，为群众办实事。新任教师“出师课”、校带“示范课”、青年“风采课”、听课评课，汇总建议，把控教学质量，通过以社会主义核心价值观为导向，围绕“立德树人”的根本任务，面向我校全体学生开展了不同层面的科学教育，实施科学实践活动。培养了学生的创新精神，普及科学知识，发展实践能力，增强创新意识。</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</si>
</sst>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255150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北京市西城区椿树馆小学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tabSelected="1" topLeftCell="A4" zoomScaleNormal="100" workbookViewId="0">
      <selection activeCell="A4" sqref="A4:M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9" t="s">
        <v>483</v>
      </c>
      <c r="B4" s="89"/>
      <c r="C4" s="89"/>
      <c r="D4" s="89"/>
      <c r="E4" s="89"/>
      <c r="F4" s="89"/>
      <c r="G4" s="89"/>
      <c r="H4" s="89"/>
      <c r="I4" s="89"/>
      <c r="J4" s="89"/>
      <c r="K4" s="89"/>
      <c r="L4" s="89"/>
      <c r="M4" s="89"/>
      <c r="N4" s="19"/>
    </row>
    <row r="5" spans="1:14" ht="18" customHeight="1">
      <c r="A5" s="7" t="s">
        <v>176</v>
      </c>
    </row>
    <row r="6" spans="1:14" ht="18" customHeight="1">
      <c r="A6" s="86" t="s">
        <v>245</v>
      </c>
      <c r="B6" s="86"/>
      <c r="C6" s="10">
        <v>98</v>
      </c>
      <c r="D6" s="10" t="s">
        <v>247</v>
      </c>
      <c r="E6" s="8">
        <f>_xlfn.IFNA(VLOOKUP(封面!B1,'2021决算导出'!A:C,3,FALSE),"")</f>
        <v>96</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48369315.689999998</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19152742.599999998</v>
      </c>
      <c r="I8" s="16" t="s">
        <v>179</v>
      </c>
      <c r="J8" s="30" t="str">
        <f>IF(ISNA(VLOOKUP(封面!B1,'2020决算导出'!A:D,4,FALSE)),"",IF(D8-VLOOKUP(封面!B1,'2020决算导出'!A:D,4,FALSE)&gt;0,"增长","下降"))</f>
        <v>增长</v>
      </c>
      <c r="K8" s="31">
        <f>IF(ISNA(VLOOKUP(封面!B1,'2020决算导出'!A:D,4,FALSE)),"",H8/VLOOKUP(封面!B1,'2020决算导出'!A:D,4,FALSE))</f>
        <v>0.65554377445298118</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48319315.689999998</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19283752.439999998</v>
      </c>
      <c r="I10" s="16" t="s">
        <v>179</v>
      </c>
      <c r="J10" s="30" t="str">
        <f>IF(ISNA(VLOOKUP(封面!B1,'2020决算导出'!A:E,5,FALSE)),"",IF(D10-VLOOKUP(封面!B1,'2020决算导出'!A:E,5,FALSE)&gt;0,"增长","下降"))</f>
        <v>增长</v>
      </c>
      <c r="K10" s="31">
        <f>IF(ISNA(VLOOKUP(封面!B1,'2020决算导出'!A:E,5,FALSE)),"",H10/VLOOKUP(封面!B1,'2020决算导出'!A:E,5,FALSE))</f>
        <v>0.66414253010917557</v>
      </c>
      <c r="L10" s="7" t="s">
        <v>314</v>
      </c>
    </row>
    <row r="11" spans="1:14" ht="18" customHeight="1">
      <c r="A11" s="86" t="s">
        <v>181</v>
      </c>
      <c r="B11" s="86"/>
      <c r="C11" s="86"/>
      <c r="D11" s="14">
        <f>_xlfn.IFNA(VLOOKUP(封面!B1,'2021决算导出'!A:F,6,FALSE),"")</f>
        <v>48319315.689999998</v>
      </c>
      <c r="E11" s="7" t="s">
        <v>179</v>
      </c>
      <c r="F11" s="86" t="s">
        <v>182</v>
      </c>
      <c r="G11" s="86"/>
      <c r="H11" s="29">
        <f>D11/$D$10</f>
        <v>1</v>
      </c>
      <c r="I11" s="7" t="s">
        <v>315</v>
      </c>
    </row>
    <row r="12" spans="1:14" ht="18" customHeight="1">
      <c r="A12" s="86" t="s">
        <v>184</v>
      </c>
      <c r="B12" s="86"/>
      <c r="C12" s="86"/>
      <c r="D12" s="14">
        <f>_xlfn.IFNA(VLOOKUP(封面!B1,'2021决算导出'!A:G,7,FALSE),"")</f>
        <v>0</v>
      </c>
      <c r="E12" s="7" t="s">
        <v>179</v>
      </c>
      <c r="F12" s="86" t="s">
        <v>182</v>
      </c>
      <c r="G12" s="86"/>
      <c r="H12" s="29">
        <f t="shared" ref="H12:H15" si="0">D12/$D$10</f>
        <v>0</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48369315.689999998</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19202742.599999998</v>
      </c>
      <c r="I17" s="7" t="s">
        <v>179</v>
      </c>
      <c r="J17" s="30" t="str">
        <f>IF(ISNA(VLOOKUP(封面!B1,'2020决算导出'!A:K,11,FALSE)),"",IF(D17-VLOOKUP(封面!B1,'2020决算导出'!A:K,11,FALSE)&gt;0,"增长","下降"))</f>
        <v>增长</v>
      </c>
      <c r="K17" s="31">
        <f>IF(ISNA(VLOOKUP(封面!B1,'2020决算导出'!A:K,11,FALSE)),"",H17/VLOOKUP(封面!B1,'2020决算导出'!A:K,11,FALSE))</f>
        <v>0.65838185860044751</v>
      </c>
      <c r="L17" s="7" t="s">
        <v>317</v>
      </c>
    </row>
    <row r="18" spans="1:13" ht="18" customHeight="1">
      <c r="A18" s="86" t="s">
        <v>189</v>
      </c>
      <c r="B18" s="86"/>
      <c r="C18" s="86"/>
      <c r="D18" s="14">
        <f>_xlfn.IFNA(VLOOKUP(封面!B1,'2021决算导出'!A:L,12,FALSE),"")</f>
        <v>32081597.010000002</v>
      </c>
      <c r="E18" s="7" t="s">
        <v>179</v>
      </c>
      <c r="F18" s="86" t="s">
        <v>190</v>
      </c>
      <c r="G18" s="86"/>
      <c r="H18" s="29">
        <f>D18/$D$17</f>
        <v>0.66326340475047563</v>
      </c>
      <c r="I18" s="7" t="s">
        <v>315</v>
      </c>
    </row>
    <row r="19" spans="1:13" ht="18" customHeight="1">
      <c r="A19" s="86" t="s">
        <v>191</v>
      </c>
      <c r="B19" s="86"/>
      <c r="C19" s="86"/>
      <c r="D19" s="14">
        <f>_xlfn.IFNA(VLOOKUP(封面!B1,'2021决算导出'!A:M,13,FALSE),"")</f>
        <v>16287718.68</v>
      </c>
      <c r="E19" s="7" t="s">
        <v>179</v>
      </c>
      <c r="F19" s="86" t="s">
        <v>190</v>
      </c>
      <c r="G19" s="86"/>
      <c r="H19" s="29">
        <f t="shared" ref="H19:H20" si="1">D19/$D$17</f>
        <v>0.33673659524952443</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48369315.689999998</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19152742.599999998</v>
      </c>
      <c r="J22" s="7" t="s">
        <v>179</v>
      </c>
      <c r="K22" s="30" t="str">
        <f>IF(ISNA(VLOOKUP(封面!B1,'2020决算导出'!A:O,15,FALSE)),"",IF(E22-VLOOKUP(封面!B1,'2020决算导出'!A:O,15,FALSE)&gt;0,"增长","下降"))</f>
        <v>增长</v>
      </c>
      <c r="L22" s="31">
        <f>IF(ISNA(VLOOKUP(封面!B1,'2020决算导出'!A:O,15,FALSE)),"",I22/VLOOKUP(封面!B1,'2020决算导出'!A:O,15,FALSE))</f>
        <v>0.65554377445298118</v>
      </c>
      <c r="M22" s="7" t="s">
        <v>313</v>
      </c>
    </row>
    <row r="23" spans="1:13" ht="63.6" customHeight="1">
      <c r="B23" s="87" t="s">
        <v>478</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48319315.689999998</v>
      </c>
      <c r="G26" s="83"/>
      <c r="H26" s="7" t="s">
        <v>179</v>
      </c>
      <c r="I26" s="10" t="s">
        <v>196</v>
      </c>
      <c r="J26" s="10"/>
      <c r="K26" s="10"/>
      <c r="L26" s="10"/>
      <c r="M26" s="10"/>
    </row>
    <row r="27" spans="1:13" ht="18" customHeight="1">
      <c r="A27" s="86" t="s">
        <v>199</v>
      </c>
      <c r="B27" s="86"/>
      <c r="C27" s="86"/>
      <c r="D27" s="83">
        <f>_xlfn.IFNA(VLOOKUP(封面!B1,'2021决算导出'!A:Q,17,FALSE),"")</f>
        <v>38491087.18</v>
      </c>
      <c r="E27" s="83"/>
      <c r="F27" s="7" t="s">
        <v>179</v>
      </c>
      <c r="G27" s="84" t="s">
        <v>198</v>
      </c>
      <c r="H27" s="84"/>
      <c r="I27" s="29">
        <f>D27/$F$26</f>
        <v>0.79659835058396711</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4154135.59</v>
      </c>
      <c r="E29" s="83"/>
      <c r="F29" s="7" t="s">
        <v>179</v>
      </c>
      <c r="G29" s="84" t="s">
        <v>198</v>
      </c>
      <c r="H29" s="84"/>
      <c r="I29" s="29">
        <f t="shared" si="2"/>
        <v>8.5972566678127138E-2</v>
      </c>
      <c r="J29" s="7" t="s">
        <v>315</v>
      </c>
    </row>
    <row r="30" spans="1:13" ht="18" customHeight="1">
      <c r="A30" s="86" t="s">
        <v>201</v>
      </c>
      <c r="B30" s="86"/>
      <c r="C30" s="86"/>
      <c r="D30" s="83">
        <f>_xlfn.IFNA(VLOOKUP(封面!B1,'2021决算导出'!A:T,20,FALSE),"")</f>
        <v>1997445.92</v>
      </c>
      <c r="E30" s="83"/>
      <c r="F30" s="7" t="s">
        <v>179</v>
      </c>
      <c r="G30" s="84" t="s">
        <v>198</v>
      </c>
      <c r="H30" s="84"/>
      <c r="I30" s="29">
        <f t="shared" si="2"/>
        <v>4.1338456297993154E-2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3676647</v>
      </c>
      <c r="E32" s="83"/>
      <c r="F32" s="7" t="s">
        <v>179</v>
      </c>
      <c r="G32" s="84" t="s">
        <v>198</v>
      </c>
      <c r="H32" s="84"/>
      <c r="I32" s="29">
        <f t="shared" si="2"/>
        <v>7.6090626439912656E-2</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38491087.18</v>
      </c>
      <c r="F34" s="83"/>
      <c r="G34" s="7" t="s">
        <v>179</v>
      </c>
      <c r="H34" s="84" t="s">
        <v>422</v>
      </c>
      <c r="I34" s="84"/>
      <c r="J34" s="83">
        <f>_xlfn.IFNA(VLOOKUP(封面!B1,一般公共预算财政拨款支出决算具体情况!A:D,4,FALSE),"")</f>
        <v>32364792.059999999</v>
      </c>
      <c r="K34" s="83"/>
      <c r="L34" s="11" t="s">
        <v>178</v>
      </c>
    </row>
    <row r="35" spans="1:12" ht="18" customHeight="1">
      <c r="B35" s="15" t="str">
        <f>IF(E34&gt;J34,"增加","减少")</f>
        <v>增加</v>
      </c>
      <c r="C35" s="83">
        <f>ABS(E34-J34)</f>
        <v>6126295.120000001</v>
      </c>
      <c r="D35" s="83"/>
      <c r="E35" s="7" t="s">
        <v>179</v>
      </c>
      <c r="F35" s="15" t="str">
        <f>IF(E34&gt;J34,"增长","下降")</f>
        <v>增长</v>
      </c>
      <c r="G35" s="34">
        <f>IF(J34=0,IF(E34&gt;0,1,""),C35/J34)</f>
        <v>0.18928887627773627</v>
      </c>
      <c r="H35" s="7" t="s">
        <v>316</v>
      </c>
      <c r="I35" s="11" t="s">
        <v>205</v>
      </c>
    </row>
    <row r="36" spans="1:12" ht="18" customHeight="1">
      <c r="A36" s="86" t="s">
        <v>423</v>
      </c>
      <c r="B36" s="86"/>
      <c r="C36" s="86"/>
      <c r="D36" s="86"/>
      <c r="E36" s="83">
        <f>_xlfn.IFNA(VLOOKUP(封面!B1,一般公共预算财政拨款支出决算具体情况!A:E,5,FALSE),"")</f>
        <v>27987987.18</v>
      </c>
      <c r="F36" s="83"/>
      <c r="G36" s="7" t="s">
        <v>179</v>
      </c>
      <c r="H36" s="84" t="s">
        <v>422</v>
      </c>
      <c r="I36" s="84"/>
      <c r="J36" s="83">
        <f>_xlfn.IFNA(VLOOKUP(封面!B1,一般公共预算财政拨款支出决算具体情况!A:F,6,FALSE),"")</f>
        <v>21807852.059999999</v>
      </c>
      <c r="K36" s="83"/>
      <c r="L36" s="11" t="s">
        <v>178</v>
      </c>
    </row>
    <row r="37" spans="1:12" ht="18" customHeight="1">
      <c r="A37" s="15"/>
      <c r="B37" s="15" t="str">
        <f>IF(E36&gt;J36,"增加","减少")</f>
        <v>增加</v>
      </c>
      <c r="C37" s="83">
        <f>ABS(E36-J36)</f>
        <v>6180135.120000001</v>
      </c>
      <c r="D37" s="83"/>
      <c r="E37" s="7" t="s">
        <v>179</v>
      </c>
      <c r="F37" s="15" t="str">
        <f>IF(E36&gt;J36,"增长","下降")</f>
        <v>增长</v>
      </c>
      <c r="G37" s="34">
        <f>IF(J36=0,IF(E36&gt;0,1,""),C37/J36)</f>
        <v>0.28339036338822271</v>
      </c>
      <c r="H37" s="7" t="s">
        <v>316</v>
      </c>
    </row>
    <row r="38" spans="1:12" ht="36" customHeight="1">
      <c r="B38" s="89" t="s">
        <v>479</v>
      </c>
      <c r="C38" s="89"/>
      <c r="D38" s="89"/>
      <c r="E38" s="89"/>
      <c r="F38" s="89"/>
      <c r="G38" s="89"/>
      <c r="H38" s="89"/>
      <c r="I38" s="89"/>
      <c r="J38" s="89"/>
      <c r="K38" s="89"/>
      <c r="L38" s="89"/>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6" t="s">
        <v>425</v>
      </c>
      <c r="B41" s="86"/>
      <c r="C41" s="86"/>
      <c r="D41" s="86"/>
      <c r="E41" s="83">
        <f>_xlfn.IFNA(VLOOKUP(封面!B1,一般公共预算财政拨款支出决算具体情况!A:I,9,FALSE),"")</f>
        <v>0</v>
      </c>
      <c r="F41" s="83"/>
      <c r="G41" s="7" t="s">
        <v>179</v>
      </c>
      <c r="H41" s="84" t="s">
        <v>422</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6" t="s">
        <v>426</v>
      </c>
      <c r="B43" s="86"/>
      <c r="C43" s="86"/>
      <c r="D43" s="86"/>
      <c r="E43" s="83">
        <f>_xlfn.IFNA(VLOOKUP(封面!B1,一般公共预算财政拨款支出决算具体情况!A:K,11,FALSE),"")</f>
        <v>0</v>
      </c>
      <c r="F43" s="83"/>
      <c r="G43" s="7" t="s">
        <v>179</v>
      </c>
      <c r="H43" s="84" t="s">
        <v>422</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6" t="s">
        <v>427</v>
      </c>
      <c r="B45" s="86"/>
      <c r="C45" s="86"/>
      <c r="D45" s="86"/>
      <c r="E45" s="83">
        <f>_xlfn.IFNA(VLOOKUP(封面!B1,一般公共预算财政拨款支出决算具体情况!A:M,13,FALSE),"")</f>
        <v>3100</v>
      </c>
      <c r="F45" s="83"/>
      <c r="G45" s="7" t="s">
        <v>179</v>
      </c>
      <c r="H45" s="84" t="s">
        <v>422</v>
      </c>
      <c r="I45" s="84"/>
      <c r="J45" s="83">
        <f>_xlfn.IFNA(VLOOKUP(封面!B1,一般公共预算财政拨款支出决算具体情况!A:N,14,FALSE),"")</f>
        <v>53040</v>
      </c>
      <c r="K45" s="83"/>
      <c r="L45" s="11" t="s">
        <v>178</v>
      </c>
    </row>
    <row r="46" spans="1:12" ht="18" customHeight="1">
      <c r="A46" s="15"/>
      <c r="B46" s="15" t="str">
        <f>IF(E45&gt;J45,"增加","减少")</f>
        <v>减少</v>
      </c>
      <c r="C46" s="83">
        <f>ABS(E45-J45)</f>
        <v>49940</v>
      </c>
      <c r="D46" s="83"/>
      <c r="E46" s="7" t="s">
        <v>179</v>
      </c>
      <c r="F46" s="15" t="str">
        <f>IF(E45&gt;J45,"增长","下降")</f>
        <v>下降</v>
      </c>
      <c r="G46" s="34">
        <f>IF(J45=0,IF(E45&gt;0,1,""),C46/J45)</f>
        <v>0.94155354449472095</v>
      </c>
      <c r="H46" s="7" t="s">
        <v>316</v>
      </c>
    </row>
    <row r="47" spans="1:12" ht="36" customHeight="1">
      <c r="B47" s="89" t="s">
        <v>480</v>
      </c>
      <c r="C47" s="89"/>
      <c r="D47" s="89"/>
      <c r="E47" s="89"/>
      <c r="F47" s="89"/>
      <c r="G47" s="89"/>
      <c r="H47" s="89"/>
      <c r="I47" s="89"/>
      <c r="J47" s="89"/>
      <c r="K47" s="89"/>
      <c r="L47" s="89"/>
    </row>
    <row r="48" spans="1:12" ht="18" customHeight="1">
      <c r="A48" s="85" t="s">
        <v>428</v>
      </c>
      <c r="B48" s="85"/>
      <c r="C48" s="85"/>
      <c r="D48" s="85"/>
      <c r="E48" s="83">
        <f>_xlfn.IFNA(VLOOKUP(封面!B1,一般公共预算财政拨款支出决算具体情况!A:O,15,FALSE),"")</f>
        <v>10500000</v>
      </c>
      <c r="F48" s="83"/>
      <c r="G48" s="7" t="s">
        <v>179</v>
      </c>
      <c r="H48" s="84" t="s">
        <v>422</v>
      </c>
      <c r="I48" s="84"/>
      <c r="J48" s="83">
        <f>_xlfn.IFNA(VLOOKUP(封面!B1,一般公共预算财政拨款支出决算具体情况!A:P,16,FALSE),"")</f>
        <v>10503900</v>
      </c>
      <c r="K48" s="83"/>
      <c r="L48" s="11" t="s">
        <v>178</v>
      </c>
    </row>
    <row r="49" spans="1:12" ht="18" customHeight="1">
      <c r="A49" s="15"/>
      <c r="B49" s="15" t="str">
        <f>IF(E48&gt;J48,"增加","减少")</f>
        <v>减少</v>
      </c>
      <c r="C49" s="83">
        <f>ABS(E48-J48)</f>
        <v>3900</v>
      </c>
      <c r="D49" s="83"/>
      <c r="E49" s="7" t="s">
        <v>179</v>
      </c>
      <c r="F49" s="15" t="str">
        <f>IF(E48&gt;J48,"增长","下降")</f>
        <v>下降</v>
      </c>
      <c r="G49" s="34">
        <f>IF(J48=0,IF(E48&gt;0,1,""),C49/J48)</f>
        <v>3.712906634678548E-4</v>
      </c>
      <c r="H49" s="7" t="s">
        <v>316</v>
      </c>
    </row>
    <row r="50" spans="1:12" ht="36" customHeight="1">
      <c r="B50" s="89" t="s">
        <v>481</v>
      </c>
      <c r="C50" s="89"/>
      <c r="D50" s="89"/>
      <c r="E50" s="89"/>
      <c r="F50" s="89"/>
      <c r="G50" s="89"/>
      <c r="H50" s="89"/>
      <c r="I50" s="89"/>
      <c r="J50" s="89"/>
      <c r="K50" s="89"/>
      <c r="L50" s="89"/>
    </row>
    <row r="51" spans="1:12" ht="18" customHeight="1">
      <c r="A51" s="90" t="s">
        <v>429</v>
      </c>
      <c r="B51" s="90"/>
      <c r="C51" s="90"/>
      <c r="D51" s="90"/>
      <c r="E51" s="83">
        <f>_xlfn.IFNA(VLOOKUP(封面!B1,一般公共预算财政拨款支出决算具体情况!A:Q,17,FALSE),"")</f>
        <v>0</v>
      </c>
      <c r="F51" s="83"/>
      <c r="G51" s="7" t="s">
        <v>179</v>
      </c>
      <c r="H51" s="88" t="s">
        <v>430</v>
      </c>
      <c r="I51" s="88"/>
      <c r="J51" s="88"/>
      <c r="K51" s="88"/>
      <c r="L51" s="11"/>
    </row>
    <row r="52" spans="1:12" ht="18" customHeight="1">
      <c r="A52" s="85" t="s">
        <v>472</v>
      </c>
      <c r="B52" s="85"/>
      <c r="C52" s="85"/>
      <c r="D52" s="85"/>
      <c r="E52" s="83">
        <f>_xlfn.IFNA(VLOOKUP(封面!B1,一般公共预算财政拨款支出决算具体情况!A:S,19,FALSE),"")</f>
        <v>0</v>
      </c>
      <c r="F52" s="83"/>
      <c r="G52" s="7" t="s">
        <v>179</v>
      </c>
      <c r="H52" s="88" t="s">
        <v>432</v>
      </c>
      <c r="I52" s="88"/>
      <c r="J52" s="88"/>
      <c r="K52" s="88"/>
      <c r="L52" s="11"/>
    </row>
    <row r="53" spans="1:12" ht="18" customHeight="1">
      <c r="A53" s="86" t="s">
        <v>431</v>
      </c>
      <c r="B53" s="86"/>
      <c r="C53" s="86"/>
      <c r="D53" s="86"/>
      <c r="E53" s="83">
        <f>_xlfn.IFNA(VLOOKUP(封面!B1,一般公共预算财政拨款支出决算具体情况!A:U,21,FALSE),"")</f>
        <v>0</v>
      </c>
      <c r="F53" s="83"/>
      <c r="G53" s="7" t="s">
        <v>179</v>
      </c>
      <c r="H53" s="88" t="s">
        <v>432</v>
      </c>
      <c r="I53" s="88"/>
      <c r="J53" s="88"/>
      <c r="K53" s="88"/>
      <c r="L53" s="11"/>
    </row>
    <row r="54" spans="1:12" ht="18" customHeight="1">
      <c r="A54" s="90" t="s">
        <v>433</v>
      </c>
      <c r="B54" s="90"/>
      <c r="C54" s="90"/>
      <c r="D54" s="90"/>
      <c r="E54" s="83">
        <f>_xlfn.IFNA(VLOOKUP(封面!B1,一般公共预算财政拨款支出决算具体情况!A:W,23,FALSE),"")</f>
        <v>4154135.5900000003</v>
      </c>
      <c r="F54" s="83"/>
      <c r="G54" s="7" t="s">
        <v>179</v>
      </c>
      <c r="H54" s="84" t="s">
        <v>422</v>
      </c>
      <c r="I54" s="84"/>
      <c r="J54" s="83">
        <f>_xlfn.IFNA(VLOOKUP(封面!B1,一般公共预算财政拨款支出决算具体情况!A:X,24,FALSE),"")</f>
        <v>3940337.5999999996</v>
      </c>
      <c r="K54" s="83"/>
      <c r="L54" s="11" t="s">
        <v>178</v>
      </c>
    </row>
    <row r="55" spans="1:12" ht="18" customHeight="1">
      <c r="B55" s="15" t="str">
        <f>IF(E54&gt;J54,"增加","减少")</f>
        <v>增加</v>
      </c>
      <c r="C55" s="83">
        <f>ABS(E54-J54)</f>
        <v>213797.99000000069</v>
      </c>
      <c r="D55" s="83"/>
      <c r="E55" s="7" t="s">
        <v>179</v>
      </c>
      <c r="F55" s="15" t="str">
        <f>IF(E54&gt;J54,"增长","下降")</f>
        <v>增长</v>
      </c>
      <c r="G55" s="34">
        <f>IF(J54=0,IF(E54&gt;0,1,""),C55/J54)</f>
        <v>5.4258800058147483E-2</v>
      </c>
      <c r="H55" s="7" t="s">
        <v>316</v>
      </c>
      <c r="I55" s="11" t="s">
        <v>205</v>
      </c>
    </row>
    <row r="56" spans="1:12" ht="18" customHeight="1">
      <c r="A56" s="85" t="s">
        <v>434</v>
      </c>
      <c r="B56" s="85"/>
      <c r="C56" s="85"/>
      <c r="D56" s="85"/>
      <c r="E56" s="83">
        <f>_xlfn.IFNA(VLOOKUP(封面!B1,一般公共预算财政拨款支出决算具体情况!A:Y,25,FALSE),"")</f>
        <v>4154135.5900000003</v>
      </c>
      <c r="F56" s="83"/>
      <c r="G56" s="7" t="s">
        <v>179</v>
      </c>
      <c r="H56" s="84" t="s">
        <v>422</v>
      </c>
      <c r="I56" s="84"/>
      <c r="J56" s="83">
        <f>_xlfn.IFNA(VLOOKUP(封面!B1,一般公共预算财政拨款支出决算具体情况!A:Z,26,FALSE),"")</f>
        <v>3940337.5999999996</v>
      </c>
      <c r="K56" s="83"/>
      <c r="L56" s="11" t="s">
        <v>178</v>
      </c>
    </row>
    <row r="57" spans="1:12" ht="18" customHeight="1">
      <c r="A57" s="15"/>
      <c r="B57" s="15" t="str">
        <f>IF(E56&gt;J56,"增加","减少")</f>
        <v>增加</v>
      </c>
      <c r="C57" s="83">
        <f>ABS(E56-J56)</f>
        <v>213797.99000000069</v>
      </c>
      <c r="D57" s="83"/>
      <c r="E57" s="7" t="s">
        <v>179</v>
      </c>
      <c r="F57" s="15" t="str">
        <f>IF(E56&gt;J56,"增长","下降")</f>
        <v>增长</v>
      </c>
      <c r="G57" s="34">
        <f>IF(J56=0,IF(E56&gt;0,1,""),C57/J56)</f>
        <v>5.4258800058147483E-2</v>
      </c>
      <c r="H57" s="7" t="s">
        <v>316</v>
      </c>
    </row>
    <row r="58" spans="1:12" ht="36" customHeight="1">
      <c r="B58" s="89" t="s">
        <v>482</v>
      </c>
      <c r="C58" s="89"/>
      <c r="D58" s="89"/>
      <c r="E58" s="89"/>
      <c r="F58" s="89"/>
      <c r="G58" s="89"/>
      <c r="H58" s="89"/>
      <c r="I58" s="89"/>
      <c r="J58" s="89"/>
      <c r="K58" s="89"/>
      <c r="L58" s="89"/>
    </row>
    <row r="59" spans="1:12" ht="18" customHeight="1">
      <c r="A59" s="85" t="s">
        <v>435</v>
      </c>
      <c r="B59" s="85"/>
      <c r="C59" s="85"/>
      <c r="D59" s="85"/>
      <c r="E59" s="83">
        <f>_xlfn.IFNA(VLOOKUP(封面!B1,一般公共预算财政拨款支出决算具体情况!A:AA,27,FALSE),"")</f>
        <v>0</v>
      </c>
      <c r="F59" s="83"/>
      <c r="G59" s="7" t="s">
        <v>179</v>
      </c>
      <c r="H59" s="84" t="s">
        <v>432</v>
      </c>
      <c r="I59" s="84"/>
      <c r="J59" s="83"/>
      <c r="K59" s="83"/>
      <c r="L59" s="11"/>
    </row>
    <row r="60" spans="1:12" ht="18" customHeight="1">
      <c r="A60" s="90" t="s">
        <v>436</v>
      </c>
      <c r="B60" s="90"/>
      <c r="C60" s="90"/>
      <c r="D60" s="90"/>
      <c r="E60" s="83">
        <f>_xlfn.IFNA(VLOOKUP(封面!B1,一般公共预算财政拨款支出决算具体情况!A:AC,29,FALSE),"")</f>
        <v>1997445.92</v>
      </c>
      <c r="F60" s="83"/>
      <c r="G60" s="7" t="s">
        <v>179</v>
      </c>
      <c r="H60" s="84" t="s">
        <v>422</v>
      </c>
      <c r="I60" s="84"/>
      <c r="J60" s="83">
        <f>_xlfn.IFNA(VLOOKUP(封面!B1,一般公共预算财政拨款支出决算具体情况!A:AD,30,FALSE),"")</f>
        <v>1933560.2</v>
      </c>
      <c r="K60" s="83"/>
      <c r="L60" s="11" t="s">
        <v>178</v>
      </c>
    </row>
    <row r="61" spans="1:12" ht="18" customHeight="1">
      <c r="B61" s="15" t="str">
        <f>IF(E60&gt;J60,"增加","减少")</f>
        <v>增加</v>
      </c>
      <c r="C61" s="83">
        <f>ABS(E60-J60)</f>
        <v>63885.719999999972</v>
      </c>
      <c r="D61" s="83"/>
      <c r="E61" s="7" t="s">
        <v>179</v>
      </c>
      <c r="F61" s="15" t="str">
        <f>IF(E60&gt;J60,"增长","下降")</f>
        <v>增长</v>
      </c>
      <c r="G61" s="34">
        <f>IF(J60=0,IF(E60&gt;0,1,""),C61/J60)</f>
        <v>3.3040460803858071E-2</v>
      </c>
      <c r="H61" s="7" t="s">
        <v>316</v>
      </c>
      <c r="I61" s="11" t="s">
        <v>205</v>
      </c>
    </row>
    <row r="62" spans="1:12" ht="18" customHeight="1">
      <c r="A62" s="85" t="s">
        <v>437</v>
      </c>
      <c r="B62" s="85"/>
      <c r="C62" s="85"/>
      <c r="D62" s="85"/>
      <c r="E62" s="83">
        <f>_xlfn.IFNA(VLOOKUP(封面!B1,一般公共预算财政拨款支出决算具体情况!A:AE,31,FALSE),"")</f>
        <v>1997445.92</v>
      </c>
      <c r="F62" s="83"/>
      <c r="G62" s="7" t="s">
        <v>179</v>
      </c>
      <c r="H62" s="84" t="s">
        <v>422</v>
      </c>
      <c r="I62" s="84"/>
      <c r="J62" s="83">
        <f>_xlfn.IFNA(VLOOKUP(封面!B1,一般公共预算财政拨款支出决算具体情况!A:AF,32,FALSE),"")</f>
        <v>1933560.2</v>
      </c>
      <c r="K62" s="83"/>
      <c r="L62" s="11" t="s">
        <v>178</v>
      </c>
    </row>
    <row r="63" spans="1:12" ht="18" customHeight="1">
      <c r="A63" s="15"/>
      <c r="B63" s="15" t="str">
        <f>IF(E62&gt;J62,"增加","减少")</f>
        <v>增加</v>
      </c>
      <c r="C63" s="83">
        <f>ABS(E62-J62)</f>
        <v>63885.719999999972</v>
      </c>
      <c r="D63" s="83"/>
      <c r="E63" s="7" t="s">
        <v>179</v>
      </c>
      <c r="F63" s="15" t="str">
        <f>IF(E62&gt;J62,"增长","下降")</f>
        <v>增长</v>
      </c>
      <c r="G63" s="34">
        <f>IF(J62=0,IF(E62&gt;0,1,""),C63/J62)</f>
        <v>3.3040460803858071E-2</v>
      </c>
      <c r="H63" s="7" t="s">
        <v>316</v>
      </c>
    </row>
    <row r="64" spans="1:12" ht="36" customHeight="1">
      <c r="B64" s="89" t="s">
        <v>482</v>
      </c>
      <c r="C64" s="89"/>
      <c r="D64" s="89"/>
      <c r="E64" s="89"/>
      <c r="F64" s="89"/>
      <c r="G64" s="89"/>
      <c r="H64" s="89"/>
      <c r="I64" s="89"/>
      <c r="J64" s="89"/>
      <c r="K64" s="89"/>
      <c r="L64" s="89"/>
    </row>
    <row r="65" spans="1:13" ht="18" customHeight="1">
      <c r="A65" s="90" t="s">
        <v>438</v>
      </c>
      <c r="B65" s="90"/>
      <c r="C65" s="90"/>
      <c r="D65" s="90"/>
      <c r="E65" s="83">
        <f>_xlfn.IFNA(VLOOKUP(封面!B1,一般公共预算财政拨款支出决算具体情况!A:AG,33,FALSE),"")</f>
        <v>0</v>
      </c>
      <c r="F65" s="83"/>
      <c r="G65" s="7" t="s">
        <v>179</v>
      </c>
      <c r="H65" s="84" t="s">
        <v>422</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313</v>
      </c>
      <c r="I66" s="11" t="s">
        <v>205</v>
      </c>
    </row>
    <row r="67" spans="1:13" ht="18" customHeight="1">
      <c r="A67" s="85" t="s">
        <v>439</v>
      </c>
      <c r="B67" s="85"/>
      <c r="C67" s="85"/>
      <c r="D67" s="85"/>
      <c r="E67" s="83">
        <f>_xlfn.IFNA(VLOOKUP(封面!B1,一般公共预算财政拨款支出决算具体情况!A:AI,35,FALSE),"")</f>
        <v>0</v>
      </c>
      <c r="F67" s="83"/>
      <c r="G67" s="7" t="s">
        <v>179</v>
      </c>
      <c r="H67" s="84" t="s">
        <v>422</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313</v>
      </c>
      <c r="I68" s="57"/>
      <c r="J68" s="56"/>
      <c r="K68" s="56"/>
      <c r="L68" s="11"/>
    </row>
    <row r="69" spans="1:13" ht="18" customHeight="1">
      <c r="A69" s="90" t="s">
        <v>473</v>
      </c>
      <c r="B69" s="90"/>
      <c r="C69" s="90"/>
      <c r="D69" s="90"/>
      <c r="E69" s="83">
        <f>_xlfn.IFNA(VLOOKUP(封面!B1,一般公共预算财政拨款支出决算具体情况!A:AK,37,FALSE),"")</f>
        <v>3676647</v>
      </c>
      <c r="F69" s="83"/>
      <c r="G69" s="7" t="s">
        <v>179</v>
      </c>
      <c r="H69" s="84" t="s">
        <v>422</v>
      </c>
      <c r="I69" s="84"/>
      <c r="J69" s="83">
        <f>_xlfn.IFNA(VLOOKUP(封面!B1,一般公共预算财政拨款支出决算具体情况!A:AL,38,FALSE),"")</f>
        <v>3827188.8</v>
      </c>
      <c r="K69" s="83"/>
      <c r="L69" s="11" t="s">
        <v>178</v>
      </c>
    </row>
    <row r="70" spans="1:13" ht="18" customHeight="1">
      <c r="B70" s="15" t="str">
        <f>IF(E69&gt;J69,"增加","减少")</f>
        <v>减少</v>
      </c>
      <c r="C70" s="83">
        <f>ABS(E69-J69)</f>
        <v>150541.79999999981</v>
      </c>
      <c r="D70" s="83"/>
      <c r="E70" s="7" t="s">
        <v>179</v>
      </c>
      <c r="F70" s="15" t="str">
        <f>IF(E69&gt;J69,"增长","下降")</f>
        <v>下降</v>
      </c>
      <c r="G70" s="34">
        <f>IF(J69=0,IF(E69&gt;0,1,""),C70/J69)</f>
        <v>3.9334824558433026E-2</v>
      </c>
      <c r="H70" s="7" t="s">
        <v>316</v>
      </c>
      <c r="I70" s="11" t="s">
        <v>205</v>
      </c>
    </row>
    <row r="71" spans="1:13" ht="18" customHeight="1">
      <c r="A71" s="85" t="s">
        <v>440</v>
      </c>
      <c r="B71" s="85"/>
      <c r="C71" s="85"/>
      <c r="D71" s="85"/>
      <c r="E71" s="83">
        <f>_xlfn.IFNA(VLOOKUP(封面!B1,一般公共预算财政拨款支出决算具体情况!A:AM,39,FALSE),"")</f>
        <v>3676647</v>
      </c>
      <c r="F71" s="83"/>
      <c r="G71" s="7" t="s">
        <v>179</v>
      </c>
      <c r="H71" s="84" t="s">
        <v>422</v>
      </c>
      <c r="I71" s="84"/>
      <c r="J71" s="83">
        <f>_xlfn.IFNA(VLOOKUP(封面!B1,一般公共预算财政拨款支出决算具体情况!A:AN,40,FALSE),"")</f>
        <v>3827188.8</v>
      </c>
      <c r="K71" s="83"/>
      <c r="L71" s="11" t="s">
        <v>178</v>
      </c>
    </row>
    <row r="72" spans="1:13" ht="18" customHeight="1">
      <c r="A72" s="15"/>
      <c r="B72" s="15" t="str">
        <f>IF(E71&gt;J71,"增加","减少")</f>
        <v>减少</v>
      </c>
      <c r="C72" s="83">
        <f>ABS(E71-J71)</f>
        <v>150541.79999999981</v>
      </c>
      <c r="D72" s="83"/>
      <c r="E72" s="7" t="s">
        <v>179</v>
      </c>
      <c r="F72" s="15" t="str">
        <f>IF(E71&gt;J71,"增长","下降")</f>
        <v>下降</v>
      </c>
      <c r="G72" s="34">
        <f>IF(J71=0,IF(E71&gt;0,1,""),C72/J71)</f>
        <v>3.9334824558433026E-2</v>
      </c>
      <c r="H72" s="7" t="s">
        <v>316</v>
      </c>
    </row>
    <row r="73" spans="1:13" ht="36" customHeight="1">
      <c r="B73" s="89" t="s">
        <v>482</v>
      </c>
      <c r="C73" s="89"/>
      <c r="D73" s="89"/>
      <c r="E73" s="89"/>
      <c r="F73" s="89"/>
      <c r="G73" s="89"/>
      <c r="H73" s="89"/>
      <c r="I73" s="89"/>
      <c r="J73" s="89"/>
      <c r="K73" s="89"/>
      <c r="L73" s="89"/>
    </row>
    <row r="74" spans="1:13" ht="18" customHeight="1">
      <c r="A74" s="6" t="s">
        <v>206</v>
      </c>
    </row>
    <row r="75" spans="1:13" ht="18" customHeight="1">
      <c r="A75" s="7" t="str">
        <f>IF(_xlfn.IFNA(VLOOKUP(封面!B1,'2021决算导出'!A:W,23,FALSE),"")=0,"本年度无此项支出。","")</f>
        <v/>
      </c>
    </row>
    <row r="76" spans="1:13" ht="18" customHeight="1">
      <c r="A76" s="7" t="s">
        <v>207</v>
      </c>
    </row>
    <row r="77" spans="1:13" ht="18" customHeight="1">
      <c r="A77" s="86" t="s">
        <v>441</v>
      </c>
      <c r="B77" s="86"/>
      <c r="C77" s="86"/>
      <c r="D77" s="86"/>
      <c r="E77" s="86"/>
      <c r="F77" s="83">
        <f>_xlfn.IFNA(VLOOKUP(封面!B1,'2021决算导出'!A:W,23,FALSE),"")</f>
        <v>50000</v>
      </c>
      <c r="G77" s="83"/>
      <c r="H77" s="7" t="s">
        <v>179</v>
      </c>
      <c r="I77" s="88" t="s">
        <v>196</v>
      </c>
      <c r="J77" s="88"/>
      <c r="K77" s="88"/>
      <c r="L77" s="88"/>
      <c r="M77" s="88"/>
    </row>
    <row r="78" spans="1:13" ht="18" customHeight="1">
      <c r="A78" s="86" t="s">
        <v>208</v>
      </c>
      <c r="B78" s="86"/>
      <c r="C78" s="86"/>
      <c r="D78" s="83">
        <f>_xlfn.IFNA(VLOOKUP(封面!B1,'2021决算导出'!A:Y,25,FALSE),"")</f>
        <v>50000</v>
      </c>
      <c r="E78" s="83"/>
      <c r="F78" s="7" t="s">
        <v>179</v>
      </c>
      <c r="G78" s="84" t="s">
        <v>198</v>
      </c>
      <c r="H78" s="84"/>
      <c r="I78" s="13">
        <v>100</v>
      </c>
      <c r="J78" s="7" t="s">
        <v>183</v>
      </c>
      <c r="K78" s="9"/>
      <c r="L78" s="9"/>
      <c r="M78" s="9"/>
    </row>
    <row r="79" spans="1:13" ht="18" customHeight="1">
      <c r="A79" s="7" t="s">
        <v>209</v>
      </c>
    </row>
    <row r="80" spans="1:13" ht="18" customHeight="1">
      <c r="A80" s="88" t="s">
        <v>442</v>
      </c>
      <c r="B80" s="88"/>
      <c r="C80" s="88"/>
      <c r="D80" s="88"/>
      <c r="E80" s="83">
        <f>_xlfn.IFNA(VLOOKUP(封面!B1,'2021决算导出'!A:Y,25,FALSE),"")</f>
        <v>50000</v>
      </c>
      <c r="F80" s="83"/>
      <c r="G80" s="7" t="s">
        <v>179</v>
      </c>
      <c r="H80" s="84" t="s">
        <v>422</v>
      </c>
      <c r="I80" s="84"/>
      <c r="J80" s="83">
        <f>_xlfn.IFNA(VLOOKUP(封面!B1,'2021决算导出'!A:Z,26,FALSE),"")</f>
        <v>50000</v>
      </c>
      <c r="K80" s="83"/>
      <c r="L80" s="11" t="s">
        <v>178</v>
      </c>
    </row>
    <row r="81" spans="1:13" ht="18" customHeight="1">
      <c r="B81" s="15" t="str">
        <f>IF(E80&gt;J80,"增加","减少")</f>
        <v>减少</v>
      </c>
      <c r="C81" s="83">
        <f>ABS(E80-J80)</f>
        <v>0</v>
      </c>
      <c r="D81" s="83"/>
      <c r="E81" s="7" t="s">
        <v>179</v>
      </c>
      <c r="F81" s="15" t="str">
        <f>IF(E80&gt;J80,"增长","下降")</f>
        <v>下降</v>
      </c>
      <c r="G81" s="34">
        <f>IF(J80=0,IF(E80&gt;0,1,""),C81/J80)</f>
        <v>0</v>
      </c>
      <c r="H81" s="7" t="s">
        <v>316</v>
      </c>
      <c r="I81" s="11" t="s">
        <v>205</v>
      </c>
    </row>
    <row r="82" spans="1:13" ht="18" customHeight="1">
      <c r="A82" s="85" t="s">
        <v>443</v>
      </c>
      <c r="B82" s="85"/>
      <c r="C82" s="85"/>
      <c r="D82" s="85"/>
      <c r="E82" s="83">
        <f>E80</f>
        <v>50000</v>
      </c>
      <c r="F82" s="83"/>
      <c r="G82" s="7" t="s">
        <v>179</v>
      </c>
      <c r="H82" s="84" t="s">
        <v>422</v>
      </c>
      <c r="I82" s="84"/>
      <c r="J82" s="83">
        <f>J80</f>
        <v>50000</v>
      </c>
      <c r="K82" s="83"/>
      <c r="L82" s="11" t="s">
        <v>178</v>
      </c>
    </row>
    <row r="83" spans="1:13" ht="18" customHeight="1">
      <c r="A83" s="15"/>
      <c r="B83" s="15" t="str">
        <f>B81</f>
        <v>减少</v>
      </c>
      <c r="C83" s="83">
        <f>C81</f>
        <v>0</v>
      </c>
      <c r="D83" s="83"/>
      <c r="E83" s="7" t="s">
        <v>179</v>
      </c>
      <c r="F83" s="15" t="str">
        <f>F81</f>
        <v>下降</v>
      </c>
      <c r="G83" s="34">
        <f>IF(J82=0,IF(E82&gt;0,1,""),C83/J82)</f>
        <v>0</v>
      </c>
      <c r="H83" s="7" t="s">
        <v>316</v>
      </c>
    </row>
    <row r="84" spans="1:13" ht="18" customHeight="1">
      <c r="A84" s="6" t="s">
        <v>210</v>
      </c>
    </row>
    <row r="85" spans="1:13" ht="18" customHeight="1">
      <c r="A85" s="7" t="s">
        <v>211</v>
      </c>
    </row>
    <row r="86" spans="1:13" ht="18" customHeight="1">
      <c r="A86" s="6" t="s">
        <v>212</v>
      </c>
    </row>
    <row r="87" spans="1:13" ht="18" customHeight="1">
      <c r="A87" s="7" t="s">
        <v>444</v>
      </c>
      <c r="G87" s="83">
        <f>_xlfn.IFNA(VLOOKUP(封面!B1,'2021决算导出'!A:AA,27,FALSE),"")</f>
        <v>32081597.010000002</v>
      </c>
      <c r="H87" s="83"/>
      <c r="I87" s="11" t="s">
        <v>179</v>
      </c>
    </row>
    <row r="88" spans="1:13" ht="130.15" customHeight="1">
      <c r="A88" s="89" t="s">
        <v>213</v>
      </c>
      <c r="B88" s="89"/>
      <c r="C88" s="89"/>
      <c r="D88" s="89"/>
      <c r="E88" s="89"/>
      <c r="F88" s="89"/>
      <c r="G88" s="89"/>
      <c r="H88" s="89"/>
      <c r="I88" s="89"/>
      <c r="J88" s="89"/>
      <c r="K88" s="89"/>
      <c r="L88" s="89"/>
      <c r="M88" s="89"/>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G87:H87"/>
    <mergeCell ref="A88:M88"/>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72:D72"/>
    <mergeCell ref="A69:D69"/>
    <mergeCell ref="E69:F69"/>
    <mergeCell ref="H69:I69"/>
    <mergeCell ref="J69:K69"/>
    <mergeCell ref="C83:D83"/>
    <mergeCell ref="E56:F56"/>
    <mergeCell ref="H56:I56"/>
    <mergeCell ref="J56:K56"/>
    <mergeCell ref="C57:D57"/>
    <mergeCell ref="C68:D68"/>
    <mergeCell ref="C66:D66"/>
    <mergeCell ref="H67:I67"/>
    <mergeCell ref="J67:K67"/>
    <mergeCell ref="A60:D60"/>
    <mergeCell ref="E60:F60"/>
    <mergeCell ref="H60:I60"/>
    <mergeCell ref="J60:K60"/>
    <mergeCell ref="C61:D61"/>
    <mergeCell ref="B58:L58"/>
    <mergeCell ref="A59:D59"/>
    <mergeCell ref="A52:D52"/>
    <mergeCell ref="E52:F52"/>
    <mergeCell ref="H52:K52"/>
    <mergeCell ref="A65:D65"/>
    <mergeCell ref="E65:F65"/>
    <mergeCell ref="A67:D67"/>
    <mergeCell ref="E67:F67"/>
    <mergeCell ref="A62:D62"/>
    <mergeCell ref="E62:F62"/>
    <mergeCell ref="H62:I62"/>
    <mergeCell ref="J62:K62"/>
    <mergeCell ref="C63:D63"/>
    <mergeCell ref="B64:L64"/>
    <mergeCell ref="H65:I65"/>
    <mergeCell ref="J65:K65"/>
    <mergeCell ref="H53:K53"/>
    <mergeCell ref="A54:D54"/>
    <mergeCell ref="E54:F54"/>
    <mergeCell ref="H54:I54"/>
    <mergeCell ref="J54:K54"/>
    <mergeCell ref="A53:D53"/>
    <mergeCell ref="E53:F53"/>
    <mergeCell ref="C49:D49"/>
    <mergeCell ref="B50:L50"/>
    <mergeCell ref="A51:D51"/>
    <mergeCell ref="E51:F51"/>
    <mergeCell ref="C46:D46"/>
    <mergeCell ref="B47:L47"/>
    <mergeCell ref="A48:D48"/>
    <mergeCell ref="E48:F48"/>
    <mergeCell ref="H48:I48"/>
    <mergeCell ref="J48:K48"/>
    <mergeCell ref="H51:K51"/>
    <mergeCell ref="C44:D44"/>
    <mergeCell ref="A45:D45"/>
    <mergeCell ref="E45:F45"/>
    <mergeCell ref="H45:I45"/>
    <mergeCell ref="J45:K45"/>
    <mergeCell ref="C42:D42"/>
    <mergeCell ref="A43:D43"/>
    <mergeCell ref="E43:F43"/>
    <mergeCell ref="H43:I43"/>
    <mergeCell ref="J43:K43"/>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9:F59"/>
    <mergeCell ref="H59:I59"/>
    <mergeCell ref="J59:K59"/>
    <mergeCell ref="C55:D55"/>
    <mergeCell ref="A56:D56"/>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2">
        <f>_xlfn.IFNA(VLOOKUP(封面!B1,'2021决算导出'!A:AC,29,FALSE),"")</f>
        <v>0</v>
      </c>
      <c r="B5" s="92"/>
      <c r="C5" s="7" t="s">
        <v>178</v>
      </c>
      <c r="D5" s="30" t="str">
        <f>IF(F4&gt;A5,"增加","减少")</f>
        <v>减少</v>
      </c>
      <c r="E5" s="92">
        <f>ABS(F4-A5)</f>
        <v>0</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6" t="s">
        <v>449</v>
      </c>
      <c r="B11" s="86"/>
      <c r="C11" s="35">
        <f>_xlfn.IFNA(VLOOKUP(封面!B1,'2021决算导出'!A:AI,35,FALSE),"")</f>
        <v>0</v>
      </c>
      <c r="D11" s="7" t="s">
        <v>179</v>
      </c>
      <c r="E11" s="86" t="s">
        <v>450</v>
      </c>
      <c r="F11" s="86"/>
      <c r="G11" s="86"/>
      <c r="H11" s="92">
        <f>_xlfn.IFNA(VLOOKUP(封面!B1,'2021决算导出'!A:AJ,36,FALSE),"")</f>
        <v>0</v>
      </c>
      <c r="I11" s="92"/>
      <c r="J11" s="16" t="s">
        <v>178</v>
      </c>
      <c r="K11" s="30" t="str">
        <f>IF(C11&gt;H11,"增加","减少")</f>
        <v>减少</v>
      </c>
      <c r="L11" s="92">
        <f>ABS(C11-H11)</f>
        <v>0</v>
      </c>
      <c r="M11" s="92"/>
      <c r="N11" s="7" t="s">
        <v>215</v>
      </c>
    </row>
    <row r="12" spans="1:14" ht="18" customHeight="1">
      <c r="A12" s="86" t="s">
        <v>451</v>
      </c>
      <c r="B12" s="86"/>
      <c r="C12" s="86"/>
      <c r="D12" s="86"/>
      <c r="E12" s="86"/>
      <c r="F12" s="92">
        <f>_xlfn.IFNA(VLOOKUP(封面!B1,'2021决算导出'!A:AK,37,FALSE),"")</f>
        <v>0</v>
      </c>
      <c r="G12" s="92"/>
      <c r="H12" s="17" t="s">
        <v>179</v>
      </c>
      <c r="I12" s="86" t="s">
        <v>450</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18" customHeight="1">
      <c r="A14" s="86" t="s">
        <v>452</v>
      </c>
      <c r="B14" s="86"/>
      <c r="C14" s="86"/>
      <c r="D14" s="8">
        <f>_xlfn.IFNA(VLOOKUP(封面!B1,'2021决算导出'!A:AM,39,FALSE),"")</f>
        <v>0</v>
      </c>
      <c r="E14" s="7" t="s">
        <v>220</v>
      </c>
      <c r="F14" s="86" t="s">
        <v>221</v>
      </c>
      <c r="G14" s="86"/>
      <c r="H14" s="92">
        <f>IF(D14=0,0,F12/D14)</f>
        <v>0</v>
      </c>
      <c r="I14" s="92"/>
      <c r="J14" s="7" t="s">
        <v>215</v>
      </c>
    </row>
    <row r="15" spans="1:14" ht="18" customHeight="1">
      <c r="A15" s="84" t="s">
        <v>453</v>
      </c>
      <c r="B15" s="84"/>
      <c r="C15" s="84"/>
      <c r="D15" s="84"/>
      <c r="E15" s="84"/>
      <c r="F15" s="92">
        <f>_xlfn.IFNA(VLOOKUP(封面!B1,'2021决算导出'!A:AO,41,FALSE),"")</f>
        <v>0</v>
      </c>
      <c r="G15" s="92" t="s">
        <v>179</v>
      </c>
      <c r="H15" s="7" t="s">
        <v>179</v>
      </c>
      <c r="I15" s="7" t="s">
        <v>450</v>
      </c>
      <c r="L15" s="92">
        <f>_xlfn.IFNA(VLOOKUP(封面!B1,'2021决算导出'!A:AP,42,FALSE),"")</f>
        <v>0</v>
      </c>
      <c r="M15" s="92" t="s">
        <v>179</v>
      </c>
      <c r="N15" s="7" t="s">
        <v>179</v>
      </c>
    </row>
    <row r="16" spans="1:14" ht="18" customHeight="1">
      <c r="A16" s="15" t="str">
        <f>IF(F15&gt;L15,"增加","减少")</f>
        <v>减少</v>
      </c>
      <c r="B16" s="92">
        <f>ABS(F15-L15)</f>
        <v>0</v>
      </c>
      <c r="C16" s="92"/>
      <c r="D16" s="7" t="s">
        <v>215</v>
      </c>
    </row>
    <row r="17" spans="1:14" ht="36" customHeight="1">
      <c r="A17" s="89" t="s">
        <v>222</v>
      </c>
      <c r="B17" s="89"/>
      <c r="C17" s="89"/>
      <c r="D17" s="89"/>
      <c r="E17" s="89"/>
      <c r="F17" s="89"/>
      <c r="G17" s="89"/>
      <c r="H17" s="89"/>
      <c r="I17" s="89"/>
      <c r="J17" s="89"/>
      <c r="K17" s="89"/>
      <c r="L17" s="89"/>
      <c r="M17" s="89"/>
      <c r="N17" s="89"/>
    </row>
    <row r="18" spans="1:14" ht="18" customHeight="1">
      <c r="A18" s="86" t="s">
        <v>454</v>
      </c>
      <c r="B18" s="86"/>
      <c r="C18" s="86"/>
      <c r="D18" s="86"/>
      <c r="E18" s="86"/>
      <c r="F18" s="86"/>
      <c r="G18" s="92">
        <f>_xlfn.IFNA(VLOOKUP(封面!B1,'2021决算导出'!A:AQ,43,FALSE),"")</f>
        <v>0</v>
      </c>
      <c r="H18" s="92" t="s">
        <v>179</v>
      </c>
      <c r="I18" s="7" t="s">
        <v>179</v>
      </c>
      <c r="J18" s="7" t="s">
        <v>223</v>
      </c>
      <c r="L18" s="92">
        <f>_xlfn.IFNA(VLOOKUP(封面!B1,'2021决算导出'!A:AR,44,FALSE),"")</f>
        <v>0</v>
      </c>
      <c r="M18" s="92" t="s">
        <v>179</v>
      </c>
      <c r="N18" s="7" t="s">
        <v>179</v>
      </c>
    </row>
    <row r="19" spans="1:14" ht="18" customHeight="1">
      <c r="A19" s="86" t="s">
        <v>224</v>
      </c>
      <c r="B19" s="86"/>
      <c r="C19" s="92">
        <f>_xlfn.IFNA(VLOOKUP(封面!B1,'2021决算导出'!A:AS,45,FALSE),"")</f>
        <v>0</v>
      </c>
      <c r="D19" s="92" t="s">
        <v>179</v>
      </c>
      <c r="E19" s="7" t="s">
        <v>179</v>
      </c>
      <c r="F19" s="86" t="s">
        <v>225</v>
      </c>
      <c r="G19" s="86"/>
      <c r="H19" s="86"/>
      <c r="I19" s="92">
        <f>_xlfn.IFNA(VLOOKUP(封面!B1,'2021决算导出'!A:AT,46,FALSE),"")</f>
        <v>0</v>
      </c>
      <c r="J19" s="92" t="s">
        <v>179</v>
      </c>
      <c r="K19" s="7" t="s">
        <v>215</v>
      </c>
    </row>
    <row r="20" spans="1:14" ht="18" customHeight="1">
      <c r="A20" s="86" t="s">
        <v>455</v>
      </c>
      <c r="B20" s="86"/>
      <c r="C20" s="86"/>
      <c r="D20" s="8">
        <f>_xlfn.IFNA(VLOOKUP(封面!B1,'2021决算导出'!A:AU,47,FALSE),"")</f>
        <v>0</v>
      </c>
      <c r="E20" s="88" t="s">
        <v>407</v>
      </c>
      <c r="F20" s="88"/>
      <c r="G20" s="88"/>
      <c r="H20" s="88"/>
      <c r="I20" s="88"/>
      <c r="J20" s="88"/>
      <c r="K20" s="88"/>
      <c r="L20" s="88"/>
      <c r="M20" s="54" t="e">
        <f>F15/D20</f>
        <v>#DIV/0!</v>
      </c>
      <c r="N20" s="7" t="s">
        <v>215</v>
      </c>
    </row>
    <row r="21" spans="1:14" ht="18" customHeight="1">
      <c r="A21" s="6" t="s">
        <v>226</v>
      </c>
    </row>
    <row r="22" spans="1:14" ht="18" customHeight="1">
      <c r="A22" s="7" t="s">
        <v>227</v>
      </c>
    </row>
    <row r="23" spans="1:14" ht="18" customHeight="1">
      <c r="A23" s="6" t="s">
        <v>228</v>
      </c>
    </row>
    <row r="24" spans="1:14" ht="18" customHeight="1">
      <c r="A24" s="86" t="s">
        <v>456</v>
      </c>
      <c r="B24" s="86"/>
      <c r="C24" s="86"/>
      <c r="D24" s="86"/>
      <c r="E24" s="83">
        <f>_xlfn.IFNA(VLOOKUP(封面!B1,'2021决算导出'!A:AW,49,FALSE),"")</f>
        <v>10500000</v>
      </c>
      <c r="F24" s="83"/>
      <c r="G24" s="7" t="s">
        <v>179</v>
      </c>
      <c r="H24" s="86" t="s">
        <v>229</v>
      </c>
      <c r="I24" s="86"/>
      <c r="J24" s="86"/>
      <c r="K24" s="86"/>
      <c r="L24" s="83">
        <f>_xlfn.IFNA(VLOOKUP(封面!B1,'2021决算导出'!A:AX,50,FALSE),"")</f>
        <v>0</v>
      </c>
      <c r="M24" s="83" t="s">
        <v>179</v>
      </c>
      <c r="N24" s="7" t="s">
        <v>179</v>
      </c>
    </row>
    <row r="25" spans="1:14" ht="18" customHeight="1">
      <c r="A25" s="86" t="s">
        <v>230</v>
      </c>
      <c r="B25" s="86"/>
      <c r="C25" s="86"/>
      <c r="D25" s="83">
        <f>_xlfn.IFNA(VLOOKUP(封面!B1,'2021决算导出'!A:AY,51,FALSE),"")</f>
        <v>10500000</v>
      </c>
      <c r="E25" s="83" t="s">
        <v>179</v>
      </c>
      <c r="F25" s="7" t="s">
        <v>179</v>
      </c>
      <c r="G25" s="86" t="s">
        <v>231</v>
      </c>
      <c r="H25" s="86"/>
      <c r="I25" s="86"/>
      <c r="J25" s="83">
        <f>_xlfn.IFNA(VLOOKUP(封面!B1,'2021决算导出'!A:AZ,52,FALSE),"")</f>
        <v>0</v>
      </c>
      <c r="K25" s="83" t="s">
        <v>179</v>
      </c>
      <c r="L25" s="7" t="s">
        <v>215</v>
      </c>
    </row>
    <row r="26" spans="1:14" ht="18" customHeight="1">
      <c r="A26" s="86" t="s">
        <v>232</v>
      </c>
      <c r="B26" s="86"/>
      <c r="C26" s="86"/>
      <c r="D26" s="86"/>
      <c r="E26" s="83">
        <f>_xlfn.IFNA(VLOOKUP(封面!B1,'2021决算导出'!A:BA,53,FALSE),"")</f>
        <v>0</v>
      </c>
      <c r="F26" s="83" t="s">
        <v>179</v>
      </c>
      <c r="G26" s="7" t="s">
        <v>179</v>
      </c>
      <c r="H26" s="84" t="s">
        <v>233</v>
      </c>
      <c r="I26" s="84"/>
      <c r="J26" s="84"/>
      <c r="K26" s="29">
        <f>E26/$E$24</f>
        <v>0</v>
      </c>
      <c r="L26" s="18" t="s">
        <v>314</v>
      </c>
      <c r="M26" s="7" t="s">
        <v>408</v>
      </c>
    </row>
    <row r="27" spans="1:14" ht="18" customHeight="1">
      <c r="A27" s="86" t="s">
        <v>234</v>
      </c>
      <c r="B27" s="86"/>
      <c r="C27" s="86"/>
      <c r="D27" s="86"/>
      <c r="E27" s="83">
        <f>_xlfn.IFNA(VLOOKUP(封面!B1,'2021决算导出'!A:BB,54,FALSE),"")</f>
        <v>0</v>
      </c>
      <c r="F27" s="83" t="s">
        <v>179</v>
      </c>
      <c r="G27" s="7" t="s">
        <v>179</v>
      </c>
      <c r="H27" s="84" t="s">
        <v>233</v>
      </c>
      <c r="I27" s="84"/>
      <c r="J27" s="84"/>
      <c r="K27" s="29">
        <f>E27/$E$24</f>
        <v>0</v>
      </c>
      <c r="L27" s="18" t="s">
        <v>316</v>
      </c>
    </row>
    <row r="28" spans="1:14" ht="18" customHeight="1">
      <c r="A28" s="6" t="s">
        <v>235</v>
      </c>
    </row>
    <row r="29" spans="1:14" ht="18" customHeight="1">
      <c r="A29" s="86" t="s">
        <v>457</v>
      </c>
      <c r="B29" s="86"/>
      <c r="C29" s="8">
        <f>_xlfn.IFNA(VLOOKUP(封面!B1,'2021决算导出'!A:BC,55,FALSE),"")</f>
        <v>0</v>
      </c>
      <c r="D29" s="7" t="s">
        <v>236</v>
      </c>
      <c r="M29" s="92">
        <f>_xlfn.IFNA(VLOOKUP(封面!B1,'2021决算导出'!A:BD,56,FALSE),"")</f>
        <v>0</v>
      </c>
      <c r="N29" s="92" t="s">
        <v>179</v>
      </c>
    </row>
    <row r="30" spans="1:14" ht="18" customHeight="1">
      <c r="A30" s="12" t="s">
        <v>237</v>
      </c>
      <c r="B30" s="86" t="s">
        <v>238</v>
      </c>
      <c r="C30" s="86"/>
      <c r="D30" s="86"/>
      <c r="E30" s="86"/>
      <c r="F30" s="86"/>
      <c r="G30" s="8">
        <f>_xlfn.IFNA(VLOOKUP(封面!B1,'2021决算导出'!A:BE,57,FALSE),"")</f>
        <v>0</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9" t="s">
        <v>474</v>
      </c>
      <c r="B35" s="89"/>
      <c r="C35" s="89"/>
      <c r="D35" s="89"/>
      <c r="E35" s="89"/>
      <c r="F35" s="89"/>
      <c r="G35" s="89"/>
      <c r="H35" s="89"/>
      <c r="I35" s="89"/>
      <c r="J35" s="89"/>
      <c r="K35" s="89"/>
      <c r="L35" s="89"/>
      <c r="M35" s="89"/>
      <c r="N35" s="8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AutoBVT</cp:lastModifiedBy>
  <cp:lastPrinted>2022-08-25T04:56:47Z</cp:lastPrinted>
  <dcterms:created xsi:type="dcterms:W3CDTF">2021-08-26T09:47:38Z</dcterms:created>
  <dcterms:modified xsi:type="dcterms:W3CDTF">2022-09-02T00:06:29Z</dcterms:modified>
</cp:coreProperties>
</file>