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2021年决算信息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J25" i="6"/>
  <c r="D25" i="6"/>
  <c r="L24" i="6"/>
  <c r="E24" i="6"/>
  <c r="D20" i="6"/>
  <c r="I19" i="6"/>
  <c r="C19" i="6"/>
  <c r="L18" i="6"/>
  <c r="G18" i="6"/>
  <c r="L15" i="6"/>
  <c r="F15" i="6"/>
  <c r="D14" i="6"/>
  <c r="L12" i="6"/>
  <c r="F12" i="6"/>
  <c r="H11" i="6"/>
  <c r="C11" i="6"/>
  <c r="A5" i="6"/>
  <c r="F4" i="6"/>
  <c r="A3" i="6"/>
  <c r="F76" i="5"/>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86" i="5"/>
  <c r="J79" i="5"/>
  <c r="E79" i="5"/>
  <c r="D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7" i="5"/>
  <c r="E47"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8" i="5"/>
  <c r="G48" i="5" s="1"/>
  <c r="C35" i="5"/>
  <c r="G35" i="5" s="1"/>
  <c r="B48" i="5"/>
  <c r="F48"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1" i="5" l="1"/>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<sst xmlns="http://schemas.openxmlformats.org/spreadsheetml/2006/main" count="4851" uniqueCount="485">
  <si>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</si>
  <si>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</si>
  <si>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</si>
  <si>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</si>
  <si>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</si>
  <si>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</si>
  <si>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</si>
  <si>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</si>
  <si>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</si>
  <si>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</si>
  <si>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</si>
  <si>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</si>
  <si>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</si>
  <si>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</si>
  <si>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</si>
  <si>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</si>
  <si>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</si>
  <si>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</si>
  <si>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</si>
  <si>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</si>
  <si>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</si>
  <si>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</si>
  <si>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</si>
  <si>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</si>
  <si>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</si>
  <si>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</si>
  <si>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</si>
  <si>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</si>
  <si>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</si>
  <si>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</si>
  <si>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</si>
  <si>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</si>
  <si>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</si>
  <si>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</si>
  <si>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</si>
  <si>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</si>
  <si>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</si>
  <si>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</si>
  <si>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</si>
  <si>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</si>
  <si>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</si>
  <si>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</si>
  <si>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</si>
  <si>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</si>
  <si>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</si>
  <si>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</si>
  <si>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</si>
  <si>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</si>
  <si>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</si>
  <si>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</si>
  <si>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</si>
  <si>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</si>
  <si>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</si>
  <si>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</si>
  <si>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</si>
  <si>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</si>
  <si>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</si>
  <si>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</si>
  <si>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</si>
  <si>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</si>
  <si>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</si>
  <si>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</si>
  <si>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</si>
  <si>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</si>
  <si>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</si>
  <si>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</si>
  <si>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</si>
  <si>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</si>
  <si>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</si>
  <si>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</si>
  <si>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</si>
  <si>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</si>
  <si>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</si>
  <si>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</si>
  <si>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</si>
  <si>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</si>
  <si>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</si>
  <si>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</si>
  <si>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</si>
  <si>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</si>
  <si>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</si>
  <si>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</si>
  <si>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</si>
  <si>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</si>
  <si>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</si>
  <si>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</si>
  <si>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</si>
  <si>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</si>
  <si>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</si>
  <si>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</si>
  <si>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</si>
  <si>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</si>
  <si>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</si>
  <si>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</si>
  <si>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</si>
  <si>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</si>
  <si>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</si>
  <si>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</si>
  <si>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</si>
  <si>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</si>
  <si>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</si>
  <si>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</si>
  <si>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</si>
  <si>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</si>
  <si>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</si>
  <si>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</si>
  <si>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</si>
  <si>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</si>
  <si>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</si>
  <si>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</si>
  <si>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</si>
  <si>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</si>
  <si>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</si>
  <si>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</si>
  <si>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</si>
  <si>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</si>
  <si>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</si>
  <si>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</si>
  <si>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</si>
  <si>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</si>
  <si>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</si>
  <si>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</si>
  <si>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</si>
  <si>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</si>
  <si>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</si>
  <si>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</si>
  <si>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</si>
  <si>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</si>
  <si>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</si>
  <si>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</si>
  <si>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</si>
  <si>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</si>
  <si>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</si>
  <si>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</si>
  <si>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</si>
  <si>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</si>
  <si>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</si>
  <si>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</si>
  <si>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</si>
  <si>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</si>
  <si>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</si>
  <si>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</si>
  <si>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</si>
  <si>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</si>
  <si>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</si>
  <si>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</si>
  <si>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</si>
  <si>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</si>
  <si>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</si>
  <si>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</si>
  <si>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</si>
  <si>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</si>
  <si>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</si>
  <si>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</si>
  <si>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</si>
  <si>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</si>
  <si>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</si>
  <si>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</si>
  <si>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</si>
  <si>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</si>
  <si>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</si>
  <si>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</si>
  <si>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</si>
  <si>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</si>
  <si>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</si>
  <si>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</si>
  <si>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</si>
  <si>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</si>
  <si>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</si>
  <si>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</si>
  <si>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</si>
  <si>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</si>
  <si>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</si>
  <si>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</si>
  <si>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</si>
  <si>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</si>
  <si>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</si>
  <si>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</si>
  <si>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</si>
  <si>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</si>
  <si>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</si>
  <si>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</si>
  <si>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</si>
  <si>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</si>
  <si>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</si>
  <si>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</si>
  <si>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</si>
  <si>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</si>
  <si>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</si>
  <si>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</si>
  <si>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</si>
  <si>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</si>
  <si>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</si>
  <si>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</si>
  <si>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</si>
  <si>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</si>
  <si>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</si>
  <si>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</si>
  <si>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</si>
  <si>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</si>
  <si>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</si>
  <si>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</si>
  <si>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</si>
  <si>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</si>
  <si>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</si>
  <si>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</si>
  <si>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</si>
  <si>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</si>
  <si>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</si>
  <si>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</si>
  <si>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</si>
  <si>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</si>
  <si>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</si>
  <si>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</si>
  <si>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</si>
  <si>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</si>
  <si>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</si>
  <si>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</si>
  <si>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</si>
  <si>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</si>
  <si>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</si>
  <si>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</si>
  <si>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</si>
  <si>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</si>
  <si>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</si>
  <si>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</si>
  <si>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</si>
  <si>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</si>
  <si>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</si>
  <si>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</si>
  <si>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</si>
  <si>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</si>
  <si>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</si>
  <si>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</si>
  <si>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</si>
  <si>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</si>
  <si>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</si>
  <si>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</si>
  <si>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</si>
  <si>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</si>
  <si>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</si>
  <si>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</si>
  <si>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</si>
  <si>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</si>
  <si>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</si>
  <si>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</si>
  <si>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</si>
  <si>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</si>
  <si>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</si>
  <si>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</si>
  <si>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</si>
  <si>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</si>
  <si>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</si>
  <si>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</si>
  <si>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</si>
  <si>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</si>
  <si>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</si>
  <si>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</si>
  <si>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</si>
  <si>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</si>
  <si>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</si>
  <si>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</si>
  <si>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</si>
  <si>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</si>
  <si>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</si>
  <si>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</si>
  <si>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</si>
  <si>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</si>
  <si>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</si>
  <si>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</si>
  <si>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</si>
  <si>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</si>
  <si>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</si>
  <si>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</si>
  <si>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</si>
  <si>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</si>
  <si>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</si>
  <si>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</si>
  <si>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</si>
  <si>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</si>
  <si>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</si>
  <si>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</si>
  <si>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</si>
  <si>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</si>
  <si>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</si>
  <si>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</si>
  <si>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</si>
  <si>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</si>
  <si>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</si>
  <si>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</si>
  <si>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</si>
  <si>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</si>
  <si>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</si>
  <si>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</si>
  <si>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</si>
  <si>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</si>
  <si>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</si>
  <si>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</si>
  <si>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</si>
  <si>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</si>
  <si>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</si>
  <si>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</si>
  <si>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</si>
  <si>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</si>
  <si>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</si>
  <si>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</si>
  <si>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</si>
  <si>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</si>
  <si>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</si>
  <si>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</si>
  <si>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</si>
  <si>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</si>
  <si>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</si>
  <si>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</si>
  <si>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</si>
  <si>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</si>
  <si>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</si>
  <si>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</si>
  <si>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</si>
  <si>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</si>
  <si>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</si>
  <si>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</si>
  <si>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</si>
  <si>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</si>
  <si>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</si>
  <si>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</si>
  <si>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</si>
  <si>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</si>
  <si>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</si>
  <si>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</si>
  <si>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</si>
  <si>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</si>
  <si>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</si>
  <si>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</si>
  <si>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</si>
  <si>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</si>
  <si>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</si>
  <si>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</si>
  <si>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</si>
  <si>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</si>
  <si>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</si>
  <si>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</si>
  <si>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</si>
  <si>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</si>
  <si>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</si>
  <si>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</si>
  <si>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</si>
  <si>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</si>
  <si>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</si>
  <si>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</si>
  <si>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</si>
  <si>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</si>
  <si>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</si>
  <si>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</si>
  <si>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</si>
  <si>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</si>
  <si>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</si>
  <si>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</si>
  <si>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</si>
  <si>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</si>
  <si>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</si>
  <si>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</si>
  <si>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</si>
  <si>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</si>
  <si>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</si>
  <si>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</si>
  <si>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</si>
  <si>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</si>
  <si>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</si>
  <si>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</si>
  <si>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</si>
  <si>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</si>
  <si>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</si>
  <si>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</si>
  <si>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</si>
  <si>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</si>
  <si>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</si>
  <si>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</si>
  <si>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</si>
  <si>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</si>
  <si>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</si>
  <si>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</si>
  <si>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</si>
  <si>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</si>
  <si>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</si>
  <si>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</si>
  <si>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</si>
  <si>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</si>
  <si>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</si>
  <si>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</si>
  <si>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</si>
  <si>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</si>
  <si>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</si>
  <si>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</si>
  <si>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</si>
  <si>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</si>
  <si>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</si>
  <si>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</si>
  <si>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</si>
  <si>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</si>
  <si>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</si>
  <si>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</si>
  <si>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</si>
  <si>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</si>
  <si>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</si>
  <si>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</si>
  <si>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</si>
  <si>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</si>
  <si>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</si>
  <si>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</si>
  <si>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</si>
  <si>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</si>
  <si>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</si>
  <si>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</si>
  <si>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</si>
  <si>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</si>
  <si>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</si>
  <si>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</si>
  <si>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</si>
  <si>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</si>
  <si>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</si>
  <si>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</si>
  <si>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</si>
  <si>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</si>
  <si>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</si>
  <si>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</si>
  <si>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</si>
  <si>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</si>
  <si>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</si>
  <si>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</si>
  <si>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</si>
  <si>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</si>
  <si>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</si>
  <si>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</si>
  <si>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</si>
  <si>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</si>
  <si>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</si>
  <si>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</si>
  <si>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</si>
  <si>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</si>
  <si>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</si>
  <si>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</si>
  <si>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</si>
  <si>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</si>
  <si>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</si>
  <si>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</si>
  <si>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</si>
  <si>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</si>
  <si>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</si>
  <si>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</si>
  <si>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</si>
  <si>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</si>
  <si>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</si>
  <si>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</si>
  <si>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</si>
  <si>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</si>
  <si>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</si>
  <si>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</si>
  <si>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</si>
  <si>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</si>
  <si>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</si>
  <si>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</si>
  <si>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</si>
  <si>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</si>
  <si>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</si>
  <si>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</si>
  <si>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</si>
  <si>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</si>
  <si>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</si>
  <si>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</si>
  <si>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</si>
  <si>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</si>
  <si>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</si>
  <si>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</si>
  <si>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</si>
  <si>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</si>
  <si>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</si>
  <si>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</si>
  <si>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请录入文字内容，可根据文字多少调整单元格行高
我园成立决算管理小组，检查监督是否将有限的资金发挥了最大的效益。
决算结果要在财务公开栏中公示，接受广大教职工的监督。资金决算是提高资金使用效率和有效分配的重要条件，幼儿园领导和人员必须遵守制度，管好、理好、用好幼儿园的有限资金。
决算小组名单：
组长：刘晓颖（书记兼园长）负责幼儿园整体经费资金的审核、监督；
组员：杜陈（副园长）负责监督财务人员的工作，知晓财务的收支情况；
      李敬（会计）负责幼儿园经费使用的政策的上传下达、汇报、记账、报表、上报等工作；
      周晓丰（出纳、财产保管员）负责幼儿园的出纳工作、固定资产的处置与上报等工作。</t>
    <phoneticPr fontId="4" type="noConversion"/>
  </si>
  <si>
    <t>主要原因是随着本年度继续扩班增量，师幼人数均有所增加，幼儿增加生均定额也随之增加。</t>
    <phoneticPr fontId="4" type="noConversion"/>
  </si>
  <si>
    <t>主要原因是电教办公设备购置后剩余款项。</t>
    <phoneticPr fontId="4" type="noConversion"/>
  </si>
  <si>
    <t>主要原因是本年度人员增加，养老支出随之增加。</t>
    <phoneticPr fontId="4" type="noConversion"/>
  </si>
  <si>
    <t>主要原因是主要原因是本年度人员增加，医疗支出随之增加。</t>
    <phoneticPr fontId="4" type="noConversion"/>
  </si>
  <si>
    <t>主要原因是本年度人员增加，晋升薪级工资、购房补贴也随之增加。幼儿增加生均定额也随之增加。</t>
    <phoneticPr fontId="4" type="noConversion"/>
  </si>
  <si>
    <t>主要原因是主要原因是本年度人员增加，晋升薪级工资、购房补贴也随之增加。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</si>
</sst>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255163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北京市西城区长椿街幼儿园</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opLeftCell="A73" zoomScaleNormal="100" workbookViewId="0">
      <selection activeCell="A83" sqref="A83:XFD8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4" t="s">
        <v>478</v>
      </c>
      <c r="B4" s="84"/>
      <c r="C4" s="84"/>
      <c r="D4" s="84"/>
      <c r="E4" s="84"/>
      <c r="F4" s="84"/>
      <c r="G4" s="84"/>
      <c r="H4" s="84"/>
      <c r="I4" s="84"/>
      <c r="J4" s="84"/>
      <c r="K4" s="84"/>
      <c r="L4" s="84"/>
      <c r="M4" s="84"/>
      <c r="N4" s="19"/>
    </row>
    <row r="5" spans="1:14" ht="18" customHeight="1">
      <c r="A5" s="7" t="s">
        <v>176</v>
      </c>
    </row>
    <row r="6" spans="1:14" ht="18" customHeight="1">
      <c r="A6" s="88" t="s">
        <v>245</v>
      </c>
      <c r="B6" s="88"/>
      <c r="C6" s="10">
        <v>65</v>
      </c>
      <c r="D6" s="10" t="s">
        <v>247</v>
      </c>
      <c r="E6" s="8">
        <f>_xlfn.IFNA(VLOOKUP(封面!B1,'2021决算导出'!A:C,3,FALSE),"")</f>
        <v>60</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23096996.050000001</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467720.24000000209</v>
      </c>
      <c r="I8" s="16" t="s">
        <v>179</v>
      </c>
      <c r="J8" s="30" t="str">
        <f>IF(ISNA(VLOOKUP(封面!B1,'2020决算导出'!A:D,4,FALSE)),"",IF(D8-VLOOKUP(封面!B1,'2020决算导出'!A:D,4,FALSE)&gt;0,"增长","下降"))</f>
        <v>增长</v>
      </c>
      <c r="K8" s="31">
        <f>IF(ISNA(VLOOKUP(封面!B1,'2020决算导出'!A:D,4,FALSE)),"",H8/VLOOKUP(封面!B1,'2020决算导出'!A:D,4,FALSE))</f>
        <v>2.0668811672413925E-2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22962498.43</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453222.62000000104</v>
      </c>
      <c r="I10" s="16" t="s">
        <v>179</v>
      </c>
      <c r="J10" s="30" t="str">
        <f>IF(ISNA(VLOOKUP(封面!B1,'2020决算导出'!A:E,5,FALSE)),"",IF(D10-VLOOKUP(封面!B1,'2020决算导出'!A:E,5,FALSE)&gt;0,"增长","下降"))</f>
        <v>增长</v>
      </c>
      <c r="K10" s="31">
        <f>IF(ISNA(VLOOKUP(封面!B1,'2020决算导出'!A:E,5,FALSE)),"",H10/VLOOKUP(封面!B1,'2020决算导出'!A:E,5,FALSE))</f>
        <v>2.0134926766442296E-2</v>
      </c>
      <c r="L10" s="7" t="s">
        <v>314</v>
      </c>
    </row>
    <row r="11" spans="1:14" ht="18" customHeight="1">
      <c r="A11" s="88" t="s">
        <v>181</v>
      </c>
      <c r="B11" s="88"/>
      <c r="C11" s="88"/>
      <c r="D11" s="14">
        <f>_xlfn.IFNA(VLOOKUP(封面!B1,'2021决算导出'!A:F,6,FALSE),"")</f>
        <v>22962498.43</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22979460.050000001</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350184.24000000209</v>
      </c>
      <c r="I17" s="7" t="s">
        <v>179</v>
      </c>
      <c r="J17" s="30" t="str">
        <f>IF(ISNA(VLOOKUP(封面!B1,'2020决算导出'!A:K,11,FALSE)),"",IF(D17-VLOOKUP(封面!B1,'2020决算导出'!A:K,11,FALSE)&gt;0,"增长","下降"))</f>
        <v>增长</v>
      </c>
      <c r="K17" s="31">
        <f>IF(ISNA(VLOOKUP(封面!B1,'2020决算导出'!A:K,11,FALSE)),"",H17/VLOOKUP(封面!B1,'2020决算导出'!A:K,11,FALSE))</f>
        <v>1.5474831936303229E-2</v>
      </c>
      <c r="L17" s="7" t="s">
        <v>317</v>
      </c>
    </row>
    <row r="18" spans="1:13" ht="18" customHeight="1">
      <c r="A18" s="88" t="s">
        <v>189</v>
      </c>
      <c r="B18" s="88"/>
      <c r="C18" s="88"/>
      <c r="D18" s="14">
        <f>_xlfn.IFNA(VLOOKUP(封面!B1,'2021决算导出'!A:L,12,FALSE),"")</f>
        <v>22226227.050000001</v>
      </c>
      <c r="E18" s="7" t="s">
        <v>179</v>
      </c>
      <c r="F18" s="88" t="s">
        <v>190</v>
      </c>
      <c r="G18" s="88"/>
      <c r="H18" s="29">
        <f>D18/$D$17</f>
        <v>0.96722146654616459</v>
      </c>
      <c r="I18" s="7" t="s">
        <v>315</v>
      </c>
    </row>
    <row r="19" spans="1:13" ht="18" customHeight="1">
      <c r="A19" s="88" t="s">
        <v>191</v>
      </c>
      <c r="B19" s="88"/>
      <c r="C19" s="88"/>
      <c r="D19" s="14">
        <f>_xlfn.IFNA(VLOOKUP(封面!B1,'2021决算导出'!A:M,13,FALSE),"")</f>
        <v>753233</v>
      </c>
      <c r="E19" s="7" t="s">
        <v>179</v>
      </c>
      <c r="F19" s="88" t="s">
        <v>190</v>
      </c>
      <c r="G19" s="88"/>
      <c r="H19" s="29">
        <f t="shared" ref="H19:H20" si="1">D19/$D$17</f>
        <v>3.277853345383544E-2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22962498.43</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333222.62000000104</v>
      </c>
      <c r="J22" s="7" t="s">
        <v>179</v>
      </c>
      <c r="K22" s="30" t="str">
        <f>IF(ISNA(VLOOKUP(封面!B1,'2020决算导出'!A:O,15,FALSE)),"",IF(E22-VLOOKUP(封面!B1,'2020决算导出'!A:O,15,FALSE)&gt;0,"增长","下降"))</f>
        <v>增长</v>
      </c>
      <c r="L22" s="31">
        <f>IF(ISNA(VLOOKUP(封面!B1,'2020决算导出'!A:O,15,FALSE)),"",I22/VLOOKUP(封面!B1,'2020决算导出'!A:O,15,FALSE))</f>
        <v>1.4725288727655534E-2</v>
      </c>
      <c r="M22" s="7" t="s">
        <v>313</v>
      </c>
    </row>
    <row r="23" spans="1:13" ht="63.6" customHeight="1">
      <c r="B23" s="90" t="s">
        <v>479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22844962.43</v>
      </c>
      <c r="G26" s="83"/>
      <c r="H26" s="7" t="s">
        <v>179</v>
      </c>
      <c r="I26" s="10" t="s">
        <v>196</v>
      </c>
      <c r="J26" s="10"/>
      <c r="K26" s="10"/>
      <c r="L26" s="10"/>
      <c r="M26" s="10"/>
    </row>
    <row r="27" spans="1:13" ht="18" customHeight="1">
      <c r="A27" s="88" t="s">
        <v>199</v>
      </c>
      <c r="B27" s="88"/>
      <c r="C27" s="88"/>
      <c r="D27" s="83">
        <f>_xlfn.IFNA(VLOOKUP(封面!B1,'2021决算导出'!A:Q,17,FALSE),"")</f>
        <v>15628697.529999999</v>
      </c>
      <c r="E27" s="83"/>
      <c r="F27" s="7" t="s">
        <v>179</v>
      </c>
      <c r="G27" s="86" t="s">
        <v>198</v>
      </c>
      <c r="H27" s="86"/>
      <c r="I27" s="29">
        <f>D27/$F$26</f>
        <v>0.68412008020973569</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2984023.01</v>
      </c>
      <c r="E29" s="83"/>
      <c r="F29" s="7" t="s">
        <v>179</v>
      </c>
      <c r="G29" s="86" t="s">
        <v>198</v>
      </c>
      <c r="H29" s="86"/>
      <c r="I29" s="29">
        <f t="shared" si="2"/>
        <v>0.13062061358793839</v>
      </c>
      <c r="J29" s="7" t="s">
        <v>315</v>
      </c>
    </row>
    <row r="30" spans="1:13" ht="18" customHeight="1">
      <c r="A30" s="88" t="s">
        <v>201</v>
      </c>
      <c r="B30" s="88"/>
      <c r="C30" s="88"/>
      <c r="D30" s="83">
        <f>_xlfn.IFNA(VLOOKUP(封面!B1,'2021决算导出'!A:T,20,FALSE),"")</f>
        <v>1492934.89</v>
      </c>
      <c r="E30" s="83"/>
      <c r="F30" s="7" t="s">
        <v>179</v>
      </c>
      <c r="G30" s="86" t="s">
        <v>198</v>
      </c>
      <c r="H30" s="86"/>
      <c r="I30" s="29">
        <f t="shared" si="2"/>
        <v>6.5350726427086531E-2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2739307</v>
      </c>
      <c r="E32" s="83"/>
      <c r="F32" s="7" t="s">
        <v>179</v>
      </c>
      <c r="G32" s="86" t="s">
        <v>198</v>
      </c>
      <c r="H32" s="86"/>
      <c r="I32" s="29">
        <f t="shared" si="2"/>
        <v>0.11990857977523932</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15628697.529999999</v>
      </c>
      <c r="F34" s="83"/>
      <c r="G34" s="7" t="s">
        <v>179</v>
      </c>
      <c r="H34" s="86" t="s">
        <v>422</v>
      </c>
      <c r="I34" s="86"/>
      <c r="J34" s="83">
        <f>_xlfn.IFNA(VLOOKUP(封面!B1,一般公共预算财政拨款支出决算具体情况!A:D,4,FALSE),"")</f>
        <v>14832030.470000001</v>
      </c>
      <c r="K34" s="83"/>
      <c r="L34" s="11" t="s">
        <v>178</v>
      </c>
    </row>
    <row r="35" spans="1:12" ht="18" customHeight="1">
      <c r="B35" s="15" t="str">
        <f>IF(E34&gt;J34,"增加","减少")</f>
        <v>增加</v>
      </c>
      <c r="C35" s="83">
        <f>ABS(E34-J34)</f>
        <v>796667.05999999866</v>
      </c>
      <c r="D35" s="83"/>
      <c r="E35" s="7" t="s">
        <v>179</v>
      </c>
      <c r="F35" s="15" t="str">
        <f>IF(E34&gt;J34,"增长","下降")</f>
        <v>增长</v>
      </c>
      <c r="G35" s="34">
        <f>IF(J34=0,IF(E34&gt;0,1,""),C35/J34)</f>
        <v>5.371260945097011E-2</v>
      </c>
      <c r="H35" s="7" t="s">
        <v>316</v>
      </c>
      <c r="I35" s="11" t="s">
        <v>205</v>
      </c>
    </row>
    <row r="36" spans="1:12" ht="18" customHeight="1">
      <c r="A36" s="88" t="s">
        <v>423</v>
      </c>
      <c r="B36" s="88"/>
      <c r="C36" s="88"/>
      <c r="D36" s="88"/>
      <c r="E36" s="83">
        <f>_xlfn.IFNA(VLOOKUP(封面!B1,一般公共预算财政拨款支出决算具体情况!A:E,5,FALSE),"")</f>
        <v>15576428.529999999</v>
      </c>
      <c r="F36" s="83"/>
      <c r="G36" s="7" t="s">
        <v>179</v>
      </c>
      <c r="H36" s="86" t="s">
        <v>422</v>
      </c>
      <c r="I36" s="86"/>
      <c r="J36" s="83">
        <f>_xlfn.IFNA(VLOOKUP(封面!B1,一般公共预算财政拨款支出决算具体情况!A:F,6,FALSE),"")</f>
        <v>14775550.470000001</v>
      </c>
      <c r="K36" s="83"/>
      <c r="L36" s="11" t="s">
        <v>178</v>
      </c>
    </row>
    <row r="37" spans="1:12" ht="18" customHeight="1">
      <c r="A37" s="15"/>
      <c r="B37" s="15" t="str">
        <f>IF(E36&gt;J36,"增加","减少")</f>
        <v>增加</v>
      </c>
      <c r="C37" s="83">
        <f>ABS(E36-J36)</f>
        <v>800878.05999999866</v>
      </c>
      <c r="D37" s="83"/>
      <c r="E37" s="7" t="s">
        <v>179</v>
      </c>
      <c r="F37" s="15" t="str">
        <f>IF(E36&gt;J36,"增长","下降")</f>
        <v>增长</v>
      </c>
      <c r="G37" s="34">
        <f>IF(J36=0,IF(E36&gt;0,1,""),C37/J36)</f>
        <v>5.4202925408842556E-2</v>
      </c>
      <c r="H37" s="7" t="s">
        <v>316</v>
      </c>
    </row>
    <row r="38" spans="1:12" ht="36" customHeight="1">
      <c r="B38" s="84" t="s">
        <v>483</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8" t="s">
        <v>425</v>
      </c>
      <c r="B41" s="88"/>
      <c r="C41" s="88"/>
      <c r="D41" s="88"/>
      <c r="E41" s="83">
        <f>_xlfn.IFNA(VLOOKUP(封面!B1,一般公共预算财政拨款支出决算具体情况!A:I,9,FALSE),"")</f>
        <v>0</v>
      </c>
      <c r="F41" s="83"/>
      <c r="G41" s="7" t="s">
        <v>179</v>
      </c>
      <c r="H41" s="86" t="s">
        <v>422</v>
      </c>
      <c r="I41" s="86"/>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8" t="s">
        <v>426</v>
      </c>
      <c r="B43" s="88"/>
      <c r="C43" s="88"/>
      <c r="D43" s="88"/>
      <c r="E43" s="83">
        <f>_xlfn.IFNA(VLOOKUP(封面!B1,一般公共预算财政拨款支出决算具体情况!A:K,11,FALSE),"")</f>
        <v>0</v>
      </c>
      <c r="F43" s="83"/>
      <c r="G43" s="7" t="s">
        <v>179</v>
      </c>
      <c r="H43" s="86" t="s">
        <v>422</v>
      </c>
      <c r="I43" s="86"/>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8" t="s">
        <v>427</v>
      </c>
      <c r="B45" s="88"/>
      <c r="C45" s="88"/>
      <c r="D45" s="88"/>
      <c r="E45" s="83">
        <f>_xlfn.IFNA(VLOOKUP(封面!B1,一般公共预算财政拨款支出决算具体情况!A:M,13,FALSE),"")</f>
        <v>41480</v>
      </c>
      <c r="F45" s="83"/>
      <c r="G45" s="7" t="s">
        <v>179</v>
      </c>
      <c r="H45" s="86" t="s">
        <v>422</v>
      </c>
      <c r="I45" s="86"/>
      <c r="J45" s="83">
        <f>_xlfn.IFNA(VLOOKUP(封面!B1,一般公共预算财政拨款支出决算具体情况!A:N,14,FALSE),"")</f>
        <v>41480</v>
      </c>
      <c r="K45" s="83"/>
      <c r="L45" s="11" t="s">
        <v>178</v>
      </c>
    </row>
    <row r="46" spans="1:12" ht="18" customHeight="1">
      <c r="A46" s="15"/>
      <c r="B46" s="15" t="str">
        <f>IF(E45&gt;J45,"增加","减少")</f>
        <v>减少</v>
      </c>
      <c r="C46" s="83">
        <f>ABS(E45-J45)</f>
        <v>0</v>
      </c>
      <c r="D46" s="83"/>
      <c r="E46" s="7" t="s">
        <v>179</v>
      </c>
      <c r="F46" s="15" t="str">
        <f>IF(E45&gt;J45,"增长","下降")</f>
        <v>下降</v>
      </c>
      <c r="G46" s="34">
        <f>IF(J45=0,IF(E45&gt;0,1,""),C46/J45)</f>
        <v>0</v>
      </c>
      <c r="H46" s="7" t="s">
        <v>316</v>
      </c>
    </row>
    <row r="47" spans="1:12" ht="18" customHeight="1">
      <c r="A47" s="87" t="s">
        <v>428</v>
      </c>
      <c r="B47" s="87"/>
      <c r="C47" s="87"/>
      <c r="D47" s="87"/>
      <c r="E47" s="83">
        <f>_xlfn.IFNA(VLOOKUP(封面!B1,一般公共预算财政拨款支出决算具体情况!A:O,15,FALSE),"")</f>
        <v>10789</v>
      </c>
      <c r="F47" s="83"/>
      <c r="G47" s="7" t="s">
        <v>179</v>
      </c>
      <c r="H47" s="86" t="s">
        <v>422</v>
      </c>
      <c r="I47" s="86"/>
      <c r="J47" s="83">
        <f>_xlfn.IFNA(VLOOKUP(封面!B1,一般公共预算财政拨款支出决算具体情况!A:P,16,FALSE),"")</f>
        <v>15000</v>
      </c>
      <c r="K47" s="83"/>
      <c r="L47" s="11" t="s">
        <v>178</v>
      </c>
    </row>
    <row r="48" spans="1:12" ht="18" customHeight="1">
      <c r="A48" s="15"/>
      <c r="B48" s="15" t="str">
        <f>IF(E47&gt;J47,"增加","减少")</f>
        <v>减少</v>
      </c>
      <c r="C48" s="83">
        <f>ABS(E47-J47)</f>
        <v>4211</v>
      </c>
      <c r="D48" s="83"/>
      <c r="E48" s="7" t="s">
        <v>179</v>
      </c>
      <c r="F48" s="15" t="str">
        <f>IF(E47&gt;J47,"增长","下降")</f>
        <v>下降</v>
      </c>
      <c r="G48" s="34">
        <f>IF(J47=0,IF(E47&gt;0,1,""),C48/J47)</f>
        <v>0.28073333333333333</v>
      </c>
      <c r="H48" s="7" t="s">
        <v>316</v>
      </c>
    </row>
    <row r="49" spans="1:12" ht="36" customHeight="1">
      <c r="B49" s="84" t="s">
        <v>480</v>
      </c>
      <c r="C49" s="84"/>
      <c r="D49" s="84"/>
      <c r="E49" s="84"/>
      <c r="F49" s="84"/>
      <c r="G49" s="84"/>
      <c r="H49" s="84"/>
      <c r="I49" s="84"/>
      <c r="J49" s="84"/>
      <c r="K49" s="84"/>
      <c r="L49" s="84"/>
    </row>
    <row r="50" spans="1:12" ht="18" customHeight="1">
      <c r="A50" s="89" t="s">
        <v>429</v>
      </c>
      <c r="B50" s="89"/>
      <c r="C50" s="89"/>
      <c r="D50" s="89"/>
      <c r="E50" s="83">
        <f>_xlfn.IFNA(VLOOKUP(封面!B1,一般公共预算财政拨款支出决算具体情况!A:Q,17,FALSE),"")</f>
        <v>0</v>
      </c>
      <c r="F50" s="83"/>
      <c r="G50" s="7" t="s">
        <v>179</v>
      </c>
      <c r="H50" s="85" t="s">
        <v>430</v>
      </c>
      <c r="I50" s="85"/>
      <c r="J50" s="85"/>
      <c r="K50" s="85"/>
      <c r="L50" s="11"/>
    </row>
    <row r="51" spans="1:12" ht="18" customHeight="1">
      <c r="A51" s="87" t="s">
        <v>472</v>
      </c>
      <c r="B51" s="87"/>
      <c r="C51" s="87"/>
      <c r="D51" s="87"/>
      <c r="E51" s="83">
        <f>_xlfn.IFNA(VLOOKUP(封面!B1,一般公共预算财政拨款支出决算具体情况!A:S,19,FALSE),"")</f>
        <v>0</v>
      </c>
      <c r="F51" s="83"/>
      <c r="G51" s="7" t="s">
        <v>179</v>
      </c>
      <c r="H51" s="85" t="s">
        <v>432</v>
      </c>
      <c r="I51" s="85"/>
      <c r="J51" s="85"/>
      <c r="K51" s="85"/>
      <c r="L51" s="11"/>
    </row>
    <row r="52" spans="1:12" ht="18" customHeight="1">
      <c r="A52" s="88" t="s">
        <v>431</v>
      </c>
      <c r="B52" s="88"/>
      <c r="C52" s="88"/>
      <c r="D52" s="88"/>
      <c r="E52" s="83">
        <f>_xlfn.IFNA(VLOOKUP(封面!B1,一般公共预算财政拨款支出决算具体情况!A:U,21,FALSE),"")</f>
        <v>0</v>
      </c>
      <c r="F52" s="83"/>
      <c r="G52" s="7" t="s">
        <v>179</v>
      </c>
      <c r="H52" s="85" t="s">
        <v>432</v>
      </c>
      <c r="I52" s="85"/>
      <c r="J52" s="85"/>
      <c r="K52" s="85"/>
      <c r="L52" s="11"/>
    </row>
    <row r="53" spans="1:12" ht="18" customHeight="1">
      <c r="A53" s="89" t="s">
        <v>433</v>
      </c>
      <c r="B53" s="89"/>
      <c r="C53" s="89"/>
      <c r="D53" s="89"/>
      <c r="E53" s="83">
        <f>_xlfn.IFNA(VLOOKUP(封面!B1,一般公共预算财政拨款支出决算具体情况!A:W,23,FALSE),"")</f>
        <v>2984023.0100000002</v>
      </c>
      <c r="F53" s="83"/>
      <c r="G53" s="7" t="s">
        <v>179</v>
      </c>
      <c r="H53" s="86" t="s">
        <v>422</v>
      </c>
      <c r="I53" s="86"/>
      <c r="J53" s="83">
        <f>_xlfn.IFNA(VLOOKUP(封面!B1,一般公共预算财政拨款支出决算具体情况!A:X,24,FALSE),"")</f>
        <v>2888526.96</v>
      </c>
      <c r="K53" s="83"/>
      <c r="L53" s="11" t="s">
        <v>178</v>
      </c>
    </row>
    <row r="54" spans="1:12" ht="18" customHeight="1">
      <c r="B54" s="15" t="str">
        <f>IF(E53&gt;J53,"增加","减少")</f>
        <v>增加</v>
      </c>
      <c r="C54" s="83">
        <f>ABS(E53-J53)</f>
        <v>95496.050000000279</v>
      </c>
      <c r="D54" s="83"/>
      <c r="E54" s="7" t="s">
        <v>179</v>
      </c>
      <c r="F54" s="15" t="str">
        <f>IF(E53&gt;J53,"增长","下降")</f>
        <v>增长</v>
      </c>
      <c r="G54" s="34">
        <f>IF(J53=0,IF(E53&gt;0,1,""),C54/J53)</f>
        <v>3.3060466917019977E-2</v>
      </c>
      <c r="H54" s="7" t="s">
        <v>316</v>
      </c>
      <c r="I54" s="11" t="s">
        <v>205</v>
      </c>
    </row>
    <row r="55" spans="1:12" ht="18" customHeight="1">
      <c r="A55" s="87" t="s">
        <v>434</v>
      </c>
      <c r="B55" s="87"/>
      <c r="C55" s="87"/>
      <c r="D55" s="87"/>
      <c r="E55" s="83">
        <f>_xlfn.IFNA(VLOOKUP(封面!B1,一般公共预算财政拨款支出决算具体情况!A:Y,25,FALSE),"")</f>
        <v>2984023.0100000002</v>
      </c>
      <c r="F55" s="83"/>
      <c r="G55" s="7" t="s">
        <v>179</v>
      </c>
      <c r="H55" s="86" t="s">
        <v>422</v>
      </c>
      <c r="I55" s="86"/>
      <c r="J55" s="83">
        <f>_xlfn.IFNA(VLOOKUP(封面!B1,一般公共预算财政拨款支出决算具体情况!A:Z,26,FALSE),"")</f>
        <v>2888526.96</v>
      </c>
      <c r="K55" s="83"/>
      <c r="L55" s="11" t="s">
        <v>178</v>
      </c>
    </row>
    <row r="56" spans="1:12" ht="18" customHeight="1">
      <c r="A56" s="15"/>
      <c r="B56" s="15" t="str">
        <f>IF(E55&gt;J55,"增加","减少")</f>
        <v>增加</v>
      </c>
      <c r="C56" s="83">
        <f>ABS(E55-J55)</f>
        <v>95496.050000000279</v>
      </c>
      <c r="D56" s="83"/>
      <c r="E56" s="7" t="s">
        <v>179</v>
      </c>
      <c r="F56" s="15" t="str">
        <f>IF(E55&gt;J55,"增长","下降")</f>
        <v>增长</v>
      </c>
      <c r="G56" s="34">
        <f>IF(J55=0,IF(E55&gt;0,1,""),C56/J55)</f>
        <v>3.3060466917019977E-2</v>
      </c>
      <c r="H56" s="7" t="s">
        <v>316</v>
      </c>
    </row>
    <row r="57" spans="1:12" ht="36" customHeight="1">
      <c r="B57" s="84" t="s">
        <v>481</v>
      </c>
      <c r="C57" s="84"/>
      <c r="D57" s="84"/>
      <c r="E57" s="84"/>
      <c r="F57" s="84"/>
      <c r="G57" s="84"/>
      <c r="H57" s="84"/>
      <c r="I57" s="84"/>
      <c r="J57" s="84"/>
      <c r="K57" s="84"/>
      <c r="L57" s="84"/>
    </row>
    <row r="58" spans="1:12" ht="18" customHeight="1">
      <c r="A58" s="87" t="s">
        <v>435</v>
      </c>
      <c r="B58" s="87"/>
      <c r="C58" s="87"/>
      <c r="D58" s="87"/>
      <c r="E58" s="83">
        <f>_xlfn.IFNA(VLOOKUP(封面!B1,一般公共预算财政拨款支出决算具体情况!A:AA,27,FALSE),"")</f>
        <v>0</v>
      </c>
      <c r="F58" s="83"/>
      <c r="G58" s="7" t="s">
        <v>179</v>
      </c>
      <c r="H58" s="86" t="s">
        <v>432</v>
      </c>
      <c r="I58" s="86"/>
      <c r="J58" s="83"/>
      <c r="K58" s="83"/>
      <c r="L58" s="11"/>
    </row>
    <row r="59" spans="1:12" ht="18" customHeight="1">
      <c r="A59" s="89" t="s">
        <v>436</v>
      </c>
      <c r="B59" s="89"/>
      <c r="C59" s="89"/>
      <c r="D59" s="89"/>
      <c r="E59" s="83">
        <f>_xlfn.IFNA(VLOOKUP(封面!B1,一般公共预算财政拨款支出决算具体情况!A:AC,29,FALSE),"")</f>
        <v>1492934.89</v>
      </c>
      <c r="F59" s="83"/>
      <c r="G59" s="7" t="s">
        <v>179</v>
      </c>
      <c r="H59" s="86" t="s">
        <v>422</v>
      </c>
      <c r="I59" s="86"/>
      <c r="J59" s="83">
        <f>_xlfn.IFNA(VLOOKUP(封面!B1,一般公共预算财政拨款支出决算具体情况!A:AD,30,FALSE),"")</f>
        <v>1391416.52</v>
      </c>
      <c r="K59" s="83"/>
      <c r="L59" s="11" t="s">
        <v>178</v>
      </c>
    </row>
    <row r="60" spans="1:12" ht="18" customHeight="1">
      <c r="B60" s="15" t="str">
        <f>IF(E59&gt;J59,"增加","减少")</f>
        <v>增加</v>
      </c>
      <c r="C60" s="83">
        <f>ABS(E59-J59)</f>
        <v>101518.36999999988</v>
      </c>
      <c r="D60" s="83"/>
      <c r="E60" s="7" t="s">
        <v>179</v>
      </c>
      <c r="F60" s="15" t="str">
        <f>IF(E59&gt;J59,"增长","下降")</f>
        <v>增长</v>
      </c>
      <c r="G60" s="34">
        <f>IF(J59=0,IF(E59&gt;0,1,""),C60/J59)</f>
        <v>7.2960446092734249E-2</v>
      </c>
      <c r="H60" s="7" t="s">
        <v>316</v>
      </c>
      <c r="I60" s="11" t="s">
        <v>205</v>
      </c>
    </row>
    <row r="61" spans="1:12" ht="18" customHeight="1">
      <c r="A61" s="87" t="s">
        <v>437</v>
      </c>
      <c r="B61" s="87"/>
      <c r="C61" s="87"/>
      <c r="D61" s="87"/>
      <c r="E61" s="83">
        <f>_xlfn.IFNA(VLOOKUP(封面!B1,一般公共预算财政拨款支出决算具体情况!A:AE,31,FALSE),"")</f>
        <v>1492934.89</v>
      </c>
      <c r="F61" s="83"/>
      <c r="G61" s="7" t="s">
        <v>179</v>
      </c>
      <c r="H61" s="86" t="s">
        <v>422</v>
      </c>
      <c r="I61" s="86"/>
      <c r="J61" s="83">
        <f>_xlfn.IFNA(VLOOKUP(封面!B1,一般公共预算财政拨款支出决算具体情况!A:AF,32,FALSE),"")</f>
        <v>1391416.52</v>
      </c>
      <c r="K61" s="83"/>
      <c r="L61" s="11" t="s">
        <v>178</v>
      </c>
    </row>
    <row r="62" spans="1:12" ht="18" customHeight="1">
      <c r="A62" s="15"/>
      <c r="B62" s="15" t="str">
        <f>IF(E61&gt;J61,"增加","减少")</f>
        <v>增加</v>
      </c>
      <c r="C62" s="83">
        <f>ABS(E61-J61)</f>
        <v>101518.36999999988</v>
      </c>
      <c r="D62" s="83"/>
      <c r="E62" s="7" t="s">
        <v>179</v>
      </c>
      <c r="F62" s="15" t="str">
        <f>IF(E61&gt;J61,"增长","下降")</f>
        <v>增长</v>
      </c>
      <c r="G62" s="34">
        <f>IF(J61=0,IF(E61&gt;0,1,""),C62/J61)</f>
        <v>7.2960446092734249E-2</v>
      </c>
      <c r="H62" s="7" t="s">
        <v>316</v>
      </c>
    </row>
    <row r="63" spans="1:12" ht="36" customHeight="1">
      <c r="B63" s="84" t="s">
        <v>482</v>
      </c>
      <c r="C63" s="84"/>
      <c r="D63" s="84"/>
      <c r="E63" s="84"/>
      <c r="F63" s="84"/>
      <c r="G63" s="84"/>
      <c r="H63" s="84"/>
      <c r="I63" s="84"/>
      <c r="J63" s="84"/>
      <c r="K63" s="84"/>
      <c r="L63" s="84"/>
    </row>
    <row r="64" spans="1:12" ht="18" customHeight="1">
      <c r="A64" s="89" t="s">
        <v>438</v>
      </c>
      <c r="B64" s="89"/>
      <c r="C64" s="89"/>
      <c r="D64" s="89"/>
      <c r="E64" s="83">
        <f>_xlfn.IFNA(VLOOKUP(封面!B1,一般公共预算财政拨款支出决算具体情况!A:AG,33,FALSE),"")</f>
        <v>0</v>
      </c>
      <c r="F64" s="83"/>
      <c r="G64" s="7" t="s">
        <v>179</v>
      </c>
      <c r="H64" s="86" t="s">
        <v>422</v>
      </c>
      <c r="I64" s="86"/>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313</v>
      </c>
      <c r="I65" s="11" t="s">
        <v>205</v>
      </c>
    </row>
    <row r="66" spans="1:13" ht="18" customHeight="1">
      <c r="A66" s="87" t="s">
        <v>439</v>
      </c>
      <c r="B66" s="87"/>
      <c r="C66" s="87"/>
      <c r="D66" s="87"/>
      <c r="E66" s="83">
        <f>_xlfn.IFNA(VLOOKUP(封面!B1,一般公共预算财政拨款支出决算具体情况!A:AI,35,FALSE),"")</f>
        <v>0</v>
      </c>
      <c r="F66" s="83"/>
      <c r="G66" s="7" t="s">
        <v>179</v>
      </c>
      <c r="H66" s="86" t="s">
        <v>422</v>
      </c>
      <c r="I66" s="86"/>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313</v>
      </c>
      <c r="I67" s="57"/>
      <c r="J67" s="56"/>
      <c r="K67" s="56"/>
      <c r="L67" s="11"/>
    </row>
    <row r="68" spans="1:13" ht="18" customHeight="1">
      <c r="A68" s="89" t="s">
        <v>473</v>
      </c>
      <c r="B68" s="89"/>
      <c r="C68" s="89"/>
      <c r="D68" s="89"/>
      <c r="E68" s="83">
        <f>_xlfn.IFNA(VLOOKUP(封面!B1,一般公共预算财政拨款支出决算具体情况!A:AK,37,FALSE),"")</f>
        <v>2739307</v>
      </c>
      <c r="F68" s="83"/>
      <c r="G68" s="7" t="s">
        <v>179</v>
      </c>
      <c r="H68" s="86" t="s">
        <v>422</v>
      </c>
      <c r="I68" s="86"/>
      <c r="J68" s="83">
        <f>_xlfn.IFNA(VLOOKUP(封面!B1,一般公共预算财政拨款支出决算具体情况!A:AL,38,FALSE),"")</f>
        <v>2640612.48</v>
      </c>
      <c r="K68" s="83"/>
      <c r="L68" s="11" t="s">
        <v>178</v>
      </c>
    </row>
    <row r="69" spans="1:13" ht="18" customHeight="1">
      <c r="B69" s="15" t="str">
        <f>IF(E68&gt;J68,"增加","减少")</f>
        <v>增加</v>
      </c>
      <c r="C69" s="83">
        <f>ABS(E68-J68)</f>
        <v>98694.520000000019</v>
      </c>
      <c r="D69" s="83"/>
      <c r="E69" s="7" t="s">
        <v>179</v>
      </c>
      <c r="F69" s="15" t="str">
        <f>IF(E68&gt;J68,"增长","下降")</f>
        <v>增长</v>
      </c>
      <c r="G69" s="34">
        <f>IF(J68=0,IF(E68&gt;0,1,""),C69/J68)</f>
        <v>3.7375616735705205E-2</v>
      </c>
      <c r="H69" s="7" t="s">
        <v>316</v>
      </c>
      <c r="I69" s="11" t="s">
        <v>205</v>
      </c>
    </row>
    <row r="70" spans="1:13" ht="18" customHeight="1">
      <c r="A70" s="87" t="s">
        <v>440</v>
      </c>
      <c r="B70" s="87"/>
      <c r="C70" s="87"/>
      <c r="D70" s="87"/>
      <c r="E70" s="83">
        <f>_xlfn.IFNA(VLOOKUP(封面!B1,一般公共预算财政拨款支出决算具体情况!A:AM,39,FALSE),"")</f>
        <v>2739307</v>
      </c>
      <c r="F70" s="83"/>
      <c r="G70" s="7" t="s">
        <v>179</v>
      </c>
      <c r="H70" s="86" t="s">
        <v>422</v>
      </c>
      <c r="I70" s="86"/>
      <c r="J70" s="83">
        <f>_xlfn.IFNA(VLOOKUP(封面!B1,一般公共预算财政拨款支出决算具体情况!A:AN,40,FALSE),"")</f>
        <v>2640612.48</v>
      </c>
      <c r="K70" s="83"/>
      <c r="L70" s="11" t="s">
        <v>178</v>
      </c>
    </row>
    <row r="71" spans="1:13" ht="18" customHeight="1">
      <c r="A71" s="15"/>
      <c r="B71" s="15" t="str">
        <f>IF(E70&gt;J70,"增加","减少")</f>
        <v>增加</v>
      </c>
      <c r="C71" s="83">
        <f>ABS(E70-J70)</f>
        <v>98694.520000000019</v>
      </c>
      <c r="D71" s="83"/>
      <c r="E71" s="7" t="s">
        <v>179</v>
      </c>
      <c r="F71" s="15" t="str">
        <f>IF(E70&gt;J70,"增长","下降")</f>
        <v>增长</v>
      </c>
      <c r="G71" s="34">
        <f>IF(J70=0,IF(E70&gt;0,1,""),C71/J70)</f>
        <v>3.7375616735705205E-2</v>
      </c>
      <c r="H71" s="7" t="s">
        <v>316</v>
      </c>
    </row>
    <row r="72" spans="1:13" ht="36" customHeight="1">
      <c r="B72" s="84" t="s">
        <v>484</v>
      </c>
      <c r="C72" s="84"/>
      <c r="D72" s="84"/>
      <c r="E72" s="84"/>
      <c r="F72" s="84"/>
      <c r="G72" s="84"/>
      <c r="H72" s="84"/>
      <c r="I72" s="84"/>
      <c r="J72" s="84"/>
      <c r="K72" s="84"/>
      <c r="L72" s="84"/>
    </row>
    <row r="73" spans="1:13" ht="18" customHeight="1">
      <c r="A73" s="6" t="s">
        <v>206</v>
      </c>
    </row>
    <row r="74" spans="1:13" ht="18" customHeight="1">
      <c r="A74" s="7" t="str">
        <f>IF(_xlfn.IFNA(VLOOKUP(封面!B1,'2021决算导出'!A:W,23,FALSE),"")=0,"本年度无此项支出。","")</f>
        <v>本年度无此项支出。</v>
      </c>
    </row>
    <row r="75" spans="1:13" ht="18" customHeight="1">
      <c r="A75" s="7" t="s">
        <v>207</v>
      </c>
    </row>
    <row r="76" spans="1:13" ht="18" customHeight="1">
      <c r="A76" s="88" t="s">
        <v>441</v>
      </c>
      <c r="B76" s="88"/>
      <c r="C76" s="88"/>
      <c r="D76" s="88"/>
      <c r="E76" s="88"/>
      <c r="F76" s="83">
        <f>_xlfn.IFNA(VLOOKUP(封面!B1,'2021决算导出'!A:W,23,FALSE),"")</f>
        <v>0</v>
      </c>
      <c r="G76" s="83"/>
      <c r="H76" s="7" t="s">
        <v>179</v>
      </c>
      <c r="I76" s="85" t="s">
        <v>196</v>
      </c>
      <c r="J76" s="85"/>
      <c r="K76" s="85"/>
      <c r="L76" s="85"/>
      <c r="M76" s="85"/>
    </row>
    <row r="77" spans="1:13" ht="18" customHeight="1">
      <c r="A77" s="88" t="s">
        <v>208</v>
      </c>
      <c r="B77" s="88"/>
      <c r="C77" s="88"/>
      <c r="D77" s="83">
        <f>_xlfn.IFNA(VLOOKUP(封面!B1,'2021决算导出'!A:Y,25,FALSE),"")</f>
        <v>0</v>
      </c>
      <c r="E77" s="83"/>
      <c r="F77" s="7" t="s">
        <v>179</v>
      </c>
      <c r="G77" s="86" t="s">
        <v>198</v>
      </c>
      <c r="H77" s="86"/>
      <c r="I77" s="13">
        <v>100</v>
      </c>
      <c r="J77" s="7" t="s">
        <v>183</v>
      </c>
      <c r="K77" s="9"/>
      <c r="L77" s="9"/>
      <c r="M77" s="9"/>
    </row>
    <row r="78" spans="1:13" ht="18" customHeight="1">
      <c r="A78" s="7" t="s">
        <v>209</v>
      </c>
    </row>
    <row r="79" spans="1:13" ht="18" customHeight="1">
      <c r="A79" s="85" t="s">
        <v>442</v>
      </c>
      <c r="B79" s="85"/>
      <c r="C79" s="85"/>
      <c r="D79" s="85"/>
      <c r="E79" s="83">
        <f>_xlfn.IFNA(VLOOKUP(封面!B1,'2021决算导出'!A:Y,25,FALSE),"")</f>
        <v>0</v>
      </c>
      <c r="F79" s="83"/>
      <c r="G79" s="7" t="s">
        <v>179</v>
      </c>
      <c r="H79" s="86" t="s">
        <v>422</v>
      </c>
      <c r="I79" s="86"/>
      <c r="J79" s="83">
        <f>_xlfn.IFNA(VLOOKUP(封面!B1,'2021决算导出'!A:Z,26,FALSE),"")</f>
        <v>0</v>
      </c>
      <c r="K79" s="83"/>
      <c r="L79" s="11" t="s">
        <v>178</v>
      </c>
    </row>
    <row r="80" spans="1:13" ht="18" customHeight="1">
      <c r="B80" s="15" t="str">
        <f>IF(E79&gt;J79,"增加","减少")</f>
        <v>减少</v>
      </c>
      <c r="C80" s="83">
        <f>ABS(E79-J79)</f>
        <v>0</v>
      </c>
      <c r="D80" s="83"/>
      <c r="E80" s="7" t="s">
        <v>179</v>
      </c>
      <c r="F80" s="15" t="str">
        <f>IF(E79&gt;J79,"增长","下降")</f>
        <v>下降</v>
      </c>
      <c r="G80" s="34" t="str">
        <f>IF(J79=0,IF(E79&gt;0,1,""),C80/J79)</f>
        <v/>
      </c>
      <c r="H80" s="7" t="s">
        <v>316</v>
      </c>
      <c r="I80" s="11" t="s">
        <v>205</v>
      </c>
    </row>
    <row r="81" spans="1:13" ht="18" customHeight="1">
      <c r="A81" s="87" t="s">
        <v>443</v>
      </c>
      <c r="B81" s="87"/>
      <c r="C81" s="87"/>
      <c r="D81" s="87"/>
      <c r="E81" s="83">
        <f>E79</f>
        <v>0</v>
      </c>
      <c r="F81" s="83"/>
      <c r="G81" s="7" t="s">
        <v>179</v>
      </c>
      <c r="H81" s="86" t="s">
        <v>422</v>
      </c>
      <c r="I81" s="86"/>
      <c r="J81" s="83">
        <f>J79</f>
        <v>0</v>
      </c>
      <c r="K81" s="83"/>
      <c r="L81" s="11" t="s">
        <v>178</v>
      </c>
    </row>
    <row r="82" spans="1:13" ht="18" customHeight="1">
      <c r="A82" s="15"/>
      <c r="B82" s="15" t="str">
        <f>B80</f>
        <v>减少</v>
      </c>
      <c r="C82" s="83">
        <f>C80</f>
        <v>0</v>
      </c>
      <c r="D82" s="83"/>
      <c r="E82" s="7" t="s">
        <v>179</v>
      </c>
      <c r="F82" s="15" t="str">
        <f>F80</f>
        <v>下降</v>
      </c>
      <c r="G82" s="34" t="str">
        <f>IF(J81=0,IF(E81&gt;0,1,""),C82/J81)</f>
        <v/>
      </c>
      <c r="H82" s="7" t="s">
        <v>316</v>
      </c>
    </row>
    <row r="83" spans="1:13" ht="18" customHeight="1">
      <c r="A83" s="6" t="s">
        <v>210</v>
      </c>
    </row>
    <row r="84" spans="1:13" ht="18" customHeight="1">
      <c r="A84" s="7" t="s">
        <v>211</v>
      </c>
    </row>
    <row r="85" spans="1:13" ht="18" customHeight="1">
      <c r="A85" s="6" t="s">
        <v>212</v>
      </c>
    </row>
    <row r="86" spans="1:13" ht="18" customHeight="1">
      <c r="A86" s="7" t="s">
        <v>444</v>
      </c>
      <c r="G86" s="83">
        <f>_xlfn.IFNA(VLOOKUP(封面!B1,'2021决算导出'!A:AA,27,FALSE),"")</f>
        <v>22091729.43</v>
      </c>
      <c r="H86" s="83"/>
      <c r="I86" s="11" t="s">
        <v>179</v>
      </c>
    </row>
    <row r="87" spans="1:13" ht="130.15" customHeight="1">
      <c r="A87" s="84" t="s">
        <v>213</v>
      </c>
      <c r="B87" s="84"/>
      <c r="C87" s="84"/>
      <c r="D87" s="84"/>
      <c r="E87" s="84"/>
      <c r="F87" s="84"/>
      <c r="G87" s="84"/>
      <c r="H87" s="84"/>
      <c r="I87" s="84"/>
      <c r="J87" s="84"/>
      <c r="K87" s="84"/>
      <c r="L87" s="84"/>
      <c r="M87" s="84"/>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E58:F58"/>
    <mergeCell ref="H58:I58"/>
    <mergeCell ref="J58:K58"/>
    <mergeCell ref="C54:D54"/>
    <mergeCell ref="A55:D55"/>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8:D48"/>
    <mergeCell ref="B49:L49"/>
    <mergeCell ref="A50:D50"/>
    <mergeCell ref="E50:F50"/>
    <mergeCell ref="C46:D46"/>
    <mergeCell ref="A47:D47"/>
    <mergeCell ref="E47:F47"/>
    <mergeCell ref="H47:I47"/>
    <mergeCell ref="J47:K47"/>
    <mergeCell ref="H50:K50"/>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1">
        <f>_xlfn.IFNA(VLOOKUP(封面!B1,'2021决算导出'!A:AC,29,FALSE),"")</f>
        <v>0</v>
      </c>
      <c r="B5" s="91"/>
      <c r="C5" s="7" t="s">
        <v>178</v>
      </c>
      <c r="D5" s="30" t="str">
        <f>IF(F4&gt;A5,"增加","减少")</f>
        <v>减少</v>
      </c>
      <c r="E5" s="91">
        <f>ABS(F4-A5)</f>
        <v>0</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0</v>
      </c>
      <c r="D11" s="7" t="s">
        <v>179</v>
      </c>
      <c r="E11" s="88" t="s">
        <v>450</v>
      </c>
      <c r="F11" s="88"/>
      <c r="G11" s="88"/>
      <c r="H11" s="91">
        <f>_xlfn.IFNA(VLOOKUP(封面!B1,'2021决算导出'!A:AJ,36,FALSE),"")</f>
        <v>0</v>
      </c>
      <c r="I11" s="91"/>
      <c r="J11" s="16" t="s">
        <v>178</v>
      </c>
      <c r="K11" s="30" t="str">
        <f>IF(C11&gt;H11,"增加","减少")</f>
        <v>减少</v>
      </c>
      <c r="L11" s="91">
        <f>ABS(C11-H11)</f>
        <v>0</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18" customHeight="1">
      <c r="A14" s="88" t="s">
        <v>452</v>
      </c>
      <c r="B14" s="88"/>
      <c r="C14" s="88"/>
      <c r="D14" s="8">
        <f>_xlfn.IFNA(VLOOKUP(封面!B1,'2021决算导出'!A:AM,39,FALSE),"")</f>
        <v>0</v>
      </c>
      <c r="E14" s="7" t="s">
        <v>220</v>
      </c>
      <c r="F14" s="88" t="s">
        <v>221</v>
      </c>
      <c r="G14" s="88"/>
      <c r="H14" s="91">
        <f>IF(D14=0,0,F12/D14)</f>
        <v>0</v>
      </c>
      <c r="I14" s="91"/>
      <c r="J14" s="7" t="s">
        <v>215</v>
      </c>
    </row>
    <row r="15" spans="1:14" ht="18" customHeight="1">
      <c r="A15" s="86" t="s">
        <v>453</v>
      </c>
      <c r="B15" s="86"/>
      <c r="C15" s="86"/>
      <c r="D15" s="86"/>
      <c r="E15" s="86"/>
      <c r="F15" s="91">
        <f>_xlfn.IFNA(VLOOKUP(封面!B1,'2021决算导出'!A:AO,41,FALSE),"")</f>
        <v>0</v>
      </c>
      <c r="G15" s="91" t="s">
        <v>179</v>
      </c>
      <c r="H15" s="7" t="s">
        <v>179</v>
      </c>
      <c r="I15" s="7" t="s">
        <v>450</v>
      </c>
      <c r="L15" s="91">
        <f>_xlfn.IFNA(VLOOKUP(封面!B1,'2021决算导出'!A:AP,42,FALSE),"")</f>
        <v>0</v>
      </c>
      <c r="M15" s="91" t="s">
        <v>179</v>
      </c>
      <c r="N15" s="7" t="s">
        <v>179</v>
      </c>
    </row>
    <row r="16" spans="1:14" ht="18" customHeight="1">
      <c r="A16" s="15" t="str">
        <f>IF(F15&gt;L15,"增加","减少")</f>
        <v>减少</v>
      </c>
      <c r="B16" s="91">
        <f>ABS(F15-L15)</f>
        <v>0</v>
      </c>
      <c r="C16" s="91"/>
      <c r="D16" s="7" t="s">
        <v>215</v>
      </c>
    </row>
    <row r="17" spans="1:14" ht="36" customHeight="1">
      <c r="A17" s="84" t="s">
        <v>222</v>
      </c>
      <c r="B17" s="84"/>
      <c r="C17" s="84"/>
      <c r="D17" s="84"/>
      <c r="E17" s="84"/>
      <c r="F17" s="84"/>
      <c r="G17" s="84"/>
      <c r="H17" s="84"/>
      <c r="I17" s="84"/>
      <c r="J17" s="84"/>
      <c r="K17" s="84"/>
      <c r="L17" s="84"/>
      <c r="M17" s="84"/>
      <c r="N17" s="84"/>
    </row>
    <row r="18" spans="1:14" ht="18" customHeight="1">
      <c r="A18" s="88" t="s">
        <v>454</v>
      </c>
      <c r="B18" s="88"/>
      <c r="C18" s="88"/>
      <c r="D18" s="88"/>
      <c r="E18" s="88"/>
      <c r="F18" s="88"/>
      <c r="G18" s="91">
        <f>_xlfn.IFNA(VLOOKUP(封面!B1,'2021决算导出'!A:AQ,43,FALSE),"")</f>
        <v>0</v>
      </c>
      <c r="H18" s="91" t="s">
        <v>179</v>
      </c>
      <c r="I18" s="7" t="s">
        <v>179</v>
      </c>
      <c r="J18" s="7" t="s">
        <v>223</v>
      </c>
      <c r="L18" s="91">
        <f>_xlfn.IFNA(VLOOKUP(封面!B1,'2021决算导出'!A:AR,44,FALSE),"")</f>
        <v>0</v>
      </c>
      <c r="M18" s="91" t="s">
        <v>179</v>
      </c>
      <c r="N18" s="7" t="s">
        <v>179</v>
      </c>
    </row>
    <row r="19" spans="1:14" ht="18" customHeight="1">
      <c r="A19" s="88" t="s">
        <v>224</v>
      </c>
      <c r="B19" s="88"/>
      <c r="C19" s="91">
        <f>_xlfn.IFNA(VLOOKUP(封面!B1,'2021决算导出'!A:AS,45,FALSE),"")</f>
        <v>0</v>
      </c>
      <c r="D19" s="91" t="s">
        <v>179</v>
      </c>
      <c r="E19" s="7" t="s">
        <v>179</v>
      </c>
      <c r="F19" s="88" t="s">
        <v>225</v>
      </c>
      <c r="G19" s="88"/>
      <c r="H19" s="88"/>
      <c r="I19" s="91">
        <f>_xlfn.IFNA(VLOOKUP(封面!B1,'2021决算导出'!A:AT,46,FALSE),"")</f>
        <v>0</v>
      </c>
      <c r="J19" s="91" t="s">
        <v>179</v>
      </c>
      <c r="K19" s="7" t="s">
        <v>215</v>
      </c>
    </row>
    <row r="20" spans="1:14" ht="18" customHeight="1">
      <c r="A20" s="88" t="s">
        <v>455</v>
      </c>
      <c r="B20" s="88"/>
      <c r="C20" s="88"/>
      <c r="D20" s="8">
        <f>_xlfn.IFNA(VLOOKUP(封面!B1,'2021决算导出'!A:AU,47,FALSE),"")</f>
        <v>0</v>
      </c>
      <c r="E20" s="85" t="s">
        <v>407</v>
      </c>
      <c r="F20" s="85"/>
      <c r="G20" s="85"/>
      <c r="H20" s="85"/>
      <c r="I20" s="85"/>
      <c r="J20" s="85"/>
      <c r="K20" s="85"/>
      <c r="L20" s="85"/>
      <c r="M20" s="54" t="e">
        <f>F15/D20</f>
        <v>#DIV/0!</v>
      </c>
      <c r="N20" s="7" t="s">
        <v>215</v>
      </c>
    </row>
    <row r="21" spans="1:14" ht="18" customHeight="1">
      <c r="A21" s="6" t="s">
        <v>226</v>
      </c>
    </row>
    <row r="22" spans="1:14" ht="18" customHeight="1">
      <c r="A22" s="7" t="s">
        <v>227</v>
      </c>
    </row>
    <row r="23" spans="1:14" ht="18" customHeight="1">
      <c r="A23" s="6" t="s">
        <v>228</v>
      </c>
    </row>
    <row r="24" spans="1:14" ht="18" customHeight="1">
      <c r="A24" s="88" t="s">
        <v>456</v>
      </c>
      <c r="B24" s="88"/>
      <c r="C24" s="88"/>
      <c r="D24" s="88"/>
      <c r="E24" s="83">
        <f>_xlfn.IFNA(VLOOKUP(封面!B1,'2021决算导出'!A:AW,49,FALSE),"")</f>
        <v>17050.349999999999</v>
      </c>
      <c r="F24" s="83"/>
      <c r="G24" s="7" t="s">
        <v>179</v>
      </c>
      <c r="H24" s="88" t="s">
        <v>229</v>
      </c>
      <c r="I24" s="88"/>
      <c r="J24" s="88"/>
      <c r="K24" s="88"/>
      <c r="L24" s="83">
        <f>_xlfn.IFNA(VLOOKUP(封面!B1,'2021决算导出'!A:AX,50,FALSE),"")</f>
        <v>17050.349999999999</v>
      </c>
      <c r="M24" s="83" t="s">
        <v>179</v>
      </c>
      <c r="N24" s="7" t="s">
        <v>179</v>
      </c>
    </row>
    <row r="25" spans="1:14" ht="18" customHeight="1">
      <c r="A25" s="88" t="s">
        <v>230</v>
      </c>
      <c r="B25" s="88"/>
      <c r="C25" s="88"/>
      <c r="D25" s="83">
        <f>_xlfn.IFNA(VLOOKUP(封面!B1,'2021决算导出'!A:AY,51,FALSE),"")</f>
        <v>0</v>
      </c>
      <c r="E25" s="83" t="s">
        <v>179</v>
      </c>
      <c r="F25" s="7" t="s">
        <v>179</v>
      </c>
      <c r="G25" s="88" t="s">
        <v>231</v>
      </c>
      <c r="H25" s="88"/>
      <c r="I25" s="88"/>
      <c r="J25" s="83">
        <f>_xlfn.IFNA(VLOOKUP(封面!B1,'2021决算导出'!A:AZ,52,FALSE),"")</f>
        <v>0</v>
      </c>
      <c r="K25" s="83" t="s">
        <v>179</v>
      </c>
      <c r="L25" s="7" t="s">
        <v>215</v>
      </c>
    </row>
    <row r="26" spans="1:14" ht="18" customHeight="1">
      <c r="A26" s="88" t="s">
        <v>232</v>
      </c>
      <c r="B26" s="88"/>
      <c r="C26" s="88"/>
      <c r="D26" s="88"/>
      <c r="E26" s="83">
        <v>17050.349999999999</v>
      </c>
      <c r="F26" s="83" t="s">
        <v>179</v>
      </c>
      <c r="G26" s="7" t="s">
        <v>179</v>
      </c>
      <c r="H26" s="86" t="s">
        <v>233</v>
      </c>
      <c r="I26" s="86"/>
      <c r="J26" s="86"/>
      <c r="K26" s="29">
        <f>E26/$E$24</f>
        <v>1</v>
      </c>
      <c r="L26" s="18" t="s">
        <v>314</v>
      </c>
      <c r="M26" s="7" t="s">
        <v>408</v>
      </c>
    </row>
    <row r="27" spans="1:14" ht="18" customHeight="1">
      <c r="A27" s="88" t="s">
        <v>234</v>
      </c>
      <c r="B27" s="88"/>
      <c r="C27" s="88"/>
      <c r="D27" s="88"/>
      <c r="E27" s="83">
        <f>_xlfn.IFNA(VLOOKUP(封面!B1,'2021决算导出'!A:BB,54,FALSE),"")</f>
        <v>17050.349999999999</v>
      </c>
      <c r="F27" s="83" t="s">
        <v>179</v>
      </c>
      <c r="G27" s="7" t="s">
        <v>179</v>
      </c>
      <c r="H27" s="86" t="s">
        <v>233</v>
      </c>
      <c r="I27" s="86"/>
      <c r="J27" s="86"/>
      <c r="K27" s="29">
        <f>E27/$E$24</f>
        <v>1</v>
      </c>
      <c r="L27" s="18" t="s">
        <v>316</v>
      </c>
    </row>
    <row r="28" spans="1:14" ht="18" customHeight="1">
      <c r="A28" s="6" t="s">
        <v>235</v>
      </c>
    </row>
    <row r="29" spans="1:14" ht="18" customHeight="1">
      <c r="A29" s="88" t="s">
        <v>457</v>
      </c>
      <c r="B29" s="88"/>
      <c r="C29" s="8">
        <f>_xlfn.IFNA(VLOOKUP(封面!B1,'2021决算导出'!A:BC,55,FALSE),"")</f>
        <v>0</v>
      </c>
      <c r="D29" s="7" t="s">
        <v>236</v>
      </c>
      <c r="M29" s="91">
        <f>_xlfn.IFNA(VLOOKUP(封面!B1,'2021决算导出'!A:BD,56,FALSE),"")</f>
        <v>0</v>
      </c>
      <c r="N29" s="91" t="s">
        <v>179</v>
      </c>
    </row>
    <row r="30" spans="1:14" ht="18" customHeight="1">
      <c r="A30" s="12" t="s">
        <v>237</v>
      </c>
      <c r="B30" s="88" t="s">
        <v>238</v>
      </c>
      <c r="C30" s="88"/>
      <c r="D30" s="88"/>
      <c r="E30" s="88"/>
      <c r="F30" s="88"/>
      <c r="G30" s="8">
        <f>_xlfn.IFNA(VLOOKUP(封面!B1,'2021决算导出'!A:BE,57,FALSE),"")</f>
        <v>0</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4" t="s">
        <v>474</v>
      </c>
      <c r="B35" s="84"/>
      <c r="C35" s="84"/>
      <c r="D35" s="84"/>
      <c r="E35" s="84"/>
      <c r="F35" s="84"/>
      <c r="G35" s="84"/>
      <c r="H35" s="84"/>
      <c r="I35" s="84"/>
      <c r="J35" s="84"/>
      <c r="K35" s="84"/>
      <c r="L35" s="84"/>
      <c r="M35" s="84"/>
      <c r="N35" s="84"/>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2022-08-30T03:30:27Z</dcterms:modified>
</cp:coreProperties>
</file>