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桌面\2021年决算公开\"/>
    </mc:Choice>
  </mc:AlternateContent>
  <workbookProtection workbookAlgorithmName="SHA-512" workbookHashValue="Wa06hbo8Lc9blfZz6DNogxK1bNQk1fr1hikPVkmFU2VExpD8+xt4s+Ud48KwYbdY9ceqgkyDpnCBYbc1ixnhew==" workbookSaltValue="mABmOdrGnF6EolEincFhwQ=="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83" i="5" l="1"/>
  <c r="E82" i="5"/>
  <c r="A32" i="6" l="1"/>
  <c r="G31" i="6"/>
  <c r="M30" i="6"/>
  <c r="C30" i="6"/>
  <c r="E28" i="6"/>
  <c r="E27" i="6"/>
  <c r="J26" i="6"/>
  <c r="D26" i="6"/>
  <c r="L25" i="6"/>
  <c r="E25" i="6"/>
  <c r="D21" i="6"/>
  <c r="I20" i="6"/>
  <c r="C20" i="6"/>
  <c r="L19" i="6"/>
  <c r="G19" i="6"/>
  <c r="L16" i="6"/>
  <c r="F16" i="6"/>
  <c r="D15" i="6"/>
  <c r="L12" i="6"/>
  <c r="F12" i="6"/>
  <c r="H11" i="6"/>
  <c r="C11" i="6"/>
  <c r="A5" i="6"/>
  <c r="F4" i="6"/>
  <c r="A3" i="6"/>
  <c r="F79" i="5"/>
  <c r="A77" i="5"/>
  <c r="J73" i="5"/>
  <c r="E73" i="5"/>
  <c r="J71" i="5"/>
  <c r="E71" i="5"/>
  <c r="J68" i="5"/>
  <c r="E68" i="5"/>
  <c r="J66" i="5"/>
  <c r="J61" i="5"/>
  <c r="E66" i="5"/>
  <c r="J63" i="5"/>
  <c r="E63" i="5"/>
  <c r="E61" i="5"/>
  <c r="E60" i="5"/>
  <c r="J57" i="5"/>
  <c r="E57" i="5"/>
  <c r="J55" i="5"/>
  <c r="E55" i="5"/>
  <c r="E54" i="5"/>
  <c r="E53"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7" i="5" l="1"/>
  <c r="G67" i="5" s="1"/>
  <c r="F69" i="5"/>
  <c r="B69" i="5"/>
  <c r="C69" i="5"/>
  <c r="G69" i="5" s="1"/>
  <c r="F67" i="5"/>
  <c r="B67" i="5"/>
  <c r="H10" i="5"/>
  <c r="K10" i="5" s="1"/>
  <c r="G10" i="5"/>
  <c r="G88" i="5"/>
  <c r="D80"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2" i="5" l="1"/>
  <c r="J49" i="5"/>
  <c r="E49" i="5"/>
  <c r="J46" i="5"/>
  <c r="E46" i="5"/>
  <c r="J43" i="5"/>
  <c r="E43" i="5"/>
  <c r="J41" i="5"/>
  <c r="E41" i="5"/>
  <c r="J39" i="5"/>
  <c r="E39" i="5"/>
  <c r="J36" i="5"/>
  <c r="E36" i="5"/>
  <c r="J34" i="5"/>
  <c r="E34" i="5"/>
  <c r="G40" i="5" l="1"/>
  <c r="G42" i="5"/>
  <c r="B74" i="5"/>
  <c r="F58" i="5"/>
  <c r="C62" i="5"/>
  <c r="G62" i="5" s="1"/>
  <c r="C72" i="5"/>
  <c r="G72" i="5" s="1"/>
  <c r="F35" i="5"/>
  <c r="F40" i="5"/>
  <c r="F44" i="5"/>
  <c r="F64" i="5"/>
  <c r="C74" i="5"/>
  <c r="G74" i="5" s="1"/>
  <c r="F74" i="5"/>
  <c r="F72" i="5"/>
  <c r="B72" i="5"/>
  <c r="B64" i="5"/>
  <c r="C64" i="5"/>
  <c r="G64" i="5" s="1"/>
  <c r="F62" i="5"/>
  <c r="B62" i="5"/>
  <c r="C58" i="5"/>
  <c r="G58" i="5" s="1"/>
  <c r="F37" i="5"/>
  <c r="F42" i="5"/>
  <c r="F47" i="5"/>
  <c r="F56" i="5"/>
  <c r="B58" i="5"/>
  <c r="B56" i="5"/>
  <c r="C56" i="5"/>
  <c r="G56" i="5" s="1"/>
  <c r="C42" i="5"/>
  <c r="C50" i="5"/>
  <c r="G50" i="5" s="1"/>
  <c r="C35" i="5"/>
  <c r="G35" i="5" s="1"/>
  <c r="B50" i="5"/>
  <c r="F50" i="5"/>
  <c r="B47" i="5"/>
  <c r="C47" i="5"/>
  <c r="G47" i="5" s="1"/>
  <c r="B44" i="5"/>
  <c r="C44" i="5"/>
  <c r="G44" i="5" s="1"/>
  <c r="B42" i="5"/>
  <c r="B40" i="5"/>
  <c r="C40" i="5"/>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<sst xmlns="http://schemas.openxmlformats.org/spreadsheetml/2006/main" count="4850" uniqueCount="490">
  <si>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</si>
  <si>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</si>
  <si>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</si>
  <si>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</si>
  <si>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</si>
  <si>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</si>
  <si>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</si>
  <si>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</si>
  <si>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</si>
  <si>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</si>
  <si>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</si>
  <si>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</si>
  <si>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</si>
  <si>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</si>
  <si>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</si>
  <si>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</si>
  <si>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</si>
  <si>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</si>
  <si>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</si>
  <si>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</si>
  <si>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</si>
  <si>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</si>
  <si>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</si>
  <si>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</si>
  <si>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</si>
  <si>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</si>
  <si>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</si>
  <si>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</si>
  <si>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</si>
  <si>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</si>
  <si>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</si>
  <si>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</si>
  <si>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</si>
  <si>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</si>
  <si>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</si>
  <si>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</si>
  <si>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</si>
  <si>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</si>
  <si>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</si>
  <si>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</si>
  <si>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</si>
  <si>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</si>
  <si>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</si>
  <si>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</si>
  <si>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</si>
  <si>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</si>
  <si>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</si>
  <si>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</si>
  <si>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</si>
  <si>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</si>
  <si>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</si>
  <si>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</si>
  <si>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</si>
  <si>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</si>
  <si>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</si>
  <si>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</si>
  <si>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</si>
  <si>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</si>
  <si>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</si>
  <si>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</si>
  <si>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</si>
  <si>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</si>
  <si>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</si>
  <si>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</si>
  <si>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</si>
  <si>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</si>
  <si>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</si>
  <si>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</si>
  <si>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</si>
  <si>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</si>
  <si>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</si>
  <si>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</si>
  <si>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</si>
  <si>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</si>
  <si>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</si>
  <si>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</si>
  <si>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</si>
  <si>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</si>
  <si>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</si>
  <si>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</si>
  <si>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</si>
  <si>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</si>
  <si>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</si>
  <si>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</si>
  <si>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</si>
  <si>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</si>
  <si>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</si>
  <si>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</si>
  <si>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</si>
  <si>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</si>
  <si>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</si>
  <si>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</si>
  <si>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</si>
  <si>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</si>
  <si>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</si>
  <si>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</si>
  <si>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</si>
  <si>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</si>
  <si>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</si>
  <si>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</si>
  <si>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</si>
  <si>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</si>
  <si>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</si>
  <si>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</si>
  <si>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</si>
  <si>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</si>
  <si>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</si>
  <si>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</si>
  <si>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</si>
  <si>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</si>
  <si>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</si>
  <si>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</si>
  <si>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</si>
  <si>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</si>
  <si>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</si>
  <si>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</si>
  <si>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</si>
  <si>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</si>
  <si>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</si>
  <si>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</si>
  <si>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</si>
  <si>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</si>
  <si>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</si>
  <si>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</si>
  <si>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</si>
  <si>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</si>
  <si>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</si>
  <si>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</si>
  <si>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</si>
  <si>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</si>
  <si>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</si>
  <si>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</si>
  <si>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</si>
  <si>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</si>
  <si>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</si>
  <si>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</si>
  <si>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</si>
  <si>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</si>
  <si>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</si>
  <si>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</si>
  <si>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</si>
  <si>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</si>
  <si>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</si>
  <si>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</si>
  <si>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</si>
  <si>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</si>
  <si>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</si>
  <si>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</si>
  <si>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</si>
  <si>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</si>
  <si>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</si>
  <si>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</si>
  <si>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</si>
  <si>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</si>
  <si>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</si>
  <si>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</si>
  <si>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</si>
  <si>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</si>
  <si>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</si>
  <si>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</si>
  <si>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</si>
  <si>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</si>
  <si>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</si>
  <si>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</si>
  <si>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</si>
  <si>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</si>
  <si>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</si>
  <si>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</si>
  <si>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</si>
  <si>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</si>
  <si>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</si>
  <si>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</si>
  <si>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</si>
  <si>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</si>
  <si>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</si>
  <si>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</si>
  <si>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</si>
  <si>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</si>
  <si>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</si>
  <si>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</si>
  <si>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</si>
  <si>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</si>
  <si>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</si>
  <si>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</si>
  <si>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</si>
  <si>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</si>
  <si>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</si>
  <si>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</si>
  <si>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</si>
  <si>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</si>
  <si>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</si>
  <si>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</si>
  <si>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</si>
  <si>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</si>
  <si>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</si>
  <si>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</si>
  <si>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</si>
  <si>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</si>
  <si>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</si>
  <si>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</si>
  <si>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</si>
  <si>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</si>
  <si>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</si>
  <si>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</si>
  <si>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</si>
  <si>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</si>
  <si>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</si>
  <si>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</si>
  <si>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</si>
  <si>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</si>
  <si>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</si>
  <si>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</si>
  <si>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</si>
  <si>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</si>
  <si>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</si>
  <si>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</si>
  <si>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</si>
  <si>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</si>
  <si>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</si>
  <si>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</si>
  <si>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</si>
  <si>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</si>
  <si>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</si>
  <si>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</si>
  <si>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</si>
  <si>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</si>
  <si>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</si>
  <si>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</si>
  <si>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</si>
  <si>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</si>
  <si>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</si>
  <si>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</si>
  <si>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</si>
  <si>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</si>
  <si>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</si>
  <si>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</si>
  <si>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</si>
  <si>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</si>
  <si>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</si>
  <si>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</si>
  <si>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</si>
  <si>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</si>
  <si>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</si>
  <si>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</si>
  <si>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</si>
  <si>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</si>
  <si>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</si>
  <si>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</si>
  <si>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</si>
  <si>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</si>
  <si>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</si>
  <si>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</si>
  <si>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</si>
  <si>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</si>
  <si>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</si>
  <si>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</si>
  <si>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</si>
  <si>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</si>
  <si>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</si>
  <si>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</si>
  <si>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</si>
  <si>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</si>
  <si>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</si>
  <si>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</si>
  <si>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</si>
  <si>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</si>
  <si>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</si>
  <si>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</si>
  <si>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</si>
  <si>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</si>
  <si>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</si>
  <si>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</si>
  <si>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</si>
  <si>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</si>
  <si>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</si>
  <si>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</si>
  <si>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</si>
  <si>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</si>
  <si>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</si>
  <si>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</si>
  <si>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</si>
  <si>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</si>
  <si>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</si>
  <si>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</si>
  <si>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</si>
  <si>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</si>
  <si>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</si>
  <si>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</si>
  <si>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</si>
  <si>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</si>
  <si>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</si>
  <si>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</si>
  <si>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</si>
  <si>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</si>
  <si>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</si>
  <si>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</si>
  <si>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</si>
  <si>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</si>
  <si>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</si>
  <si>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</si>
  <si>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</si>
  <si>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</si>
  <si>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</si>
  <si>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</si>
  <si>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</si>
  <si>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</si>
  <si>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</si>
  <si>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</si>
  <si>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</si>
  <si>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</si>
  <si>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</si>
  <si>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</si>
  <si>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</si>
  <si>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</si>
  <si>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</si>
  <si>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</si>
  <si>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</si>
  <si>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</si>
  <si>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</si>
  <si>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</si>
  <si>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</si>
  <si>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</si>
  <si>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</si>
  <si>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</si>
  <si>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</si>
  <si>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</si>
  <si>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</si>
  <si>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</si>
  <si>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</si>
  <si>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</si>
  <si>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</si>
  <si>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</si>
  <si>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</si>
  <si>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</si>
  <si>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</si>
  <si>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</si>
  <si>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</si>
  <si>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</si>
  <si>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</si>
  <si>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</si>
  <si>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</si>
  <si>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</si>
  <si>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</si>
  <si>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</si>
  <si>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</si>
  <si>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</si>
  <si>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</si>
  <si>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</si>
  <si>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</si>
  <si>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</si>
  <si>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</si>
  <si>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</si>
  <si>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</si>
  <si>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</si>
  <si>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</si>
  <si>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</si>
  <si>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</si>
  <si>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</si>
  <si>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</si>
  <si>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</si>
  <si>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</si>
  <si>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</si>
  <si>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</si>
  <si>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</si>
  <si>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</si>
  <si>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</si>
  <si>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</si>
  <si>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</si>
  <si>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</si>
  <si>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</si>
  <si>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</si>
  <si>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</si>
  <si>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</si>
  <si>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</si>
  <si>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</si>
  <si>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</si>
  <si>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</si>
  <si>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</si>
  <si>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</si>
  <si>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</si>
  <si>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</si>
  <si>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</si>
  <si>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</si>
  <si>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</si>
  <si>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</si>
  <si>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</si>
  <si>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</si>
  <si>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</si>
  <si>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</si>
  <si>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</si>
  <si>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</si>
  <si>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</si>
  <si>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</si>
  <si>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</si>
  <si>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</si>
  <si>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</si>
  <si>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</si>
  <si>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</si>
  <si>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</si>
  <si>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</si>
  <si>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</si>
  <si>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</si>
  <si>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</si>
  <si>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</si>
  <si>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</si>
  <si>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</si>
  <si>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</si>
  <si>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</si>
  <si>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</si>
  <si>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</si>
  <si>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</si>
  <si>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</si>
  <si>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</si>
  <si>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</si>
  <si>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</si>
  <si>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</si>
  <si>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</si>
  <si>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</si>
  <si>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</si>
  <si>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</si>
  <si>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</si>
  <si>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</si>
  <si>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</si>
  <si>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</si>
  <si>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</si>
  <si>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</si>
  <si>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</si>
  <si>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</si>
  <si>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</si>
  <si>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</si>
  <si>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</si>
  <si>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</si>
  <si>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</si>
  <si>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</si>
  <si>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</si>
  <si>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</si>
  <si>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</si>
  <si>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</si>
  <si>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</si>
  <si>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</si>
  <si>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</si>
  <si>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</si>
  <si>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</si>
  <si>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</si>
  <si>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</si>
  <si>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</si>
  <si>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</si>
  <si>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</si>
  <si>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</si>
  <si>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</si>
  <si>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</si>
  <si>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</si>
  <si>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</si>
  <si>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</si>
  <si>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</si>
  <si>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</si>
  <si>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</si>
  <si>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</si>
  <si>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</si>
  <si>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</si>
  <si>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</si>
  <si>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</si>
  <si>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</si>
  <si>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</si>
  <si>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</si>
  <si>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</si>
  <si>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</si>
  <si>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</si>
  <si>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</si>
  <si>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</si>
  <si>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</si>
  <si>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</si>
  <si>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</si>
  <si>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</si>
  <si>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</si>
  <si>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</si>
  <si>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1、城乡社区支出（类）2021年度决算</t>
    <phoneticPr fontId="4" type="noConversion"/>
  </si>
  <si>
    <t>国有土地使用权出让收入安排的支出（款）2021年度决算</t>
    <phoneticPr fontId="4" type="noConversion"/>
  </si>
  <si>
    <t xml:space="preserve">1、部门职能。
承担区教委所属单位校舍基建、修缮的前期规划和后期维修；负责校舍及教委产权教师宿舍的设备管理、维修及夏季防汛、绿化、冬季取暖工作；负责管理校舍房屋的产权、产籍工作；负责区教委所属单位教职工执行房改政策的落实；负责教育系统防灾减灾场所的建设，做好相关物资设备的配备和管理工作；负责推进学校后勤工作社会化；为学校师生生活、后勤保障提供服务；负责区教委所属单位非教育用房等国有资产的监管工作；负责区教委所属原校办企业历史遗留问题的处理。
2.机构人员情况。
基建管理中心共15个科室。分别为：行政科、校舍管理科、修缮科、基建科、预算科、规划科、房改办、住宅物业管理科、社会科、档案科、安全生产科、财务科、出租房腾退办公室、校办企业清理办公室、党办。
</t>
    <phoneticPr fontId="4" type="noConversion"/>
  </si>
  <si>
    <t>2021年我单位收入增加主要是基建项目增加，2021年新增14个基建项目，增加基建收入3.89亿。增加用于学校的操场改造经费5806万</t>
    <phoneticPr fontId="4" type="noConversion"/>
  </si>
  <si>
    <t>主要原因是基建项目资金增加</t>
    <phoneticPr fontId="4" type="noConversion"/>
  </si>
  <si>
    <t>主要原因是2021年未组织职工培训</t>
    <phoneticPr fontId="4" type="noConversion"/>
  </si>
  <si>
    <t>主要原因是修缮项目变化，收回项目经费</t>
    <phoneticPr fontId="4" type="noConversion"/>
  </si>
  <si>
    <t>主要原因是增加退休人员及去世人员经费</t>
    <phoneticPr fontId="4" type="noConversion"/>
  </si>
  <si>
    <t>主要原因是在职医疗保险缴费增加</t>
    <phoneticPr fontId="4" type="noConversion"/>
  </si>
  <si>
    <t>主要原因是收回2020年结转的161中学南校区基建工程款</t>
    <phoneticPr fontId="4" type="noConversion"/>
  </si>
  <si>
    <t>主要原因是无房补贴及住房公积金增加</t>
    <phoneticPr fontId="4" type="noConversion"/>
  </si>
  <si>
    <t>主要原因是用于基建项目征收补偿金</t>
    <phoneticPr fontId="4" type="noConversion"/>
  </si>
  <si>
    <t>主要原因是无公务车购置，用于公车运行费</t>
    <phoneticPr fontId="4" type="noConversion"/>
  </si>
  <si>
    <t>主要原因是租赁房屋租金的支付，租赁的房屋经过改造后用于缓解学位紧张。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</si>
</sst>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7" t="s">
        <v>0</v>
      </c>
      <c r="B1" s="28">
        <v>255181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北京市西城区教育委员会基建管理中心</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468</v>
      </c>
      <c r="T1" s="76" t="s">
        <v>469</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459</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460</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464</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464</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458</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458</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458</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458</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458</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458</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458</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458</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458</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458</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458</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464</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464</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459</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459</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459</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459</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459</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459</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460</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460</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460</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460</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460</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460</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464</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464</v>
      </c>
      <c r="B23" s="74">
        <v>2060499</v>
      </c>
      <c r="C23" s="74" t="s">
        <v>465</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466</v>
      </c>
      <c r="B34" s="74">
        <v>2120801</v>
      </c>
      <c r="C34" s="74" t="s">
        <v>465</v>
      </c>
      <c r="D34" s="74" t="s">
        <v>467</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F11" sqref="F1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F13" sqref="F13"/>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473</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1"/>
  <sheetViews>
    <sheetView tabSelected="1" zoomScaleNormal="100" workbookViewId="0">
      <selection activeCell="B38" sqref="B38:L3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9" t="s">
        <v>478</v>
      </c>
      <c r="B4" s="89"/>
      <c r="C4" s="89"/>
      <c r="D4" s="89"/>
      <c r="E4" s="89"/>
      <c r="F4" s="89"/>
      <c r="G4" s="89"/>
      <c r="H4" s="89"/>
      <c r="I4" s="89"/>
      <c r="J4" s="89"/>
      <c r="K4" s="89"/>
      <c r="L4" s="89"/>
      <c r="M4" s="89"/>
      <c r="N4" s="19"/>
    </row>
    <row r="5" spans="1:14" ht="18" customHeight="1">
      <c r="A5" s="7" t="s">
        <v>176</v>
      </c>
    </row>
    <row r="6" spans="1:14" ht="18" customHeight="1">
      <c r="A6" s="85" t="s">
        <v>245</v>
      </c>
      <c r="B6" s="85"/>
      <c r="C6" s="10">
        <v>115</v>
      </c>
      <c r="D6" s="10" t="s">
        <v>247</v>
      </c>
      <c r="E6" s="8">
        <f>_xlfn.IFNA(VLOOKUP(封面!B1,'2021决算导出'!A:C,3,FALSE),"")</f>
        <v>89</v>
      </c>
      <c r="F6" s="10" t="s">
        <v>248</v>
      </c>
      <c r="G6" s="10"/>
      <c r="H6" s="10"/>
      <c r="I6" s="10"/>
      <c r="J6" s="10"/>
      <c r="K6" s="10"/>
      <c r="L6" s="10"/>
      <c r="M6" s="10"/>
      <c r="N6" s="10"/>
    </row>
    <row r="7" spans="1:14" ht="18" customHeight="1">
      <c r="A7" s="6" t="s">
        <v>177</v>
      </c>
    </row>
    <row r="8" spans="1:14" ht="18" customHeight="1">
      <c r="A8" s="85" t="s">
        <v>416</v>
      </c>
      <c r="B8" s="85"/>
      <c r="C8" s="85"/>
      <c r="D8" s="14">
        <f>_xlfn.IFNA(VLOOKUP(封面!B1,'2021决算导出'!A:D,4,FALSE),"")</f>
        <v>1348207057.6700001</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459018102.92000008</v>
      </c>
      <c r="I8" s="16" t="s">
        <v>179</v>
      </c>
      <c r="J8" s="30" t="str">
        <f>IF(ISNA(VLOOKUP(封面!B1,'2020决算导出'!A:D,4,FALSE)),"",IF(D8-VLOOKUP(封面!B1,'2020决算导出'!A:D,4,FALSE)&gt;0,"增长","下降"))</f>
        <v>增长</v>
      </c>
      <c r="K8" s="31">
        <f>IF(ISNA(VLOOKUP(封面!B1,'2020决算导出'!A:D,4,FALSE)),"",H8/VLOOKUP(封面!B1,'2020决算导出'!A:D,4,FALSE))</f>
        <v>0.51622110291400924</v>
      </c>
      <c r="L8" s="7" t="s">
        <v>313</v>
      </c>
    </row>
    <row r="9" spans="1:14" ht="18" customHeight="1">
      <c r="A9" s="7" t="s">
        <v>180</v>
      </c>
      <c r="G9" s="32"/>
      <c r="H9" s="32"/>
      <c r="I9" s="32"/>
      <c r="J9" s="32"/>
      <c r="K9" s="32"/>
    </row>
    <row r="10" spans="1:14" ht="18" customHeight="1">
      <c r="A10" s="85" t="s">
        <v>417</v>
      </c>
      <c r="B10" s="85"/>
      <c r="C10" s="85"/>
      <c r="D10" s="14">
        <f>_xlfn.IFNA(VLOOKUP(封面!B1,'2021决算导出'!A:E,5,FALSE),"")</f>
        <v>1323424956.2</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434236001.45000005</v>
      </c>
      <c r="I10" s="16" t="s">
        <v>179</v>
      </c>
      <c r="J10" s="30" t="str">
        <f>IF(ISNA(VLOOKUP(封面!B1,'2020决算导出'!A:E,5,FALSE)),"",IF(D10-VLOOKUP(封面!B1,'2020决算导出'!A:E,5,FALSE)&gt;0,"增长","下降"))</f>
        <v>增长</v>
      </c>
      <c r="K10" s="31">
        <f>IF(ISNA(VLOOKUP(封面!B1,'2020决算导出'!A:E,5,FALSE)),"",H10/VLOOKUP(封面!B1,'2020决算导出'!A:E,5,FALSE))</f>
        <v>0.48835064710412163</v>
      </c>
      <c r="L10" s="7" t="s">
        <v>314</v>
      </c>
    </row>
    <row r="11" spans="1:14" ht="18" customHeight="1">
      <c r="A11" s="85" t="s">
        <v>181</v>
      </c>
      <c r="B11" s="85"/>
      <c r="C11" s="85"/>
      <c r="D11" s="14">
        <f>_xlfn.IFNA(VLOOKUP(封面!B1,'2021决算导出'!A:F,6,FALSE),"")</f>
        <v>1323413554.75</v>
      </c>
      <c r="E11" s="7" t="s">
        <v>179</v>
      </c>
      <c r="F11" s="85" t="s">
        <v>182</v>
      </c>
      <c r="G11" s="85"/>
      <c r="H11" s="29">
        <f>D11/$D$10</f>
        <v>0.99999138489118966</v>
      </c>
      <c r="I11" s="7" t="s">
        <v>315</v>
      </c>
    </row>
    <row r="12" spans="1:14" ht="18" customHeight="1">
      <c r="A12" s="85" t="s">
        <v>184</v>
      </c>
      <c r="B12" s="85"/>
      <c r="C12" s="85"/>
      <c r="D12" s="14">
        <f>_xlfn.IFNA(VLOOKUP(封面!B1,'2021决算导出'!A:G,7,FALSE),"")</f>
        <v>0</v>
      </c>
      <c r="E12" s="7" t="s">
        <v>179</v>
      </c>
      <c r="F12" s="85" t="s">
        <v>182</v>
      </c>
      <c r="G12" s="85"/>
      <c r="H12" s="29">
        <f t="shared" ref="H12:H15" si="0">D12/$D$10</f>
        <v>0</v>
      </c>
      <c r="I12" s="7" t="s">
        <v>315</v>
      </c>
    </row>
    <row r="13" spans="1:14" ht="18" customHeight="1">
      <c r="A13" s="85" t="s">
        <v>185</v>
      </c>
      <c r="B13" s="85"/>
      <c r="C13" s="85"/>
      <c r="D13" s="14">
        <f>_xlfn.IFNA(VLOOKUP(封面!B1,'2021决算导出'!A:H,8,FALSE),"")</f>
        <v>0</v>
      </c>
      <c r="E13" s="7" t="s">
        <v>179</v>
      </c>
      <c r="F13" s="85" t="s">
        <v>182</v>
      </c>
      <c r="G13" s="85"/>
      <c r="H13" s="29">
        <f t="shared" si="0"/>
        <v>0</v>
      </c>
      <c r="I13" s="7" t="s">
        <v>315</v>
      </c>
    </row>
    <row r="14" spans="1:14" ht="18" customHeight="1">
      <c r="A14" s="85" t="s">
        <v>186</v>
      </c>
      <c r="B14" s="85"/>
      <c r="C14" s="85"/>
      <c r="D14" s="14">
        <f>_xlfn.IFNA(VLOOKUP(封面!B1,'2021决算导出'!A:I,9,FALSE),"")</f>
        <v>0</v>
      </c>
      <c r="E14" s="7" t="s">
        <v>179</v>
      </c>
      <c r="F14" s="85" t="s">
        <v>182</v>
      </c>
      <c r="G14" s="85"/>
      <c r="H14" s="29">
        <f t="shared" si="0"/>
        <v>0</v>
      </c>
      <c r="I14" s="7" t="s">
        <v>315</v>
      </c>
    </row>
    <row r="15" spans="1:14" ht="18" customHeight="1">
      <c r="A15" s="85" t="s">
        <v>187</v>
      </c>
      <c r="B15" s="85"/>
      <c r="C15" s="85"/>
      <c r="D15" s="14">
        <f>_xlfn.IFNA(VLOOKUP(封面!B1,'2021决算导出'!A:J,10,FALSE),"")</f>
        <v>11401.45</v>
      </c>
      <c r="E15" s="7" t="s">
        <v>179</v>
      </c>
      <c r="F15" s="85" t="s">
        <v>182</v>
      </c>
      <c r="G15" s="85"/>
      <c r="H15" s="29">
        <f t="shared" si="0"/>
        <v>8.615108810353263E-6</v>
      </c>
      <c r="I15" s="7" t="s">
        <v>316</v>
      </c>
    </row>
    <row r="16" spans="1:14" ht="18" customHeight="1">
      <c r="A16" s="7" t="s">
        <v>188</v>
      </c>
    </row>
    <row r="17" spans="1:13" ht="18" customHeight="1">
      <c r="A17" s="85" t="s">
        <v>418</v>
      </c>
      <c r="B17" s="85"/>
      <c r="C17" s="85"/>
      <c r="D17" s="14">
        <f>_xlfn.IFNA(VLOOKUP(封面!B1,'2021决算导出'!A:K,11,FALSE),"")</f>
        <v>1292437013.6700001</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452171615.80000007</v>
      </c>
      <c r="I17" s="7" t="s">
        <v>179</v>
      </c>
      <c r="J17" s="30" t="str">
        <f>IF(ISNA(VLOOKUP(封面!B1,'2020决算导出'!A:K,11,FALSE)),"",IF(D17-VLOOKUP(封面!B1,'2020决算导出'!A:K,11,FALSE)&gt;0,"增长","下降"))</f>
        <v>增长</v>
      </c>
      <c r="K17" s="31">
        <f>IF(ISNA(VLOOKUP(封面!B1,'2020决算导出'!A:K,11,FALSE)),"",H17/VLOOKUP(封面!B1,'2020决算导出'!A:K,11,FALSE))</f>
        <v>0.53812952068027076</v>
      </c>
      <c r="L17" s="7" t="s">
        <v>317</v>
      </c>
    </row>
    <row r="18" spans="1:13" ht="18" customHeight="1">
      <c r="A18" s="85" t="s">
        <v>189</v>
      </c>
      <c r="B18" s="85"/>
      <c r="C18" s="85"/>
      <c r="D18" s="14">
        <f>_xlfn.IFNA(VLOOKUP(封面!B1,'2021决算导出'!A:L,12,FALSE),"")</f>
        <v>33977078.509999998</v>
      </c>
      <c r="E18" s="7" t="s">
        <v>179</v>
      </c>
      <c r="F18" s="85" t="s">
        <v>190</v>
      </c>
      <c r="G18" s="85"/>
      <c r="H18" s="29">
        <f>D18/$D$17</f>
        <v>2.6289156183726736E-2</v>
      </c>
      <c r="I18" s="7" t="s">
        <v>315</v>
      </c>
    </row>
    <row r="19" spans="1:13" ht="18" customHeight="1">
      <c r="A19" s="85" t="s">
        <v>191</v>
      </c>
      <c r="B19" s="85"/>
      <c r="C19" s="85"/>
      <c r="D19" s="14">
        <f>_xlfn.IFNA(VLOOKUP(封面!B1,'2021决算导出'!A:M,13,FALSE),"")</f>
        <v>1258459935.1600001</v>
      </c>
      <c r="E19" s="7" t="s">
        <v>179</v>
      </c>
      <c r="F19" s="85" t="s">
        <v>190</v>
      </c>
      <c r="G19" s="85"/>
      <c r="H19" s="29">
        <f t="shared" ref="H19:H20" si="1">D19/$D$17</f>
        <v>0.97371084381627326</v>
      </c>
      <c r="I19" s="7" t="s">
        <v>315</v>
      </c>
    </row>
    <row r="20" spans="1:13" ht="18" customHeight="1">
      <c r="A20" s="85" t="s">
        <v>192</v>
      </c>
      <c r="B20" s="85"/>
      <c r="C20" s="85"/>
      <c r="D20" s="14">
        <f>_xlfn.IFNA(VLOOKUP(封面!B1,'2021决算导出'!A:N,14,FALSE),"")</f>
        <v>0</v>
      </c>
      <c r="E20" s="7" t="s">
        <v>179</v>
      </c>
      <c r="F20" s="85" t="s">
        <v>190</v>
      </c>
      <c r="G20" s="85"/>
      <c r="H20" s="29">
        <f t="shared" si="1"/>
        <v>0</v>
      </c>
      <c r="I20" s="7" t="s">
        <v>316</v>
      </c>
    </row>
    <row r="21" spans="1:13" ht="18" customHeight="1">
      <c r="A21" s="6" t="s">
        <v>193</v>
      </c>
    </row>
    <row r="22" spans="1:13" ht="18" customHeight="1">
      <c r="A22" s="85" t="s">
        <v>419</v>
      </c>
      <c r="B22" s="85"/>
      <c r="C22" s="85"/>
      <c r="D22" s="85"/>
      <c r="E22" s="83">
        <f>_xlfn.IFNA(VLOOKUP(封面!B1,'2021决算导出'!A:O,15,FALSE),"")</f>
        <v>1348139668.22</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472324767.76999998</v>
      </c>
      <c r="J22" s="7" t="s">
        <v>179</v>
      </c>
      <c r="K22" s="30" t="str">
        <f>IF(ISNA(VLOOKUP(封面!B1,'2020决算导出'!A:O,15,FALSE)),"",IF(E22-VLOOKUP(封面!B1,'2020决算导出'!A:O,15,FALSE)&gt;0,"增长","下降"))</f>
        <v>增长</v>
      </c>
      <c r="L22" s="31">
        <f>IF(ISNA(VLOOKUP(封面!B1,'2020决算导出'!A:O,15,FALSE)),"",I22/VLOOKUP(封面!B1,'2020决算导出'!A:O,15,FALSE))</f>
        <v>0.53929747887061075</v>
      </c>
      <c r="M22" s="7" t="s">
        <v>313</v>
      </c>
    </row>
    <row r="23" spans="1:13" ht="63.6" customHeight="1">
      <c r="B23" s="86" t="s">
        <v>479</v>
      </c>
      <c r="C23" s="86"/>
      <c r="D23" s="86"/>
      <c r="E23" s="86"/>
      <c r="F23" s="86"/>
      <c r="G23" s="86"/>
      <c r="H23" s="86"/>
      <c r="I23" s="86"/>
      <c r="J23" s="86"/>
      <c r="K23" s="86"/>
      <c r="L23" s="86"/>
      <c r="M23" s="86"/>
    </row>
    <row r="24" spans="1:13" ht="18" customHeight="1">
      <c r="A24" s="6" t="s">
        <v>194</v>
      </c>
    </row>
    <row r="25" spans="1:13" ht="18" customHeight="1">
      <c r="A25" s="7" t="s">
        <v>195</v>
      </c>
    </row>
    <row r="26" spans="1:13" ht="18" customHeight="1">
      <c r="A26" s="85" t="s">
        <v>420</v>
      </c>
      <c r="B26" s="85"/>
      <c r="C26" s="85"/>
      <c r="D26" s="85"/>
      <c r="E26" s="85"/>
      <c r="F26" s="83">
        <f>_xlfn.IFNA(VLOOKUP(封面!B1,'2021决算导出'!A:P,16,FALSE),"")</f>
        <v>1242625007.1199999</v>
      </c>
      <c r="G26" s="83"/>
      <c r="H26" s="7" t="s">
        <v>179</v>
      </c>
      <c r="I26" s="10" t="s">
        <v>196</v>
      </c>
      <c r="J26" s="10"/>
      <c r="K26" s="10"/>
      <c r="L26" s="10"/>
      <c r="M26" s="10"/>
    </row>
    <row r="27" spans="1:13" ht="18" customHeight="1">
      <c r="A27" s="85" t="s">
        <v>199</v>
      </c>
      <c r="B27" s="85"/>
      <c r="C27" s="85"/>
      <c r="D27" s="83">
        <f>_xlfn.IFNA(VLOOKUP(封面!B1,'2021决算导出'!A:Q,17,FALSE),"")</f>
        <v>1214372551.75</v>
      </c>
      <c r="E27" s="83"/>
      <c r="F27" s="7" t="s">
        <v>179</v>
      </c>
      <c r="G27" s="87" t="s">
        <v>198</v>
      </c>
      <c r="H27" s="87"/>
      <c r="I27" s="29">
        <f>D27/$F$26</f>
        <v>0.97726389280103099</v>
      </c>
      <c r="J27" s="7" t="s">
        <v>315</v>
      </c>
      <c r="K27" s="9"/>
      <c r="L27" s="9"/>
      <c r="M27" s="9"/>
    </row>
    <row r="28" spans="1:13" ht="18" customHeight="1">
      <c r="A28" s="85" t="s">
        <v>200</v>
      </c>
      <c r="B28" s="85"/>
      <c r="C28" s="85"/>
      <c r="D28" s="83">
        <f>_xlfn.IFNA(VLOOKUP(封面!B1,'2021决算导出'!A:R,18,FALSE),"")</f>
        <v>0</v>
      </c>
      <c r="E28" s="83"/>
      <c r="F28" s="7" t="s">
        <v>179</v>
      </c>
      <c r="G28" s="87" t="s">
        <v>198</v>
      </c>
      <c r="H28" s="87"/>
      <c r="I28" s="29">
        <f t="shared" ref="I28:I32" si="2">D28/$F$26</f>
        <v>0</v>
      </c>
      <c r="J28" s="7" t="s">
        <v>315</v>
      </c>
      <c r="K28" s="9"/>
      <c r="L28" s="9"/>
      <c r="M28" s="9"/>
    </row>
    <row r="29" spans="1:13" ht="18" customHeight="1">
      <c r="A29" s="85" t="s">
        <v>197</v>
      </c>
      <c r="B29" s="85"/>
      <c r="C29" s="85"/>
      <c r="D29" s="83">
        <f>_xlfn.IFNA(VLOOKUP(封面!B1,'2021决算导出'!A:S,19,FALSE),"")</f>
        <v>6078094.8300000001</v>
      </c>
      <c r="E29" s="83"/>
      <c r="F29" s="7" t="s">
        <v>179</v>
      </c>
      <c r="G29" s="87" t="s">
        <v>198</v>
      </c>
      <c r="H29" s="87"/>
      <c r="I29" s="29">
        <f t="shared" si="2"/>
        <v>4.8913347109334655E-3</v>
      </c>
      <c r="J29" s="7" t="s">
        <v>315</v>
      </c>
    </row>
    <row r="30" spans="1:13" ht="18" customHeight="1">
      <c r="A30" s="85" t="s">
        <v>201</v>
      </c>
      <c r="B30" s="85"/>
      <c r="C30" s="85"/>
      <c r="D30" s="83">
        <f>_xlfn.IFNA(VLOOKUP(封面!B1,'2021决算导出'!A:T,20,FALSE),"")</f>
        <v>2498824.06</v>
      </c>
      <c r="E30" s="83"/>
      <c r="F30" s="7" t="s">
        <v>179</v>
      </c>
      <c r="G30" s="87" t="s">
        <v>198</v>
      </c>
      <c r="H30" s="87"/>
      <c r="I30" s="29">
        <f t="shared" si="2"/>
        <v>2.0109236862949189E-3</v>
      </c>
      <c r="J30" s="7" t="s">
        <v>315</v>
      </c>
    </row>
    <row r="31" spans="1:13" ht="18" customHeight="1">
      <c r="A31" s="85" t="s">
        <v>202</v>
      </c>
      <c r="B31" s="85"/>
      <c r="C31" s="85"/>
      <c r="D31" s="83">
        <f>_xlfn.IFNA(VLOOKUP(封面!B1,'2021决算导出'!A:U,21,FALSE),"")</f>
        <v>15487245.48</v>
      </c>
      <c r="E31" s="83"/>
      <c r="F31" s="7" t="s">
        <v>179</v>
      </c>
      <c r="G31" s="87" t="s">
        <v>198</v>
      </c>
      <c r="H31" s="87"/>
      <c r="I31" s="29">
        <f t="shared" si="2"/>
        <v>1.2463329959771527E-2</v>
      </c>
      <c r="J31" s="7" t="s">
        <v>315</v>
      </c>
    </row>
    <row r="32" spans="1:13" ht="18" customHeight="1">
      <c r="A32" s="85" t="s">
        <v>203</v>
      </c>
      <c r="B32" s="85"/>
      <c r="C32" s="85"/>
      <c r="D32" s="83">
        <f>_xlfn.IFNA(VLOOKUP(封面!B1,'2021决算导出'!A:V,22,FALSE),"")</f>
        <v>4188291</v>
      </c>
      <c r="E32" s="83"/>
      <c r="F32" s="7" t="s">
        <v>179</v>
      </c>
      <c r="G32" s="87" t="s">
        <v>198</v>
      </c>
      <c r="H32" s="87"/>
      <c r="I32" s="29">
        <f t="shared" si="2"/>
        <v>3.3705188419691431E-3</v>
      </c>
      <c r="J32" s="7" t="s">
        <v>315</v>
      </c>
    </row>
    <row r="33" spans="1:12" ht="18" customHeight="1">
      <c r="A33" s="7" t="s">
        <v>204</v>
      </c>
    </row>
    <row r="34" spans="1:12" ht="18" customHeight="1">
      <c r="A34" s="88" t="s">
        <v>421</v>
      </c>
      <c r="B34" s="88"/>
      <c r="C34" s="88"/>
      <c r="D34" s="88"/>
      <c r="E34" s="83">
        <f>_xlfn.IFNA(VLOOKUP(封面!B1,一般公共预算财政拨款支出决算具体情况!A:C,3,FALSE),"")</f>
        <v>1214372551.75</v>
      </c>
      <c r="F34" s="83"/>
      <c r="G34" s="7" t="s">
        <v>179</v>
      </c>
      <c r="H34" s="87" t="s">
        <v>422</v>
      </c>
      <c r="I34" s="87"/>
      <c r="J34" s="83">
        <f>_xlfn.IFNA(VLOOKUP(封面!B1,一般公共预算财政拨款支出决算具体情况!A:D,4,FALSE),"")</f>
        <v>740649992.41000009</v>
      </c>
      <c r="K34" s="83"/>
      <c r="L34" s="11" t="s">
        <v>178</v>
      </c>
    </row>
    <row r="35" spans="1:12" ht="18" customHeight="1">
      <c r="B35" s="15" t="str">
        <f>IF(E34&gt;J34,"增加","减少")</f>
        <v>增加</v>
      </c>
      <c r="C35" s="83">
        <f>ABS(E34-J34)</f>
        <v>473722559.33999991</v>
      </c>
      <c r="D35" s="83"/>
      <c r="E35" s="7" t="s">
        <v>179</v>
      </c>
      <c r="F35" s="15" t="str">
        <f>IF(E34&gt;J34,"增长","下降")</f>
        <v>增长</v>
      </c>
      <c r="G35" s="34">
        <f>IF(J34=0,IF(E34&gt;0,1,""),C35/J34)</f>
        <v>0.63960381312980863</v>
      </c>
      <c r="H35" s="7" t="s">
        <v>316</v>
      </c>
      <c r="I35" s="11" t="s">
        <v>205</v>
      </c>
    </row>
    <row r="36" spans="1:12" ht="18" customHeight="1">
      <c r="A36" s="85" t="s">
        <v>423</v>
      </c>
      <c r="B36" s="85"/>
      <c r="C36" s="85"/>
      <c r="D36" s="85"/>
      <c r="E36" s="83">
        <f>_xlfn.IFNA(VLOOKUP(封面!B1,一般公共预算财政拨款支出决算具体情况!A:E,5,FALSE),"")</f>
        <v>1142082279.4299998</v>
      </c>
      <c r="F36" s="83"/>
      <c r="G36" s="7" t="s">
        <v>179</v>
      </c>
      <c r="H36" s="87" t="s">
        <v>422</v>
      </c>
      <c r="I36" s="87"/>
      <c r="J36" s="83">
        <f>_xlfn.IFNA(VLOOKUP(封面!B1,一般公共预算财政拨款支出决算具体情况!A:F,6,FALSE),"")</f>
        <v>655420112.41000009</v>
      </c>
      <c r="K36" s="83"/>
      <c r="L36" s="11" t="s">
        <v>178</v>
      </c>
    </row>
    <row r="37" spans="1:12" ht="18" customHeight="1">
      <c r="A37" s="15"/>
      <c r="B37" s="15" t="str">
        <f>IF(E36&gt;J36,"增加","减少")</f>
        <v>增加</v>
      </c>
      <c r="C37" s="83">
        <f>ABS(E36-J36)</f>
        <v>486662167.01999974</v>
      </c>
      <c r="D37" s="83"/>
      <c r="E37" s="7" t="s">
        <v>179</v>
      </c>
      <c r="F37" s="15" t="str">
        <f>IF(E36&gt;J36,"增长","下降")</f>
        <v>增长</v>
      </c>
      <c r="G37" s="34">
        <f>IF(J36=0,IF(E36&gt;0,1,""),C37/J36)</f>
        <v>0.74251942808182658</v>
      </c>
      <c r="H37" s="7" t="s">
        <v>316</v>
      </c>
    </row>
    <row r="38" spans="1:12" ht="36" customHeight="1">
      <c r="B38" s="89" t="s">
        <v>480</v>
      </c>
      <c r="C38" s="89"/>
      <c r="D38" s="89"/>
      <c r="E38" s="89"/>
      <c r="F38" s="89"/>
      <c r="G38" s="89"/>
      <c r="H38" s="89"/>
      <c r="I38" s="89"/>
      <c r="J38" s="89"/>
      <c r="K38" s="89"/>
      <c r="L38" s="89"/>
    </row>
    <row r="39" spans="1:12" ht="18" customHeight="1">
      <c r="A39" s="85" t="s">
        <v>424</v>
      </c>
      <c r="B39" s="85"/>
      <c r="C39" s="85"/>
      <c r="D39" s="85"/>
      <c r="E39" s="83">
        <f>_xlfn.IFNA(VLOOKUP(封面!B1,一般公共预算财政拨款支出决算具体情况!A:G,7,FALSE),"")</f>
        <v>0</v>
      </c>
      <c r="F39" s="83"/>
      <c r="G39" s="7" t="s">
        <v>179</v>
      </c>
      <c r="H39" s="87" t="s">
        <v>422</v>
      </c>
      <c r="I39" s="87"/>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5" t="s">
        <v>425</v>
      </c>
      <c r="B41" s="85"/>
      <c r="C41" s="85"/>
      <c r="D41" s="85"/>
      <c r="E41" s="83">
        <f>_xlfn.IFNA(VLOOKUP(封面!B1,一般公共预算财政拨款支出决算具体情况!A:I,9,FALSE),"")</f>
        <v>0</v>
      </c>
      <c r="F41" s="83"/>
      <c r="G41" s="7" t="s">
        <v>179</v>
      </c>
      <c r="H41" s="87" t="s">
        <v>422</v>
      </c>
      <c r="I41" s="87"/>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5" t="s">
        <v>426</v>
      </c>
      <c r="B43" s="85"/>
      <c r="C43" s="85"/>
      <c r="D43" s="85"/>
      <c r="E43" s="83">
        <f>_xlfn.IFNA(VLOOKUP(封面!B1,一般公共预算财政拨款支出决算具体情况!A:K,11,FALSE),"")</f>
        <v>207228.15</v>
      </c>
      <c r="F43" s="83"/>
      <c r="G43" s="7" t="s">
        <v>179</v>
      </c>
      <c r="H43" s="87" t="s">
        <v>422</v>
      </c>
      <c r="I43" s="87"/>
      <c r="J43" s="83">
        <f>_xlfn.IFNA(VLOOKUP(封面!B1,一般公共预算财政拨款支出决算具体情况!A:L,12,FALSE),"")</f>
        <v>0</v>
      </c>
      <c r="K43" s="83"/>
      <c r="L43" s="11" t="s">
        <v>178</v>
      </c>
    </row>
    <row r="44" spans="1:12" ht="18" customHeight="1">
      <c r="A44" s="15"/>
      <c r="B44" s="15" t="str">
        <f>IF(E43&gt;J43,"增加","减少")</f>
        <v>增加</v>
      </c>
      <c r="C44" s="83">
        <f>ABS(E43-J43)</f>
        <v>207228.15</v>
      </c>
      <c r="D44" s="83"/>
      <c r="E44" s="7" t="s">
        <v>179</v>
      </c>
      <c r="F44" s="15" t="str">
        <f>IF(E43&gt;J43,"增长","下降")</f>
        <v>增长</v>
      </c>
      <c r="G44" s="34">
        <f>IF(J43=0,IF(E43&gt;0,1,""),C44/J43)</f>
        <v>1</v>
      </c>
      <c r="H44" s="7" t="s">
        <v>316</v>
      </c>
    </row>
    <row r="45" spans="1:12" ht="36" customHeight="1">
      <c r="B45" s="89" t="s">
        <v>489</v>
      </c>
      <c r="C45" s="89"/>
      <c r="D45" s="89"/>
      <c r="E45" s="89"/>
      <c r="F45" s="89"/>
      <c r="G45" s="89"/>
      <c r="H45" s="89"/>
      <c r="I45" s="89"/>
      <c r="J45" s="89"/>
      <c r="K45" s="89"/>
      <c r="L45" s="89"/>
    </row>
    <row r="46" spans="1:12" ht="18" customHeight="1">
      <c r="A46" s="85" t="s">
        <v>427</v>
      </c>
      <c r="B46" s="85"/>
      <c r="C46" s="85"/>
      <c r="D46" s="85"/>
      <c r="E46" s="83">
        <f>_xlfn.IFNA(VLOOKUP(封面!B1,一般公共预算财政拨款支出决算具体情况!A:M,13,FALSE),"")</f>
        <v>0</v>
      </c>
      <c r="F46" s="83"/>
      <c r="G46" s="7" t="s">
        <v>179</v>
      </c>
      <c r="H46" s="87" t="s">
        <v>422</v>
      </c>
      <c r="I46" s="87"/>
      <c r="J46" s="83">
        <f>_xlfn.IFNA(VLOOKUP(封面!B1,一般公共预算财政拨款支出决算具体情况!A:N,14,FALSE),"")</f>
        <v>61880</v>
      </c>
      <c r="K46" s="83"/>
      <c r="L46" s="11" t="s">
        <v>178</v>
      </c>
    </row>
    <row r="47" spans="1:12" ht="18" customHeight="1">
      <c r="A47" s="15"/>
      <c r="B47" s="15" t="str">
        <f>IF(E46&gt;J46,"增加","减少")</f>
        <v>减少</v>
      </c>
      <c r="C47" s="83">
        <f>ABS(E46-J46)</f>
        <v>61880</v>
      </c>
      <c r="D47" s="83"/>
      <c r="E47" s="7" t="s">
        <v>179</v>
      </c>
      <c r="F47" s="15" t="str">
        <f>IF(E46&gt;J46,"增长","下降")</f>
        <v>下降</v>
      </c>
      <c r="G47" s="34">
        <f>IF(J46=0,IF(E46&gt;0,1,""),C47/J46)</f>
        <v>1</v>
      </c>
      <c r="H47" s="7" t="s">
        <v>316</v>
      </c>
    </row>
    <row r="48" spans="1:12" ht="36" customHeight="1">
      <c r="B48" s="89" t="s">
        <v>481</v>
      </c>
      <c r="C48" s="89"/>
      <c r="D48" s="89"/>
      <c r="E48" s="89"/>
      <c r="F48" s="89"/>
      <c r="G48" s="89"/>
      <c r="H48" s="89"/>
      <c r="I48" s="89"/>
      <c r="J48" s="89"/>
      <c r="K48" s="89"/>
      <c r="L48" s="89"/>
    </row>
    <row r="49" spans="1:12" ht="18" customHeight="1">
      <c r="A49" s="84" t="s">
        <v>428</v>
      </c>
      <c r="B49" s="84"/>
      <c r="C49" s="84"/>
      <c r="D49" s="84"/>
      <c r="E49" s="83">
        <f>_xlfn.IFNA(VLOOKUP(封面!B1,一般公共预算财政拨款支出决算具体情况!A:O,15,FALSE),"")</f>
        <v>72083044.170000002</v>
      </c>
      <c r="F49" s="83"/>
      <c r="G49" s="7" t="s">
        <v>179</v>
      </c>
      <c r="H49" s="87" t="s">
        <v>422</v>
      </c>
      <c r="I49" s="87"/>
      <c r="J49" s="83">
        <f>_xlfn.IFNA(VLOOKUP(封面!B1,一般公共预算财政拨款支出决算具体情况!A:P,16,FALSE),"")</f>
        <v>85168000</v>
      </c>
      <c r="K49" s="83"/>
      <c r="L49" s="11" t="s">
        <v>178</v>
      </c>
    </row>
    <row r="50" spans="1:12" ht="18" customHeight="1">
      <c r="A50" s="15"/>
      <c r="B50" s="15" t="str">
        <f>IF(E49&gt;J49,"增加","减少")</f>
        <v>减少</v>
      </c>
      <c r="C50" s="83">
        <f>ABS(E49-J49)</f>
        <v>13084955.829999998</v>
      </c>
      <c r="D50" s="83"/>
      <c r="E50" s="7" t="s">
        <v>179</v>
      </c>
      <c r="F50" s="15" t="str">
        <f>IF(E49&gt;J49,"增长","下降")</f>
        <v>下降</v>
      </c>
      <c r="G50" s="34">
        <f>IF(J49=0,IF(E49&gt;0,1,""),C50/J49)</f>
        <v>0.15363699781608114</v>
      </c>
      <c r="H50" s="7" t="s">
        <v>316</v>
      </c>
    </row>
    <row r="51" spans="1:12" ht="36" customHeight="1">
      <c r="B51" s="89" t="s">
        <v>482</v>
      </c>
      <c r="C51" s="89"/>
      <c r="D51" s="89"/>
      <c r="E51" s="89"/>
      <c r="F51" s="89"/>
      <c r="G51" s="89"/>
      <c r="H51" s="89"/>
      <c r="I51" s="89"/>
      <c r="J51" s="89"/>
      <c r="K51" s="89"/>
      <c r="L51" s="89"/>
    </row>
    <row r="52" spans="1:12" ht="18" customHeight="1">
      <c r="A52" s="90" t="s">
        <v>429</v>
      </c>
      <c r="B52" s="90"/>
      <c r="C52" s="90"/>
      <c r="D52" s="90"/>
      <c r="E52" s="83">
        <f>_xlfn.IFNA(VLOOKUP(封面!B1,一般公共预算财政拨款支出决算具体情况!A:Q,17,FALSE),"")</f>
        <v>0</v>
      </c>
      <c r="F52" s="83"/>
      <c r="G52" s="7" t="s">
        <v>179</v>
      </c>
      <c r="H52" s="88" t="s">
        <v>430</v>
      </c>
      <c r="I52" s="88"/>
      <c r="J52" s="88"/>
      <c r="K52" s="88"/>
      <c r="L52" s="11"/>
    </row>
    <row r="53" spans="1:12" ht="18" customHeight="1">
      <c r="A53" s="84" t="s">
        <v>470</v>
      </c>
      <c r="B53" s="84"/>
      <c r="C53" s="84"/>
      <c r="D53" s="84"/>
      <c r="E53" s="83">
        <f>_xlfn.IFNA(VLOOKUP(封面!B1,一般公共预算财政拨款支出决算具体情况!A:S,19,FALSE),"")</f>
        <v>0</v>
      </c>
      <c r="F53" s="83"/>
      <c r="G53" s="7" t="s">
        <v>179</v>
      </c>
      <c r="H53" s="88" t="s">
        <v>432</v>
      </c>
      <c r="I53" s="88"/>
      <c r="J53" s="88"/>
      <c r="K53" s="88"/>
      <c r="L53" s="11"/>
    </row>
    <row r="54" spans="1:12" ht="18" customHeight="1">
      <c r="A54" s="85" t="s">
        <v>431</v>
      </c>
      <c r="B54" s="85"/>
      <c r="C54" s="85"/>
      <c r="D54" s="85"/>
      <c r="E54" s="83">
        <f>_xlfn.IFNA(VLOOKUP(封面!B1,一般公共预算财政拨款支出决算具体情况!A:U,21,FALSE),"")</f>
        <v>0</v>
      </c>
      <c r="F54" s="83"/>
      <c r="G54" s="7" t="s">
        <v>179</v>
      </c>
      <c r="H54" s="88" t="s">
        <v>432</v>
      </c>
      <c r="I54" s="88"/>
      <c r="J54" s="88"/>
      <c r="K54" s="88"/>
      <c r="L54" s="11"/>
    </row>
    <row r="55" spans="1:12" ht="18" customHeight="1">
      <c r="A55" s="90" t="s">
        <v>433</v>
      </c>
      <c r="B55" s="90"/>
      <c r="C55" s="90"/>
      <c r="D55" s="90"/>
      <c r="E55" s="83">
        <f>_xlfn.IFNA(VLOOKUP(封面!B1,一般公共预算财政拨款支出决算具体情况!A:W,23,FALSE),"")</f>
        <v>6078094.8300000001</v>
      </c>
      <c r="F55" s="83"/>
      <c r="G55" s="7" t="s">
        <v>179</v>
      </c>
      <c r="H55" s="87" t="s">
        <v>422</v>
      </c>
      <c r="I55" s="87"/>
      <c r="J55" s="83">
        <f>_xlfn.IFNA(VLOOKUP(封面!B1,一般公共预算财政拨款支出决算具体情况!A:X,24,FALSE),"")</f>
        <v>5945766.669999999</v>
      </c>
      <c r="K55" s="83"/>
      <c r="L55" s="11" t="s">
        <v>178</v>
      </c>
    </row>
    <row r="56" spans="1:12" ht="18" customHeight="1">
      <c r="B56" s="15" t="str">
        <f>IF(E55&gt;J55,"增加","减少")</f>
        <v>增加</v>
      </c>
      <c r="C56" s="83">
        <f>ABS(E55-J55)</f>
        <v>132328.16000000108</v>
      </c>
      <c r="D56" s="83"/>
      <c r="E56" s="7" t="s">
        <v>179</v>
      </c>
      <c r="F56" s="15" t="str">
        <f>IF(E55&gt;J55,"增长","下降")</f>
        <v>增长</v>
      </c>
      <c r="G56" s="34">
        <f>IF(J55=0,IF(E55&gt;0,1,""),C56/J55)</f>
        <v>2.2255861580925629E-2</v>
      </c>
      <c r="H56" s="7" t="s">
        <v>316</v>
      </c>
      <c r="I56" s="11" t="s">
        <v>205</v>
      </c>
    </row>
    <row r="57" spans="1:12" ht="18" customHeight="1">
      <c r="A57" s="84" t="s">
        <v>434</v>
      </c>
      <c r="B57" s="84"/>
      <c r="C57" s="84"/>
      <c r="D57" s="84"/>
      <c r="E57" s="83">
        <f>_xlfn.IFNA(VLOOKUP(封面!B1,一般公共预算财政拨款支出决算具体情况!A:Y,25,FALSE),"")</f>
        <v>6078094.8300000001</v>
      </c>
      <c r="F57" s="83"/>
      <c r="G57" s="7" t="s">
        <v>179</v>
      </c>
      <c r="H57" s="87" t="s">
        <v>422</v>
      </c>
      <c r="I57" s="87"/>
      <c r="J57" s="83">
        <f>_xlfn.IFNA(VLOOKUP(封面!B1,一般公共预算财政拨款支出决算具体情况!A:Z,26,FALSE),"")</f>
        <v>5945766.669999999</v>
      </c>
      <c r="K57" s="83"/>
      <c r="L57" s="11" t="s">
        <v>178</v>
      </c>
    </row>
    <row r="58" spans="1:12" ht="18" customHeight="1">
      <c r="A58" s="15"/>
      <c r="B58" s="15" t="str">
        <f>IF(E57&gt;J57,"增加","减少")</f>
        <v>增加</v>
      </c>
      <c r="C58" s="83">
        <f>ABS(E57-J57)</f>
        <v>132328.16000000108</v>
      </c>
      <c r="D58" s="83"/>
      <c r="E58" s="7" t="s">
        <v>179</v>
      </c>
      <c r="F58" s="15" t="str">
        <f>IF(E57&gt;J57,"增长","下降")</f>
        <v>增长</v>
      </c>
      <c r="G58" s="34">
        <f>IF(J57=0,IF(E57&gt;0,1,""),C58/J57)</f>
        <v>2.2255861580925629E-2</v>
      </c>
      <c r="H58" s="7" t="s">
        <v>316</v>
      </c>
    </row>
    <row r="59" spans="1:12" ht="36" customHeight="1">
      <c r="B59" s="89" t="s">
        <v>483</v>
      </c>
      <c r="C59" s="89"/>
      <c r="D59" s="89"/>
      <c r="E59" s="89"/>
      <c r="F59" s="89"/>
      <c r="G59" s="89"/>
      <c r="H59" s="89"/>
      <c r="I59" s="89"/>
      <c r="J59" s="89"/>
      <c r="K59" s="89"/>
      <c r="L59" s="89"/>
    </row>
    <row r="60" spans="1:12" ht="18" customHeight="1">
      <c r="A60" s="84" t="s">
        <v>435</v>
      </c>
      <c r="B60" s="84"/>
      <c r="C60" s="84"/>
      <c r="D60" s="84"/>
      <c r="E60" s="83">
        <f>_xlfn.IFNA(VLOOKUP(封面!B1,一般公共预算财政拨款支出决算具体情况!A:AA,27,FALSE),"")</f>
        <v>0</v>
      </c>
      <c r="F60" s="83"/>
      <c r="G60" s="7" t="s">
        <v>179</v>
      </c>
      <c r="H60" s="87" t="s">
        <v>432</v>
      </c>
      <c r="I60" s="87"/>
      <c r="J60" s="83"/>
      <c r="K60" s="83"/>
      <c r="L60" s="11"/>
    </row>
    <row r="61" spans="1:12" ht="18" customHeight="1">
      <c r="A61" s="90" t="s">
        <v>436</v>
      </c>
      <c r="B61" s="90"/>
      <c r="C61" s="90"/>
      <c r="D61" s="90"/>
      <c r="E61" s="83">
        <f>_xlfn.IFNA(VLOOKUP(封面!B1,一般公共预算财政拨款支出决算具体情况!A:AC,29,FALSE),"")</f>
        <v>2498824.06</v>
      </c>
      <c r="F61" s="83"/>
      <c r="G61" s="7" t="s">
        <v>179</v>
      </c>
      <c r="H61" s="87" t="s">
        <v>422</v>
      </c>
      <c r="I61" s="87"/>
      <c r="J61" s="83">
        <f>_xlfn.IFNA(VLOOKUP(封面!B1,一般公共预算财政拨款支出决算具体情况!A:AD,30,FALSE),"")</f>
        <v>2155434.9500000002</v>
      </c>
      <c r="K61" s="83"/>
      <c r="L61" s="11" t="s">
        <v>178</v>
      </c>
    </row>
    <row r="62" spans="1:12" ht="18" customHeight="1">
      <c r="B62" s="15" t="str">
        <f>IF(E61&gt;J61,"增加","减少")</f>
        <v>增加</v>
      </c>
      <c r="C62" s="83">
        <f>ABS(E61-J61)</f>
        <v>343389.10999999987</v>
      </c>
      <c r="D62" s="83"/>
      <c r="E62" s="7" t="s">
        <v>179</v>
      </c>
      <c r="F62" s="15" t="str">
        <f>IF(E61&gt;J61,"增长","下降")</f>
        <v>增长</v>
      </c>
      <c r="G62" s="34">
        <f>IF(J61=0,IF(E61&gt;0,1,""),C62/J61)</f>
        <v>0.15931314002308436</v>
      </c>
      <c r="H62" s="7" t="s">
        <v>316</v>
      </c>
      <c r="I62" s="11" t="s">
        <v>205</v>
      </c>
    </row>
    <row r="63" spans="1:12" ht="18" customHeight="1">
      <c r="A63" s="84" t="s">
        <v>437</v>
      </c>
      <c r="B63" s="84"/>
      <c r="C63" s="84"/>
      <c r="D63" s="84"/>
      <c r="E63" s="83">
        <f>_xlfn.IFNA(VLOOKUP(封面!B1,一般公共预算财政拨款支出决算具体情况!A:AE,31,FALSE),"")</f>
        <v>2498824.06</v>
      </c>
      <c r="F63" s="83"/>
      <c r="G63" s="7" t="s">
        <v>179</v>
      </c>
      <c r="H63" s="87" t="s">
        <v>422</v>
      </c>
      <c r="I63" s="87"/>
      <c r="J63" s="83">
        <f>_xlfn.IFNA(VLOOKUP(封面!B1,一般公共预算财政拨款支出决算具体情况!A:AF,32,FALSE),"")</f>
        <v>2155434.9500000002</v>
      </c>
      <c r="K63" s="83"/>
      <c r="L63" s="11" t="s">
        <v>178</v>
      </c>
    </row>
    <row r="64" spans="1:12" ht="18" customHeight="1">
      <c r="A64" s="15"/>
      <c r="B64" s="15" t="str">
        <f>IF(E63&gt;J63,"增加","减少")</f>
        <v>增加</v>
      </c>
      <c r="C64" s="83">
        <f>ABS(E63-J63)</f>
        <v>343389.10999999987</v>
      </c>
      <c r="D64" s="83"/>
      <c r="E64" s="7" t="s">
        <v>179</v>
      </c>
      <c r="F64" s="15" t="str">
        <f>IF(E63&gt;J63,"增长","下降")</f>
        <v>增长</v>
      </c>
      <c r="G64" s="34">
        <f>IF(J63=0,IF(E63&gt;0,1,""),C64/J63)</f>
        <v>0.15931314002308436</v>
      </c>
      <c r="H64" s="7" t="s">
        <v>316</v>
      </c>
    </row>
    <row r="65" spans="1:13" ht="36" customHeight="1">
      <c r="B65" s="89" t="s">
        <v>484</v>
      </c>
      <c r="C65" s="89"/>
      <c r="D65" s="89"/>
      <c r="E65" s="89"/>
      <c r="F65" s="89"/>
      <c r="G65" s="89"/>
      <c r="H65" s="89"/>
      <c r="I65" s="89"/>
      <c r="J65" s="89"/>
      <c r="K65" s="89"/>
      <c r="L65" s="89"/>
    </row>
    <row r="66" spans="1:13" ht="18" customHeight="1">
      <c r="A66" s="90" t="s">
        <v>438</v>
      </c>
      <c r="B66" s="90"/>
      <c r="C66" s="90"/>
      <c r="D66" s="90"/>
      <c r="E66" s="83">
        <f>_xlfn.IFNA(VLOOKUP(封面!B1,一般公共预算财政拨款支出决算具体情况!A:AG,33,FALSE),"")</f>
        <v>15487245.48</v>
      </c>
      <c r="F66" s="83"/>
      <c r="G66" s="7" t="s">
        <v>179</v>
      </c>
      <c r="H66" s="87" t="s">
        <v>422</v>
      </c>
      <c r="I66" s="87"/>
      <c r="J66" s="83">
        <f>_xlfn.IFNA(VLOOKUP(封面!B1,一般公共预算财政拨款支出决算具体情况!A:AH,34,FALSE),"")</f>
        <v>39682473.189999998</v>
      </c>
      <c r="K66" s="83"/>
      <c r="L66" s="11" t="s">
        <v>178</v>
      </c>
    </row>
    <row r="67" spans="1:13" ht="18" customHeight="1">
      <c r="B67" s="15" t="str">
        <f>IF(E66&gt;J66,"增加","减少")</f>
        <v>减少</v>
      </c>
      <c r="C67" s="83">
        <f>ABS(E66-J66)</f>
        <v>24195227.709999997</v>
      </c>
      <c r="D67" s="83"/>
      <c r="E67" s="7" t="s">
        <v>179</v>
      </c>
      <c r="F67" s="15" t="str">
        <f>IF(E66&gt;J66,"增长","下降")</f>
        <v>下降</v>
      </c>
      <c r="G67" s="34">
        <f>IF(J66=0,IF(E66&gt;0,1,""),C67/J66)</f>
        <v>0.60972075994742203</v>
      </c>
      <c r="H67" s="7" t="s">
        <v>313</v>
      </c>
      <c r="I67" s="11" t="s">
        <v>205</v>
      </c>
    </row>
    <row r="68" spans="1:13" ht="18" customHeight="1">
      <c r="A68" s="84" t="s">
        <v>439</v>
      </c>
      <c r="B68" s="84"/>
      <c r="C68" s="84"/>
      <c r="D68" s="84"/>
      <c r="E68" s="83">
        <f>_xlfn.IFNA(VLOOKUP(封面!B1,一般公共预算财政拨款支出决算具体情况!A:AI,35,FALSE),"")</f>
        <v>15487245.48</v>
      </c>
      <c r="F68" s="83"/>
      <c r="G68" s="7" t="s">
        <v>179</v>
      </c>
      <c r="H68" s="87" t="s">
        <v>422</v>
      </c>
      <c r="I68" s="87"/>
      <c r="J68" s="83">
        <f>_xlfn.IFNA(VLOOKUP(封面!B1,一般公共预算财政拨款支出决算具体情况!A:AJ,36,FALSE),"")</f>
        <v>39682473.189999998</v>
      </c>
      <c r="K68" s="83"/>
      <c r="L68" s="11" t="s">
        <v>178</v>
      </c>
    </row>
    <row r="69" spans="1:13" ht="18" customHeight="1">
      <c r="A69" s="58"/>
      <c r="B69" s="15" t="str">
        <f>IF(E68&gt;J68,"增加","减少")</f>
        <v>减少</v>
      </c>
      <c r="C69" s="83">
        <f>ABS(E68-J68)</f>
        <v>24195227.709999997</v>
      </c>
      <c r="D69" s="83"/>
      <c r="E69" s="7" t="s">
        <v>179</v>
      </c>
      <c r="F69" s="15" t="str">
        <f>IF(E68&gt;J68,"增长","下降")</f>
        <v>下降</v>
      </c>
      <c r="G69" s="34">
        <f>IF(J68=0,IF(E68&gt;0,1,""),C69/J68)</f>
        <v>0.60972075994742203</v>
      </c>
      <c r="H69" s="7" t="s">
        <v>313</v>
      </c>
      <c r="I69" s="57"/>
      <c r="J69" s="56"/>
      <c r="K69" s="56"/>
      <c r="L69" s="11"/>
    </row>
    <row r="70" spans="1:13" ht="36" customHeight="1">
      <c r="B70" s="89" t="s">
        <v>485</v>
      </c>
      <c r="C70" s="89"/>
      <c r="D70" s="89"/>
      <c r="E70" s="89"/>
      <c r="F70" s="89"/>
      <c r="G70" s="89"/>
      <c r="H70" s="89"/>
      <c r="I70" s="89"/>
      <c r="J70" s="89"/>
      <c r="K70" s="89"/>
      <c r="L70" s="89"/>
    </row>
    <row r="71" spans="1:13" ht="18" customHeight="1">
      <c r="A71" s="90" t="s">
        <v>471</v>
      </c>
      <c r="B71" s="90"/>
      <c r="C71" s="90"/>
      <c r="D71" s="90"/>
      <c r="E71" s="83">
        <f>_xlfn.IFNA(VLOOKUP(封面!B1,一般公共预算财政拨款支出决算具体情况!A:AK,37,FALSE),"")</f>
        <v>4188291</v>
      </c>
      <c r="F71" s="83"/>
      <c r="G71" s="7" t="s">
        <v>179</v>
      </c>
      <c r="H71" s="87" t="s">
        <v>422</v>
      </c>
      <c r="I71" s="87"/>
      <c r="J71" s="83">
        <f>_xlfn.IFNA(VLOOKUP(封面!B1,一般公共预算财政拨款支出决算具体情况!A:AL,38,FALSE),"")</f>
        <v>3758155.33</v>
      </c>
      <c r="K71" s="83"/>
      <c r="L71" s="11" t="s">
        <v>178</v>
      </c>
    </row>
    <row r="72" spans="1:13" ht="18" customHeight="1">
      <c r="B72" s="15" t="str">
        <f>IF(E71&gt;J71,"增加","减少")</f>
        <v>增加</v>
      </c>
      <c r="C72" s="83">
        <f>ABS(E71-J71)</f>
        <v>430135.66999999993</v>
      </c>
      <c r="D72" s="83"/>
      <c r="E72" s="7" t="s">
        <v>179</v>
      </c>
      <c r="F72" s="15" t="str">
        <f>IF(E71&gt;J71,"增长","下降")</f>
        <v>增长</v>
      </c>
      <c r="G72" s="34">
        <f>IF(J71=0,IF(E71&gt;0,1,""),C72/J71)</f>
        <v>0.11445393610167783</v>
      </c>
      <c r="H72" s="7" t="s">
        <v>316</v>
      </c>
      <c r="I72" s="11" t="s">
        <v>205</v>
      </c>
    </row>
    <row r="73" spans="1:13" ht="18" customHeight="1">
      <c r="A73" s="84" t="s">
        <v>440</v>
      </c>
      <c r="B73" s="84"/>
      <c r="C73" s="84"/>
      <c r="D73" s="84"/>
      <c r="E73" s="83">
        <f>_xlfn.IFNA(VLOOKUP(封面!B1,一般公共预算财政拨款支出决算具体情况!A:AM,39,FALSE),"")</f>
        <v>4188291</v>
      </c>
      <c r="F73" s="83"/>
      <c r="G73" s="7" t="s">
        <v>179</v>
      </c>
      <c r="H73" s="87" t="s">
        <v>422</v>
      </c>
      <c r="I73" s="87"/>
      <c r="J73" s="83">
        <f>_xlfn.IFNA(VLOOKUP(封面!B1,一般公共预算财政拨款支出决算具体情况!A:AN,40,FALSE),"")</f>
        <v>3758155.33</v>
      </c>
      <c r="K73" s="83"/>
      <c r="L73" s="11" t="s">
        <v>178</v>
      </c>
    </row>
    <row r="74" spans="1:13" ht="18" customHeight="1">
      <c r="A74" s="15"/>
      <c r="B74" s="15" t="str">
        <f>IF(E73&gt;J73,"增加","减少")</f>
        <v>增加</v>
      </c>
      <c r="C74" s="83">
        <f>ABS(E73-J73)</f>
        <v>430135.66999999993</v>
      </c>
      <c r="D74" s="83"/>
      <c r="E74" s="7" t="s">
        <v>179</v>
      </c>
      <c r="F74" s="15" t="str">
        <f>IF(E73&gt;J73,"增长","下降")</f>
        <v>增长</v>
      </c>
      <c r="G74" s="34">
        <f>IF(J73=0,IF(E73&gt;0,1,""),C74/J73)</f>
        <v>0.11445393610167783</v>
      </c>
      <c r="H74" s="7" t="s">
        <v>316</v>
      </c>
    </row>
    <row r="75" spans="1:13" ht="36" customHeight="1">
      <c r="B75" s="89" t="s">
        <v>486</v>
      </c>
      <c r="C75" s="89"/>
      <c r="D75" s="89"/>
      <c r="E75" s="89"/>
      <c r="F75" s="89"/>
      <c r="G75" s="89"/>
      <c r="H75" s="89"/>
      <c r="I75" s="89"/>
      <c r="J75" s="89"/>
      <c r="K75" s="89"/>
      <c r="L75" s="89"/>
    </row>
    <row r="76" spans="1:13" ht="18" customHeight="1">
      <c r="A76" s="6" t="s">
        <v>206</v>
      </c>
    </row>
    <row r="77" spans="1:13" ht="18" customHeight="1">
      <c r="A77" s="7" t="str">
        <f>IF(_xlfn.IFNA(VLOOKUP(封面!B1,'2021决算导出'!A:W,23,FALSE),"")=0,"本年度无此项支出。","")</f>
        <v/>
      </c>
    </row>
    <row r="78" spans="1:13" ht="18" customHeight="1">
      <c r="A78" s="7" t="s">
        <v>207</v>
      </c>
    </row>
    <row r="79" spans="1:13" ht="18" customHeight="1">
      <c r="A79" s="85" t="s">
        <v>441</v>
      </c>
      <c r="B79" s="85"/>
      <c r="C79" s="85"/>
      <c r="D79" s="85"/>
      <c r="E79" s="85"/>
      <c r="F79" s="83">
        <f>_xlfn.IFNA(VLOOKUP(封面!B1,'2021决算导出'!A:W,23,FALSE),"")</f>
        <v>49752058.549999997</v>
      </c>
      <c r="G79" s="83"/>
      <c r="H79" s="7" t="s">
        <v>179</v>
      </c>
      <c r="I79" s="88" t="s">
        <v>196</v>
      </c>
      <c r="J79" s="88"/>
      <c r="K79" s="88"/>
      <c r="L79" s="88"/>
      <c r="M79" s="88"/>
    </row>
    <row r="80" spans="1:13" ht="18" customHeight="1">
      <c r="A80" s="85" t="s">
        <v>208</v>
      </c>
      <c r="B80" s="85"/>
      <c r="C80" s="85"/>
      <c r="D80" s="83">
        <f>_xlfn.IFNA(VLOOKUP(封面!B1,'2021决算导出'!A:Y,25,FALSE),"")</f>
        <v>0</v>
      </c>
      <c r="E80" s="83"/>
      <c r="F80" s="7" t="s">
        <v>179</v>
      </c>
      <c r="G80" s="87" t="s">
        <v>198</v>
      </c>
      <c r="H80" s="87"/>
      <c r="I80" s="13">
        <v>100</v>
      </c>
      <c r="J80" s="7" t="s">
        <v>183</v>
      </c>
      <c r="K80" s="9"/>
      <c r="L80" s="9"/>
      <c r="M80" s="9"/>
    </row>
    <row r="81" spans="1:13" ht="18" customHeight="1">
      <c r="A81" s="7" t="s">
        <v>209</v>
      </c>
    </row>
    <row r="82" spans="1:13" ht="18" customHeight="1">
      <c r="A82" s="84" t="s">
        <v>476</v>
      </c>
      <c r="B82" s="84"/>
      <c r="C82" s="84"/>
      <c r="D82" s="84"/>
      <c r="E82" s="83">
        <f>_xlfn.IFNA(VLOOKUP(封面!B1,'2021决算导出'!A:X,24,FALSE),"")</f>
        <v>49752058.549999997</v>
      </c>
      <c r="F82" s="83"/>
      <c r="G82" s="7" t="s">
        <v>179</v>
      </c>
      <c r="H82" s="87" t="s">
        <v>432</v>
      </c>
      <c r="I82" s="87"/>
      <c r="J82" s="83" t="s">
        <v>408</v>
      </c>
      <c r="K82" s="83"/>
      <c r="L82" s="11"/>
    </row>
    <row r="83" spans="1:13" ht="18" customHeight="1">
      <c r="A83" s="84" t="s">
        <v>477</v>
      </c>
      <c r="B83" s="84"/>
      <c r="C83" s="84"/>
      <c r="D83" s="84"/>
      <c r="E83" s="83">
        <f>_xlfn.IFNA(VLOOKUP(封面!B1,'2021决算导出'!A:X,24,FALSE),"")</f>
        <v>49752058.549999997</v>
      </c>
      <c r="F83" s="83"/>
      <c r="G83" s="7" t="s">
        <v>179</v>
      </c>
      <c r="H83" s="87" t="s">
        <v>432</v>
      </c>
      <c r="I83" s="87"/>
      <c r="J83" s="83"/>
      <c r="K83" s="83"/>
      <c r="L83" s="11"/>
    </row>
    <row r="84" spans="1:13" ht="36" customHeight="1">
      <c r="B84" s="89" t="s">
        <v>487</v>
      </c>
      <c r="C84" s="89"/>
      <c r="D84" s="89"/>
      <c r="E84" s="89"/>
      <c r="F84" s="89"/>
      <c r="G84" s="89"/>
      <c r="H84" s="89"/>
      <c r="I84" s="89"/>
      <c r="J84" s="89"/>
      <c r="K84" s="89"/>
      <c r="L84" s="89"/>
    </row>
    <row r="85" spans="1:13" ht="18" customHeight="1">
      <c r="A85" s="6" t="s">
        <v>210</v>
      </c>
    </row>
    <row r="86" spans="1:13" ht="18" customHeight="1">
      <c r="A86" s="7" t="s">
        <v>211</v>
      </c>
    </row>
    <row r="87" spans="1:13" ht="18" customHeight="1">
      <c r="A87" s="6" t="s">
        <v>212</v>
      </c>
    </row>
    <row r="88" spans="1:13" ht="18" customHeight="1">
      <c r="A88" s="7" t="s">
        <v>442</v>
      </c>
      <c r="G88" s="83">
        <f>_xlfn.IFNA(VLOOKUP(封面!B1,'2021决算导出'!A:AA,27,FALSE),"")</f>
        <v>33973118.509999998</v>
      </c>
      <c r="H88" s="83"/>
      <c r="I88" s="11" t="s">
        <v>179</v>
      </c>
    </row>
    <row r="89" spans="1:13" ht="130.15" customHeight="1">
      <c r="A89" s="89" t="s">
        <v>213</v>
      </c>
      <c r="B89" s="89"/>
      <c r="C89" s="89"/>
      <c r="D89" s="89"/>
      <c r="E89" s="89"/>
      <c r="F89" s="89"/>
      <c r="G89" s="89"/>
      <c r="H89" s="89"/>
      <c r="I89" s="89"/>
      <c r="J89" s="89"/>
      <c r="K89" s="89"/>
      <c r="L89" s="89"/>
      <c r="M89" s="89"/>
    </row>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sheetData>
  <mergeCells count="158">
    <mergeCell ref="G88:H88"/>
    <mergeCell ref="A89:M89"/>
    <mergeCell ref="A4:M4"/>
    <mergeCell ref="A82:D82"/>
    <mergeCell ref="E82:F82"/>
    <mergeCell ref="H82:I82"/>
    <mergeCell ref="J82:K82"/>
    <mergeCell ref="A83:D83"/>
    <mergeCell ref="E83:F83"/>
    <mergeCell ref="H83:I83"/>
    <mergeCell ref="J83:K83"/>
    <mergeCell ref="B75:L75"/>
    <mergeCell ref="A79:E79"/>
    <mergeCell ref="F79:G79"/>
    <mergeCell ref="I79:M79"/>
    <mergeCell ref="A80:C80"/>
    <mergeCell ref="D80:E80"/>
    <mergeCell ref="G80:H80"/>
    <mergeCell ref="C72:D72"/>
    <mergeCell ref="A73:D73"/>
    <mergeCell ref="E73:F73"/>
    <mergeCell ref="H73:I73"/>
    <mergeCell ref="J73:K73"/>
    <mergeCell ref="C74:D74"/>
    <mergeCell ref="A71:D71"/>
    <mergeCell ref="E71:F71"/>
    <mergeCell ref="H71:I71"/>
    <mergeCell ref="J71:K71"/>
    <mergeCell ref="B84:L84"/>
    <mergeCell ref="E57:F57"/>
    <mergeCell ref="H57:I57"/>
    <mergeCell ref="J57:K57"/>
    <mergeCell ref="C58:D58"/>
    <mergeCell ref="B70:L70"/>
    <mergeCell ref="C69:D69"/>
    <mergeCell ref="C67:D67"/>
    <mergeCell ref="H68:I68"/>
    <mergeCell ref="J68:K68"/>
    <mergeCell ref="A61:D61"/>
    <mergeCell ref="E61:F61"/>
    <mergeCell ref="H61:I61"/>
    <mergeCell ref="J61:K61"/>
    <mergeCell ref="C62:D62"/>
    <mergeCell ref="B59:L59"/>
    <mergeCell ref="H60:I60"/>
    <mergeCell ref="J60:K60"/>
    <mergeCell ref="A53:D53"/>
    <mergeCell ref="E53:F53"/>
    <mergeCell ref="H53:K53"/>
    <mergeCell ref="A66:D66"/>
    <mergeCell ref="E66:F66"/>
    <mergeCell ref="A68:D68"/>
    <mergeCell ref="E68:F68"/>
    <mergeCell ref="A63:D63"/>
    <mergeCell ref="E63:F63"/>
    <mergeCell ref="H63:I63"/>
    <mergeCell ref="J63:K63"/>
    <mergeCell ref="C64:D64"/>
    <mergeCell ref="B65:L65"/>
    <mergeCell ref="H66:I66"/>
    <mergeCell ref="J66:K66"/>
    <mergeCell ref="H54:K54"/>
    <mergeCell ref="A55:D55"/>
    <mergeCell ref="E55:F55"/>
    <mergeCell ref="H55:I55"/>
    <mergeCell ref="J55:K55"/>
    <mergeCell ref="A54:D54"/>
    <mergeCell ref="E54:F54"/>
    <mergeCell ref="A60:D60"/>
    <mergeCell ref="E60:F60"/>
    <mergeCell ref="C50:D50"/>
    <mergeCell ref="B51:L51"/>
    <mergeCell ref="A52:D52"/>
    <mergeCell ref="E52:F52"/>
    <mergeCell ref="C47:D47"/>
    <mergeCell ref="B48:L48"/>
    <mergeCell ref="A49:D49"/>
    <mergeCell ref="E49:F49"/>
    <mergeCell ref="H49:I49"/>
    <mergeCell ref="J49:K49"/>
    <mergeCell ref="H52:K52"/>
    <mergeCell ref="C44:D44"/>
    <mergeCell ref="B45:L45"/>
    <mergeCell ref="A46:D46"/>
    <mergeCell ref="E46:F46"/>
    <mergeCell ref="H46:I46"/>
    <mergeCell ref="J46:K46"/>
    <mergeCell ref="C42:D42"/>
    <mergeCell ref="A43:D43"/>
    <mergeCell ref="E43:F43"/>
    <mergeCell ref="H43:I43"/>
    <mergeCell ref="J43:K43"/>
    <mergeCell ref="J34:K34"/>
    <mergeCell ref="D32:E32"/>
    <mergeCell ref="G32:H32"/>
    <mergeCell ref="A32:C32"/>
    <mergeCell ref="C40:D40"/>
    <mergeCell ref="A31:C31"/>
    <mergeCell ref="D31:E31"/>
    <mergeCell ref="G31:H31"/>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G27:H27"/>
    <mergeCell ref="D28:E28"/>
    <mergeCell ref="G28:H28"/>
    <mergeCell ref="A29:C29"/>
    <mergeCell ref="A27:C27"/>
    <mergeCell ref="A28:C28"/>
    <mergeCell ref="D29:E29"/>
    <mergeCell ref="A34:D34"/>
    <mergeCell ref="E34:F34"/>
    <mergeCell ref="H34:I34"/>
    <mergeCell ref="A1:M1"/>
    <mergeCell ref="A18:C18"/>
    <mergeCell ref="F18:G18"/>
    <mergeCell ref="A13:C13"/>
    <mergeCell ref="F13:G13"/>
    <mergeCell ref="A14:C14"/>
    <mergeCell ref="F14:G14"/>
    <mergeCell ref="A15:C15"/>
    <mergeCell ref="F15:G15"/>
    <mergeCell ref="C56:D56"/>
    <mergeCell ref="A57:D57"/>
    <mergeCell ref="A10:C10"/>
    <mergeCell ref="A11:C11"/>
    <mergeCell ref="F11:G11"/>
    <mergeCell ref="A12:C12"/>
    <mergeCell ref="F12:G12"/>
    <mergeCell ref="A8:C8"/>
    <mergeCell ref="A6:B6"/>
    <mergeCell ref="A17:C17"/>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1"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443</v>
      </c>
      <c r="F4" s="83">
        <f>_xlfn.IFNA(VLOOKUP(封面!B1,'2021决算导出'!A:AB,28,FALSE),"")</f>
        <v>108000</v>
      </c>
      <c r="G4" s="83"/>
      <c r="H4" s="7" t="s">
        <v>179</v>
      </c>
      <c r="I4" s="7" t="s">
        <v>444</v>
      </c>
    </row>
    <row r="5" spans="1:14" ht="18" customHeight="1">
      <c r="A5" s="92">
        <f>_xlfn.IFNA(VLOOKUP(封面!B1,'2021决算导出'!A:AC,29,FALSE),"")</f>
        <v>108000</v>
      </c>
      <c r="B5" s="92"/>
      <c r="C5" s="7" t="s">
        <v>178</v>
      </c>
      <c r="D5" s="30" t="str">
        <f>IF(F4&gt;A5,"增加","减少")</f>
        <v>减少</v>
      </c>
      <c r="E5" s="92">
        <f>ABS(F4-A5)</f>
        <v>0</v>
      </c>
      <c r="F5" s="92"/>
      <c r="G5" s="7" t="s">
        <v>216</v>
      </c>
    </row>
    <row r="6" spans="1:14" ht="18" customHeight="1">
      <c r="A6" s="7" t="s">
        <v>217</v>
      </c>
    </row>
    <row r="7" spans="1:14" ht="18" customHeight="1">
      <c r="A7" s="55" t="s">
        <v>445</v>
      </c>
      <c r="B7" s="19"/>
      <c r="C7" s="19"/>
      <c r="D7" s="19"/>
      <c r="E7" s="19"/>
      <c r="F7" s="19"/>
      <c r="G7" s="19"/>
      <c r="H7" s="19"/>
      <c r="I7" s="19"/>
      <c r="J7" s="19"/>
      <c r="K7" s="19"/>
      <c r="L7" s="19"/>
      <c r="M7" s="19"/>
      <c r="N7" s="19"/>
    </row>
    <row r="8" spans="1:14" ht="18" customHeight="1">
      <c r="A8" s="7" t="s">
        <v>218</v>
      </c>
    </row>
    <row r="9" spans="1:14" ht="39" customHeight="1">
      <c r="A9" s="91" t="s">
        <v>446</v>
      </c>
      <c r="B9" s="91"/>
      <c r="C9" s="91"/>
      <c r="D9" s="91"/>
      <c r="E9" s="91"/>
      <c r="F9" s="91"/>
      <c r="G9" s="91"/>
      <c r="H9" s="91"/>
      <c r="I9" s="91"/>
      <c r="J9" s="91"/>
      <c r="K9" s="91"/>
      <c r="L9" s="91"/>
      <c r="M9" s="91"/>
      <c r="N9" s="91"/>
    </row>
    <row r="10" spans="1:14" ht="18" customHeight="1">
      <c r="A10" s="7" t="s">
        <v>219</v>
      </c>
    </row>
    <row r="11" spans="1:14" ht="18" customHeight="1">
      <c r="A11" s="85" t="s">
        <v>447</v>
      </c>
      <c r="B11" s="85"/>
      <c r="C11" s="35">
        <f>_xlfn.IFNA(VLOOKUP(封面!B1,'2021决算导出'!A:AI,35,FALSE),"")</f>
        <v>108000</v>
      </c>
      <c r="D11" s="7" t="s">
        <v>179</v>
      </c>
      <c r="E11" s="85" t="s">
        <v>448</v>
      </c>
      <c r="F11" s="85"/>
      <c r="G11" s="85"/>
      <c r="H11" s="92">
        <f>_xlfn.IFNA(VLOOKUP(封面!B1,'2021决算导出'!A:AJ,36,FALSE),"")</f>
        <v>108000</v>
      </c>
      <c r="I11" s="92"/>
      <c r="J11" s="16" t="s">
        <v>178</v>
      </c>
      <c r="K11" s="30" t="str">
        <f>IF(C11&gt;H11,"增加","减少")</f>
        <v>减少</v>
      </c>
      <c r="L11" s="92">
        <f>ABS(C11-H11)</f>
        <v>0</v>
      </c>
      <c r="M11" s="92"/>
      <c r="N11" s="7" t="s">
        <v>215</v>
      </c>
    </row>
    <row r="12" spans="1:14" ht="18" customHeight="1">
      <c r="A12" s="85" t="s">
        <v>449</v>
      </c>
      <c r="B12" s="85"/>
      <c r="C12" s="85"/>
      <c r="D12" s="85"/>
      <c r="E12" s="85"/>
      <c r="F12" s="92">
        <f>_xlfn.IFNA(VLOOKUP(封面!B1,'2021决算导出'!A:AK,37,FALSE),"")</f>
        <v>0</v>
      </c>
      <c r="G12" s="92"/>
      <c r="H12" s="17" t="s">
        <v>179</v>
      </c>
      <c r="I12" s="85" t="s">
        <v>448</v>
      </c>
      <c r="J12" s="85"/>
      <c r="K12" s="85"/>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36" customHeight="1">
      <c r="A14" s="89" t="s">
        <v>488</v>
      </c>
      <c r="B14" s="89"/>
      <c r="C14" s="89"/>
      <c r="D14" s="89"/>
      <c r="E14" s="89"/>
      <c r="F14" s="89"/>
      <c r="G14" s="89"/>
      <c r="H14" s="89"/>
      <c r="I14" s="89"/>
      <c r="J14" s="89"/>
      <c r="K14" s="89"/>
      <c r="L14" s="89"/>
      <c r="M14" s="89"/>
      <c r="N14" s="89"/>
    </row>
    <row r="15" spans="1:14" ht="18" customHeight="1">
      <c r="A15" s="85" t="s">
        <v>450</v>
      </c>
      <c r="B15" s="85"/>
      <c r="C15" s="85"/>
      <c r="D15" s="8">
        <f>_xlfn.IFNA(VLOOKUP(封面!B1,'2021决算导出'!A:AM,39,FALSE),"")</f>
        <v>0</v>
      </c>
      <c r="E15" s="7" t="s">
        <v>220</v>
      </c>
      <c r="F15" s="85" t="s">
        <v>221</v>
      </c>
      <c r="G15" s="85"/>
      <c r="H15" s="92">
        <f>IF(D15=0,0,F12/D15)</f>
        <v>0</v>
      </c>
      <c r="I15" s="92"/>
      <c r="J15" s="7" t="s">
        <v>215</v>
      </c>
    </row>
    <row r="16" spans="1:14" ht="18" customHeight="1">
      <c r="A16" s="87" t="s">
        <v>451</v>
      </c>
      <c r="B16" s="87"/>
      <c r="C16" s="87"/>
      <c r="D16" s="87"/>
      <c r="E16" s="87"/>
      <c r="F16" s="92">
        <f>_xlfn.IFNA(VLOOKUP(封面!B1,'2021决算导出'!A:AO,41,FALSE),"")</f>
        <v>108000</v>
      </c>
      <c r="G16" s="92" t="s">
        <v>179</v>
      </c>
      <c r="H16" s="7" t="s">
        <v>179</v>
      </c>
      <c r="I16" s="7" t="s">
        <v>448</v>
      </c>
      <c r="L16" s="92">
        <f>_xlfn.IFNA(VLOOKUP(封面!B1,'2021决算导出'!A:AP,42,FALSE),"")</f>
        <v>108000</v>
      </c>
      <c r="M16" s="92" t="s">
        <v>179</v>
      </c>
      <c r="N16" s="7" t="s">
        <v>179</v>
      </c>
    </row>
    <row r="17" spans="1:14" ht="18" customHeight="1">
      <c r="A17" s="15" t="str">
        <f>IF(F16&gt;L16,"增加","减少")</f>
        <v>减少</v>
      </c>
      <c r="B17" s="92">
        <f>ABS(F16-L16)</f>
        <v>0</v>
      </c>
      <c r="C17" s="92"/>
      <c r="D17" s="7" t="s">
        <v>215</v>
      </c>
    </row>
    <row r="18" spans="1:14" ht="36" customHeight="1">
      <c r="A18" s="89" t="s">
        <v>222</v>
      </c>
      <c r="B18" s="89"/>
      <c r="C18" s="89"/>
      <c r="D18" s="89"/>
      <c r="E18" s="89"/>
      <c r="F18" s="89"/>
      <c r="G18" s="89"/>
      <c r="H18" s="89"/>
      <c r="I18" s="89"/>
      <c r="J18" s="89"/>
      <c r="K18" s="89"/>
      <c r="L18" s="89"/>
      <c r="M18" s="89"/>
      <c r="N18" s="89"/>
    </row>
    <row r="19" spans="1:14" ht="18" customHeight="1">
      <c r="A19" s="85" t="s">
        <v>452</v>
      </c>
      <c r="B19" s="85"/>
      <c r="C19" s="85"/>
      <c r="D19" s="85"/>
      <c r="E19" s="85"/>
      <c r="F19" s="85"/>
      <c r="G19" s="92">
        <f>_xlfn.IFNA(VLOOKUP(封面!B1,'2021决算导出'!A:AQ,43,FALSE),"")</f>
        <v>78513.41</v>
      </c>
      <c r="H19" s="92" t="s">
        <v>179</v>
      </c>
      <c r="I19" s="7" t="s">
        <v>179</v>
      </c>
      <c r="J19" s="7" t="s">
        <v>223</v>
      </c>
      <c r="L19" s="92">
        <f>_xlfn.IFNA(VLOOKUP(封面!B1,'2021决算导出'!A:AR,44,FALSE),"")</f>
        <v>6934</v>
      </c>
      <c r="M19" s="92" t="s">
        <v>179</v>
      </c>
      <c r="N19" s="7" t="s">
        <v>179</v>
      </c>
    </row>
    <row r="20" spans="1:14" ht="18" customHeight="1">
      <c r="A20" s="85" t="s">
        <v>224</v>
      </c>
      <c r="B20" s="85"/>
      <c r="C20" s="92">
        <f>_xlfn.IFNA(VLOOKUP(封面!B1,'2021决算导出'!A:AS,45,FALSE),"")</f>
        <v>15608.59</v>
      </c>
      <c r="D20" s="92" t="s">
        <v>179</v>
      </c>
      <c r="E20" s="7" t="s">
        <v>179</v>
      </c>
      <c r="F20" s="85" t="s">
        <v>225</v>
      </c>
      <c r="G20" s="85"/>
      <c r="H20" s="85"/>
      <c r="I20" s="92">
        <f>_xlfn.IFNA(VLOOKUP(封面!B1,'2021决算导出'!A:AT,46,FALSE),"")</f>
        <v>6944</v>
      </c>
      <c r="J20" s="92" t="s">
        <v>179</v>
      </c>
      <c r="K20" s="7" t="s">
        <v>215</v>
      </c>
    </row>
    <row r="21" spans="1:14" ht="18" customHeight="1">
      <c r="A21" s="85" t="s">
        <v>453</v>
      </c>
      <c r="B21" s="85"/>
      <c r="C21" s="85"/>
      <c r="D21" s="8">
        <f>_xlfn.IFNA(VLOOKUP(封面!B1,'2021决算导出'!A:AU,47,FALSE),"")</f>
        <v>4</v>
      </c>
      <c r="E21" s="88" t="s">
        <v>407</v>
      </c>
      <c r="F21" s="88"/>
      <c r="G21" s="88"/>
      <c r="H21" s="88"/>
      <c r="I21" s="88"/>
      <c r="J21" s="88"/>
      <c r="K21" s="88"/>
      <c r="L21" s="88"/>
      <c r="M21" s="54">
        <f>F16/D21</f>
        <v>27000</v>
      </c>
      <c r="N21" s="7" t="s">
        <v>215</v>
      </c>
    </row>
    <row r="22" spans="1:14" ht="18" customHeight="1">
      <c r="A22" s="6" t="s">
        <v>226</v>
      </c>
    </row>
    <row r="23" spans="1:14" ht="18" customHeight="1">
      <c r="A23" s="7" t="s">
        <v>227</v>
      </c>
    </row>
    <row r="24" spans="1:14" ht="18" customHeight="1">
      <c r="A24" s="6" t="s">
        <v>228</v>
      </c>
    </row>
    <row r="25" spans="1:14" ht="18" customHeight="1">
      <c r="A25" s="85" t="s">
        <v>454</v>
      </c>
      <c r="B25" s="85"/>
      <c r="C25" s="85"/>
      <c r="D25" s="85"/>
      <c r="E25" s="83">
        <f>_xlfn.IFNA(VLOOKUP(封面!B1,'2021决算导出'!A:AW,49,FALSE),"")</f>
        <v>184337139.78</v>
      </c>
      <c r="F25" s="83"/>
      <c r="G25" s="7" t="s">
        <v>179</v>
      </c>
      <c r="H25" s="85" t="s">
        <v>229</v>
      </c>
      <c r="I25" s="85"/>
      <c r="J25" s="85"/>
      <c r="K25" s="85"/>
      <c r="L25" s="83">
        <f>_xlfn.IFNA(VLOOKUP(封面!B1,'2021决算导出'!A:AX,50,FALSE),"")</f>
        <v>7990511</v>
      </c>
      <c r="M25" s="83" t="s">
        <v>179</v>
      </c>
      <c r="N25" s="7" t="s">
        <v>179</v>
      </c>
    </row>
    <row r="26" spans="1:14" ht="18" customHeight="1">
      <c r="A26" s="85" t="s">
        <v>230</v>
      </c>
      <c r="B26" s="85"/>
      <c r="C26" s="85"/>
      <c r="D26" s="83">
        <f>_xlfn.IFNA(VLOOKUP(封面!B1,'2021决算导出'!A:AY,51,FALSE),"")</f>
        <v>175893980.78</v>
      </c>
      <c r="E26" s="83" t="s">
        <v>179</v>
      </c>
      <c r="F26" s="7" t="s">
        <v>179</v>
      </c>
      <c r="G26" s="85" t="s">
        <v>231</v>
      </c>
      <c r="H26" s="85"/>
      <c r="I26" s="85"/>
      <c r="J26" s="83">
        <f>_xlfn.IFNA(VLOOKUP(封面!B1,'2021决算导出'!A:AZ,52,FALSE),"")</f>
        <v>452648</v>
      </c>
      <c r="K26" s="83" t="s">
        <v>179</v>
      </c>
      <c r="L26" s="7" t="s">
        <v>215</v>
      </c>
    </row>
    <row r="27" spans="1:14" ht="18" customHeight="1">
      <c r="A27" s="85" t="s">
        <v>232</v>
      </c>
      <c r="B27" s="85"/>
      <c r="C27" s="85"/>
      <c r="D27" s="85"/>
      <c r="E27" s="83">
        <f>_xlfn.IFNA(VLOOKUP(封面!B1,'2021决算导出'!A:BA,53,FALSE),"")</f>
        <v>184337140</v>
      </c>
      <c r="F27" s="83" t="s">
        <v>179</v>
      </c>
      <c r="G27" s="7" t="s">
        <v>179</v>
      </c>
      <c r="H27" s="87" t="s">
        <v>233</v>
      </c>
      <c r="I27" s="87"/>
      <c r="J27" s="87"/>
      <c r="K27" s="29">
        <f>E27/$E$25</f>
        <v>1.0000000011934653</v>
      </c>
      <c r="L27" s="18" t="s">
        <v>314</v>
      </c>
      <c r="M27" s="7" t="s">
        <v>408</v>
      </c>
    </row>
    <row r="28" spans="1:14" ht="18" customHeight="1">
      <c r="A28" s="85" t="s">
        <v>234</v>
      </c>
      <c r="B28" s="85"/>
      <c r="C28" s="85"/>
      <c r="D28" s="85"/>
      <c r="E28" s="83">
        <f>_xlfn.IFNA(VLOOKUP(封面!B1,'2021决算导出'!A:BB,54,FALSE),"")</f>
        <v>0</v>
      </c>
      <c r="F28" s="83" t="s">
        <v>179</v>
      </c>
      <c r="G28" s="7" t="s">
        <v>179</v>
      </c>
      <c r="H28" s="87" t="s">
        <v>233</v>
      </c>
      <c r="I28" s="87"/>
      <c r="J28" s="87"/>
      <c r="K28" s="29">
        <f>E28/$E$25</f>
        <v>0</v>
      </c>
      <c r="L28" s="18" t="s">
        <v>316</v>
      </c>
    </row>
    <row r="29" spans="1:14" ht="18" customHeight="1">
      <c r="A29" s="6" t="s">
        <v>235</v>
      </c>
    </row>
    <row r="30" spans="1:14" ht="18" customHeight="1">
      <c r="A30" s="85" t="s">
        <v>455</v>
      </c>
      <c r="B30" s="85"/>
      <c r="C30" s="8">
        <f>_xlfn.IFNA(VLOOKUP(封面!B1,'2021决算导出'!A:BC,55,FALSE),"")</f>
        <v>4</v>
      </c>
      <c r="D30" s="7" t="s">
        <v>236</v>
      </c>
      <c r="M30" s="92">
        <f>_xlfn.IFNA(VLOOKUP(封面!B1,'2021决算导出'!A:BD,56,FALSE),"")</f>
        <v>933100.86</v>
      </c>
      <c r="N30" s="92" t="s">
        <v>179</v>
      </c>
    </row>
    <row r="31" spans="1:14" ht="18" customHeight="1">
      <c r="A31" s="12" t="s">
        <v>237</v>
      </c>
      <c r="B31" s="85" t="s">
        <v>238</v>
      </c>
      <c r="C31" s="85"/>
      <c r="D31" s="85"/>
      <c r="E31" s="85"/>
      <c r="F31" s="85"/>
      <c r="G31" s="8">
        <f>_xlfn.IFNA(VLOOKUP(封面!B1,'2021决算导出'!A:BE,57,FALSE),"")</f>
        <v>1</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9" t="s">
        <v>472</v>
      </c>
      <c r="B36" s="89"/>
      <c r="C36" s="89"/>
      <c r="D36" s="89"/>
      <c r="E36" s="89"/>
      <c r="F36" s="89"/>
      <c r="G36" s="89"/>
      <c r="H36" s="89"/>
      <c r="I36" s="89"/>
      <c r="J36" s="89"/>
      <c r="K36" s="89"/>
      <c r="L36" s="89"/>
      <c r="M36" s="89"/>
      <c r="N36" s="89"/>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81" t="s">
        <v>474</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456</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461</v>
      </c>
      <c r="X1" s="60" t="s">
        <v>462</v>
      </c>
      <c r="Y1" s="22" t="s">
        <v>463</v>
      </c>
      <c r="Z1" s="22" t="s">
        <v>457</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458</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459</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460</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2022-08-25T04:56:47Z</cp:lastPrinted>
  <dcterms:created xsi:type="dcterms:W3CDTF">2021-08-26T09:47:38Z</dcterms:created>
  <dcterms:modified xsi:type="dcterms:W3CDTF">2022-09-01T01:02:19Z</dcterms:modified>
</cp:coreProperties>
</file>