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E0C76CEB-8E56-4B26-BD5A-8395AB195161}"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61" i="5"/>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s="1"/>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s="1"/>
  <c r="C478" i="10" s="1"/>
  <c r="E477" i="10"/>
  <c r="D477" i="10"/>
  <c r="C477" i="10" s="1"/>
  <c r="E476" i="10"/>
  <c r="D476" i="10" s="1"/>
  <c r="E475" i="10"/>
  <c r="D475" i="10" s="1"/>
  <c r="C475" i="10" s="1"/>
  <c r="E474" i="10"/>
  <c r="D474" i="10" s="1"/>
  <c r="C474" i="10" s="1"/>
  <c r="E473" i="10"/>
  <c r="D473" i="10" s="1"/>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E447" i="10"/>
  <c r="D447" i="10"/>
  <c r="C447" i="10" s="1"/>
  <c r="E446" i="10"/>
  <c r="D446" i="10" s="1"/>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s="1"/>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605" i="10" l="1"/>
  <c r="S52" i="11"/>
  <c r="T52" i="11"/>
  <c r="C769" i="10"/>
  <c r="S66" i="11"/>
  <c r="T66" i="11"/>
  <c r="C355" i="10"/>
  <c r="S31" i="11"/>
  <c r="T31" i="11"/>
  <c r="C521" i="10"/>
  <c r="S45" i="11"/>
  <c r="T45" i="11"/>
  <c r="C871" i="10"/>
  <c r="S76" i="11"/>
  <c r="T76" i="11"/>
  <c r="C18" i="10"/>
  <c r="S4" i="11"/>
  <c r="T4" i="11"/>
  <c r="C901" i="10"/>
  <c r="S79" i="11"/>
  <c r="T79" i="11"/>
  <c r="C839" i="10"/>
  <c r="S73" i="11"/>
  <c r="T73" i="11"/>
  <c r="C1363" i="10"/>
  <c r="S120" i="11"/>
  <c r="T120" i="11"/>
  <c r="C5" i="10"/>
  <c r="S3" i="11"/>
  <c r="T3" i="11"/>
  <c r="C207" i="10"/>
  <c r="S19" i="11"/>
  <c r="T19" i="11"/>
  <c r="C366" i="10"/>
  <c r="S32" i="11"/>
  <c r="T32" i="11"/>
  <c r="C509" i="10"/>
  <c r="S44" i="11"/>
  <c r="T44" i="11"/>
  <c r="C656" i="10"/>
  <c r="S56" i="11"/>
  <c r="T56" i="11"/>
  <c r="C919" i="10"/>
  <c r="S81" i="11"/>
  <c r="T81" i="11"/>
  <c r="C1120" i="10"/>
  <c r="S100" i="11"/>
  <c r="T100" i="11"/>
  <c r="S108" i="11"/>
  <c r="T108" i="11"/>
  <c r="C1374" i="10"/>
  <c r="S121" i="11"/>
  <c r="T121" i="11"/>
  <c r="C1385" i="10"/>
  <c r="S122" i="11"/>
  <c r="T122" i="11"/>
  <c r="C1396" i="10"/>
  <c r="S123" i="11"/>
  <c r="T123" i="11"/>
  <c r="C1419" i="10"/>
  <c r="S125" i="11"/>
  <c r="T125" i="11"/>
  <c r="C1518" i="10"/>
  <c r="S135" i="11"/>
  <c r="T135" i="11"/>
  <c r="C1558" i="10"/>
  <c r="S139" i="11"/>
  <c r="T139" i="11"/>
  <c r="C1637" i="10"/>
  <c r="S146" i="11"/>
  <c r="T146" i="11"/>
  <c r="C1648" i="10"/>
  <c r="S147" i="11"/>
  <c r="T147" i="11"/>
  <c r="C135" i="10"/>
  <c r="S13" i="11"/>
  <c r="T13" i="11"/>
  <c r="C245" i="10"/>
  <c r="S22" i="11"/>
  <c r="T22" i="11"/>
  <c r="C344" i="10"/>
  <c r="S30" i="11"/>
  <c r="T30" i="11"/>
  <c r="C1002" i="10"/>
  <c r="S90" i="11"/>
  <c r="T90" i="11"/>
  <c r="C1110" i="10"/>
  <c r="S99" i="11"/>
  <c r="T99" i="11"/>
  <c r="C1281" i="10"/>
  <c r="S113" i="11"/>
  <c r="T113" i="11"/>
  <c r="C1316" i="10"/>
  <c r="S116" i="11"/>
  <c r="T116" i="11"/>
  <c r="C1327" i="10"/>
  <c r="S117" i="11"/>
  <c r="T117" i="11"/>
  <c r="C1478" i="10"/>
  <c r="S131" i="11"/>
  <c r="T131" i="11"/>
  <c r="C1508" i="10"/>
  <c r="S134" i="11"/>
  <c r="T134" i="11"/>
  <c r="C1527" i="10"/>
  <c r="S136" i="11"/>
  <c r="T136" i="11"/>
  <c r="C1588" i="10"/>
  <c r="S142" i="11"/>
  <c r="T142" i="11"/>
  <c r="C1671" i="10"/>
  <c r="S149" i="11"/>
  <c r="T149" i="11"/>
  <c r="S151" i="11"/>
  <c r="T151"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C84" i="10"/>
  <c r="S9" i="11"/>
  <c r="T9" i="11"/>
  <c r="C293" i="10"/>
  <c r="S26" i="11"/>
  <c r="T26" i="11"/>
  <c r="C304" i="10"/>
  <c r="S27" i="11"/>
  <c r="T27" i="11"/>
  <c r="C390" i="10"/>
  <c r="S34" i="11"/>
  <c r="T34" i="11"/>
  <c r="C825" i="10"/>
  <c r="S72" i="11"/>
  <c r="T72" i="11"/>
  <c r="C983" i="10"/>
  <c r="S88" i="11"/>
  <c r="T88" i="11"/>
  <c r="C1449" i="10"/>
  <c r="S128" i="11"/>
  <c r="T128"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97" i="10"/>
  <c r="S10" i="11"/>
  <c r="T10" i="11"/>
  <c r="C123" i="10"/>
  <c r="S12" i="11"/>
  <c r="T12" i="11"/>
  <c r="C174" i="10"/>
  <c r="S16" i="11"/>
  <c r="T16" i="11"/>
  <c r="C233" i="10"/>
  <c r="S21" i="11"/>
  <c r="T21" i="11"/>
  <c r="C472" i="10"/>
  <c r="S41" i="11"/>
  <c r="T41" i="11"/>
  <c r="C569" i="10"/>
  <c r="S49" i="11"/>
  <c r="T49" i="11"/>
  <c r="C692" i="10"/>
  <c r="S59" i="11"/>
  <c r="T59" i="11"/>
  <c r="C812" i="10"/>
  <c r="S71" i="11"/>
  <c r="T71" i="11"/>
  <c r="C958" i="10"/>
  <c r="S85" i="11"/>
  <c r="T85" i="11"/>
  <c r="C976" i="10"/>
  <c r="S87" i="11"/>
  <c r="T87" i="11"/>
  <c r="C1046" i="10"/>
  <c r="S94" i="11"/>
  <c r="T94" i="11"/>
  <c r="C1062" i="10"/>
  <c r="S95" i="11"/>
  <c r="T95" i="11"/>
  <c r="C1099" i="10"/>
  <c r="S98" i="11"/>
  <c r="T98" i="11"/>
  <c r="C1147" i="10"/>
  <c r="S102" i="11"/>
  <c r="T102" i="11"/>
  <c r="C1233" i="10"/>
  <c r="S109" i="11"/>
  <c r="T109" i="11"/>
  <c r="C1244" i="10"/>
  <c r="S110" i="11"/>
  <c r="T110" i="11"/>
  <c r="C1255" i="10"/>
  <c r="S111" i="11"/>
  <c r="T111" i="11"/>
  <c r="C1304" i="10"/>
  <c r="S115" i="11"/>
  <c r="T115" i="11"/>
  <c r="C1407" i="10"/>
  <c r="S124" i="11"/>
  <c r="T124" i="11"/>
  <c r="C1537" i="10"/>
  <c r="S137" i="11"/>
  <c r="T137" i="11"/>
  <c r="C1600" i="10"/>
  <c r="S143" i="11"/>
  <c r="T143" i="11"/>
  <c r="C1708" i="10"/>
  <c r="S153" i="11"/>
  <c r="T153"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S127" i="11"/>
  <c r="T127" i="11"/>
  <c r="C1459" i="10"/>
  <c r="S129" i="11"/>
  <c r="T129" i="11"/>
  <c r="C1488" i="10"/>
  <c r="S132" i="11"/>
  <c r="T132" i="11"/>
  <c r="C1610" i="10"/>
  <c r="S144" i="11"/>
  <c r="T144" i="11"/>
  <c r="C1681" i="10"/>
  <c r="S150" i="11"/>
  <c r="T150" i="11"/>
  <c r="C1717" i="10"/>
  <c r="S154" i="11"/>
  <c r="T154" i="11"/>
  <c r="S155" i="11"/>
  <c r="T155" i="11"/>
  <c r="C1733" i="10"/>
  <c r="S156" i="11"/>
  <c r="T156" i="11"/>
  <c r="C1741" i="10"/>
  <c r="S157" i="11"/>
  <c r="T157" i="11"/>
  <c r="C1756" i="10"/>
  <c r="T159" i="11"/>
  <c r="S159" i="11"/>
  <c r="C1764" i="10"/>
  <c r="S160" i="11"/>
  <c r="T160" i="11"/>
  <c r="C1772" i="10"/>
  <c r="T161" i="11"/>
  <c r="S161" i="11"/>
  <c r="C44" i="10"/>
  <c r="S6" i="11"/>
  <c r="T6" i="11"/>
  <c r="C57" i="10"/>
  <c r="S7" i="11"/>
  <c r="T7" i="11"/>
  <c r="C149" i="10"/>
  <c r="S14" i="11"/>
  <c r="T14" i="11"/>
  <c r="C161" i="10"/>
  <c r="S15" i="11"/>
  <c r="T15" i="11"/>
  <c r="C257" i="10"/>
  <c r="S23" i="11"/>
  <c r="T23" i="11"/>
  <c r="S40" i="11"/>
  <c r="T40" i="11"/>
  <c r="C618" i="10"/>
  <c r="S53" i="11"/>
  <c r="T53" i="11"/>
  <c r="C715" i="10"/>
  <c r="S61" i="11"/>
  <c r="T61" i="11"/>
  <c r="C849" i="10"/>
  <c r="S74" i="11"/>
  <c r="T74" i="11"/>
  <c r="C859" i="10"/>
  <c r="S75" i="11"/>
  <c r="T75" i="11"/>
  <c r="C949" i="10"/>
  <c r="S84" i="11"/>
  <c r="T84" i="11"/>
  <c r="C1547" i="10"/>
  <c r="S138" i="11"/>
  <c r="T138" i="11"/>
  <c r="C2" i="10"/>
  <c r="T2" i="11"/>
  <c r="S2" i="11"/>
  <c r="C109" i="10"/>
  <c r="S11" i="11"/>
  <c r="T11" i="11"/>
  <c r="C185" i="10"/>
  <c r="S17" i="11"/>
  <c r="T17" i="11"/>
  <c r="C270" i="10"/>
  <c r="S24" i="11"/>
  <c r="T24" i="11"/>
  <c r="C702" i="10"/>
  <c r="S60" i="11"/>
  <c r="T60" i="11"/>
  <c r="H15" i="6"/>
  <c r="K27" i="6"/>
  <c r="K28"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C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E57" i="5" s="1"/>
  <c r="AI155" i="11"/>
  <c r="AE155" i="11"/>
  <c r="E52" i="5" s="1"/>
  <c r="AA155" i="11"/>
  <c r="AJ155" i="11"/>
  <c r="Y155" i="11"/>
  <c r="E47" i="5" s="1"/>
  <c r="U155" i="11"/>
  <c r="O155" i="11"/>
  <c r="E42" i="5" s="1"/>
  <c r="K155" i="11"/>
  <c r="G155" i="11"/>
  <c r="N155" i="11"/>
  <c r="J39" i="5" s="1"/>
  <c r="J155" i="11"/>
  <c r="AN155" i="11"/>
  <c r="J57" i="5" s="1"/>
  <c r="AB155" i="11"/>
  <c r="M155" i="11"/>
  <c r="E39" i="5" s="1"/>
  <c r="I155" i="11"/>
  <c r="E155" i="11"/>
  <c r="E36" i="5" s="1"/>
  <c r="AF155" i="11"/>
  <c r="J52" i="5" s="1"/>
  <c r="L155" i="11"/>
  <c r="Z155" i="11"/>
  <c r="J47" i="5" s="1"/>
  <c r="H155" i="11"/>
  <c r="V155" i="11"/>
  <c r="F155" i="11"/>
  <c r="J36" i="5" s="1"/>
  <c r="P155" i="11"/>
  <c r="J42" i="5" s="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37" i="5" l="1"/>
  <c r="G37" i="5" s="1"/>
  <c r="F37" i="5"/>
  <c r="B37" i="5"/>
  <c r="B58" i="5"/>
  <c r="C58" i="5"/>
  <c r="G58" i="5" s="1"/>
  <c r="F58" i="5"/>
  <c r="AL101" i="11"/>
  <c r="D113" i="11"/>
  <c r="F43" i="5"/>
  <c r="C43" i="5"/>
  <c r="G43" i="5" s="1"/>
  <c r="B43" i="5"/>
  <c r="C136" i="11"/>
  <c r="AD119" i="11"/>
  <c r="X113" i="11"/>
  <c r="F40" i="5"/>
  <c r="B40" i="5"/>
  <c r="C40" i="5"/>
  <c r="G40" i="5" s="1"/>
  <c r="F53" i="5"/>
  <c r="B53" i="5"/>
  <c r="C53" i="5"/>
  <c r="G53" i="5" s="1"/>
  <c r="Q138" i="11"/>
  <c r="C119" i="11"/>
  <c r="C163" i="11"/>
  <c r="W163" i="11"/>
  <c r="D163" i="11"/>
  <c r="X163" i="11"/>
  <c r="Q163" i="11"/>
  <c r="AC163" i="11"/>
  <c r="AG163" i="11"/>
  <c r="AK163" i="11"/>
  <c r="R163" i="11"/>
  <c r="AD163" i="11"/>
  <c r="AH163" i="11"/>
  <c r="AL163" i="11"/>
  <c r="F48" i="5"/>
  <c r="C48" i="5"/>
  <c r="G48" i="5" s="1"/>
  <c r="B48" i="5"/>
  <c r="AG130" i="11"/>
  <c r="Q162" i="11"/>
  <c r="AC162" i="11"/>
  <c r="AG162" i="11"/>
  <c r="AK162" i="11"/>
  <c r="R162" i="11"/>
  <c r="AD162" i="11"/>
  <c r="AH162" i="11"/>
  <c r="AL162" i="11"/>
  <c r="C162" i="11"/>
  <c r="W162" i="11"/>
  <c r="D162" i="11"/>
  <c r="X162"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E55" i="5" s="1"/>
  <c r="AD155" i="11"/>
  <c r="J50" i="5" s="1"/>
  <c r="C155" i="11"/>
  <c r="E34" i="5" s="1"/>
  <c r="AH155" i="11"/>
  <c r="AC155" i="11"/>
  <c r="E50" i="5" s="1"/>
  <c r="X155" i="11"/>
  <c r="J45" i="5" s="1"/>
  <c r="R155" i="11"/>
  <c r="AG155" i="11"/>
  <c r="W155" i="11"/>
  <c r="E45" i="5" s="1"/>
  <c r="Q155" i="11"/>
  <c r="AL155" i="11"/>
  <c r="J55" i="5" s="1"/>
  <c r="D155" i="11"/>
  <c r="J34" i="5" s="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46" i="5" l="1"/>
  <c r="G46" i="5" s="1"/>
  <c r="F46" i="5"/>
  <c r="B46" i="5"/>
  <c r="F51" i="5"/>
  <c r="B51" i="5"/>
  <c r="C51" i="5"/>
  <c r="G51" i="5" s="1"/>
  <c r="F56" i="5"/>
  <c r="B56" i="5"/>
  <c r="C56" i="5"/>
  <c r="G56" i="5" s="1"/>
  <c r="F35" i="5"/>
  <c r="B35" i="5"/>
  <c r="C35" i="5"/>
  <c r="G35" i="5" s="1"/>
  <c r="K11" i="6"/>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<sst xmlns="http://schemas.openxmlformats.org/spreadsheetml/2006/main" count="4788" uniqueCount="469">
  <si>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</si>
  <si>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</si>
  <si>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</si>
  <si>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</si>
  <si>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</si>
  <si>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</si>
  <si>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</si>
  <si>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</si>
  <si>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</si>
  <si>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</si>
  <si>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</si>
  <si>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</si>
  <si>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</si>
  <si>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</si>
  <si>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</si>
  <si>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</si>
  <si>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</si>
  <si>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</si>
  <si>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</si>
  <si>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</si>
  <si>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</si>
  <si>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</si>
  <si>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</si>
  <si>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</si>
  <si>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</si>
  <si>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</si>
  <si>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</si>
  <si>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</si>
  <si>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</si>
  <si>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</si>
  <si>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</si>
  <si>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</si>
  <si>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</si>
  <si>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</si>
  <si>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</si>
  <si>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</si>
  <si>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</si>
  <si>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</si>
  <si>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</si>
  <si>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</si>
  <si>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</si>
  <si>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</si>
  <si>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</si>
  <si>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</si>
  <si>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</si>
  <si>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</si>
  <si>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</si>
  <si>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</si>
  <si>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</si>
  <si>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</si>
  <si>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</si>
  <si>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</si>
  <si>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</si>
  <si>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</si>
  <si>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</si>
  <si>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</si>
  <si>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</si>
  <si>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</si>
  <si>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</si>
  <si>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</si>
  <si>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</si>
  <si>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</si>
  <si>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</si>
  <si>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</si>
  <si>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</si>
  <si>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</si>
  <si>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</si>
  <si>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</si>
  <si>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</si>
  <si>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</si>
  <si>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</si>
  <si>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</si>
  <si>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</si>
  <si>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</si>
  <si>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</si>
  <si>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</si>
  <si>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</si>
  <si>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</si>
  <si>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</si>
  <si>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</si>
  <si>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</si>
  <si>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</si>
  <si>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</si>
  <si>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</si>
  <si>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</si>
  <si>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</si>
  <si>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</si>
  <si>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</si>
  <si>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</si>
  <si>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</si>
  <si>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</si>
  <si>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</si>
  <si>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</si>
  <si>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</si>
  <si>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</si>
  <si>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</si>
  <si>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</si>
  <si>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</si>
  <si>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</si>
  <si>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</si>
  <si>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</si>
  <si>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</si>
  <si>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</si>
  <si>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</si>
  <si>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</si>
  <si>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</si>
  <si>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</si>
  <si>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</si>
  <si>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</si>
  <si>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</si>
  <si>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</si>
  <si>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</si>
  <si>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</si>
  <si>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</si>
  <si>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</si>
  <si>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</si>
  <si>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</si>
  <si>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</si>
  <si>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</si>
  <si>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</si>
  <si>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</si>
  <si>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</si>
  <si>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</si>
  <si>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</si>
  <si>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</si>
  <si>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</si>
  <si>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</si>
  <si>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</si>
  <si>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</si>
  <si>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</si>
  <si>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</si>
  <si>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</si>
  <si>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</si>
  <si>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</si>
  <si>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</si>
  <si>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</si>
  <si>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</si>
  <si>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</si>
  <si>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</si>
  <si>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</si>
  <si>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</si>
  <si>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</si>
  <si>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</si>
  <si>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</si>
  <si>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</si>
  <si>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</si>
  <si>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</si>
  <si>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</si>
  <si>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</si>
  <si>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</si>
  <si>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</si>
  <si>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</si>
  <si>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</si>
  <si>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</si>
  <si>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</si>
  <si>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</si>
  <si>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</si>
  <si>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</si>
  <si>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</si>
  <si>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</si>
  <si>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</si>
  <si>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</si>
  <si>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</si>
  <si>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</si>
  <si>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</si>
  <si>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</si>
  <si>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</si>
  <si>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</si>
  <si>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</si>
  <si>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</si>
  <si>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</si>
  <si>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</si>
  <si>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</si>
  <si>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</si>
  <si>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</si>
  <si>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</si>
  <si>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</si>
  <si>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</si>
  <si>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</si>
  <si>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</si>
  <si>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</si>
  <si>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</si>
  <si>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</si>
  <si>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</si>
  <si>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</si>
  <si>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</si>
  <si>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</si>
  <si>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</si>
  <si>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</si>
  <si>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</si>
  <si>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</si>
  <si>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</si>
  <si>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</si>
  <si>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</si>
  <si>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</si>
  <si>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</si>
  <si>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</si>
  <si>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</si>
  <si>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</si>
  <si>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</si>
  <si>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</si>
  <si>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</si>
  <si>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</si>
  <si>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</si>
  <si>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</si>
  <si>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</si>
  <si>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</si>
  <si>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</si>
  <si>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</si>
  <si>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</si>
  <si>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</si>
  <si>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</si>
  <si>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</si>
  <si>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</si>
  <si>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</si>
  <si>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</si>
  <si>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</si>
  <si>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</si>
  <si>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</si>
  <si>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</si>
  <si>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</si>
  <si>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</si>
  <si>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</si>
  <si>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</si>
  <si>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</si>
  <si>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</si>
  <si>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</si>
  <si>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</si>
  <si>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</si>
  <si>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</si>
  <si>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</si>
  <si>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</si>
  <si>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</si>
  <si>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</si>
  <si>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</si>
  <si>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</si>
  <si>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</si>
  <si>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</si>
  <si>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</si>
  <si>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</si>
  <si>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</si>
  <si>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</si>
  <si>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</si>
  <si>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</si>
  <si>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</si>
  <si>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</si>
  <si>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</si>
  <si>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</si>
  <si>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</si>
  <si>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</si>
  <si>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</si>
  <si>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</si>
  <si>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</si>
  <si>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</si>
  <si>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</si>
  <si>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</si>
  <si>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</si>
  <si>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</si>
  <si>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</si>
  <si>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</si>
  <si>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</si>
  <si>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</si>
  <si>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</si>
  <si>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</si>
  <si>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</si>
  <si>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</si>
  <si>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</si>
  <si>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</si>
  <si>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</si>
  <si>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</si>
  <si>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</si>
  <si>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</si>
  <si>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</si>
  <si>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</si>
  <si>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</si>
  <si>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</si>
  <si>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</si>
  <si>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</si>
  <si>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</si>
  <si>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</si>
  <si>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</si>
  <si>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</si>
  <si>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</si>
  <si>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</si>
  <si>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</si>
  <si>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</si>
  <si>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</si>
  <si>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</si>
  <si>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</si>
  <si>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</si>
  <si>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</si>
  <si>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</si>
  <si>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</si>
  <si>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</si>
  <si>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</si>
  <si>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</si>
  <si>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</si>
  <si>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</si>
  <si>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</si>
  <si>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</si>
  <si>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</si>
  <si>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</si>
  <si>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</si>
  <si>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</si>
  <si>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</si>
  <si>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</si>
  <si>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</si>
  <si>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</si>
  <si>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</si>
  <si>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</si>
  <si>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</si>
  <si>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</si>
  <si>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</si>
  <si>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</si>
  <si>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</si>
  <si>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</si>
  <si>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</si>
  <si>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</si>
  <si>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</si>
  <si>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</si>
  <si>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</si>
  <si>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</si>
  <si>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</si>
  <si>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</si>
  <si>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</si>
  <si>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</si>
  <si>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</si>
  <si>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</si>
  <si>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</si>
  <si>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</si>
  <si>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</si>
  <si>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</si>
  <si>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</si>
  <si>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</si>
  <si>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</si>
  <si>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</si>
  <si>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</si>
  <si>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</si>
  <si>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</si>
  <si>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</si>
  <si>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</si>
  <si>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</si>
  <si>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</si>
  <si>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</si>
  <si>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</si>
  <si>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</si>
  <si>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</si>
  <si>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</si>
  <si>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</si>
  <si>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</si>
  <si>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</si>
  <si>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</si>
  <si>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</si>
  <si>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</si>
  <si>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</si>
  <si>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</si>
  <si>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</si>
  <si>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</si>
  <si>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</si>
  <si>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</si>
  <si>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</si>
  <si>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</si>
  <si>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</si>
  <si>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</si>
  <si>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</si>
  <si>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</si>
  <si>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</si>
  <si>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</si>
  <si>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</si>
  <si>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</si>
  <si>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</si>
  <si>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</si>
  <si>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</si>
  <si>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</si>
  <si>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</si>
  <si>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</si>
  <si>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</si>
  <si>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</si>
  <si>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</si>
  <si>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</si>
  <si>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</si>
  <si>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</si>
  <si>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</si>
  <si>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</si>
  <si>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</si>
  <si>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</si>
  <si>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</si>
  <si>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</si>
  <si>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</si>
  <si>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</si>
  <si>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</si>
  <si>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</si>
  <si>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</si>
  <si>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</si>
  <si>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</si>
  <si>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</si>
  <si>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</si>
  <si>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</si>
  <si>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</si>
  <si>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</si>
  <si>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</si>
  <si>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</si>
  <si>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</si>
  <si>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</si>
  <si>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</si>
  <si>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</si>
  <si>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</si>
  <si>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</si>
  <si>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</si>
  <si>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</si>
  <si>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</si>
  <si>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</si>
  <si>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</si>
  <si>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</si>
  <si>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</si>
  <si>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</si>
  <si>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</si>
  <si>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</si>
  <si>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</si>
  <si>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</si>
  <si>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</si>
  <si>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</si>
  <si>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</si>
  <si>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</si>
  <si>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</si>
  <si>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</si>
  <si>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</si>
  <si>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</si>
  <si>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</si>
  <si>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</si>
  <si>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</si>
  <si>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</si>
  <si>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</si>
  <si>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</si>
  <si>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</si>
  <si>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</si>
  <si>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</si>
  <si>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</si>
  <si>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</si>
  <si>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</si>
  <si>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</si>
  <si>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</si>
  <si>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</si>
  <si>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</si>
  <si>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</si>
  <si>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</si>
  <si>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</si>
  <si>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</si>
  <si>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</si>
  <si>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</si>
  <si>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</si>
  <si>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</si>
  <si>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</si>
  <si>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</si>
  <si>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</si>
  <si>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</si>
  <si>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</si>
  <si>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主要原因是2021年人员增加，幼儿人数增加，导致人员经费大幅度增加，公用经费增加。</t>
    <phoneticPr fontId="4" type="noConversion"/>
  </si>
  <si>
    <t>主要原因是项目已执行完毕。</t>
    <phoneticPr fontId="4" type="noConversion"/>
  </si>
  <si>
    <t>主要原因是2021年单位负担养老保险缴费比例调整为16%，导致支出减少。</t>
    <phoneticPr fontId="4" type="noConversion"/>
  </si>
  <si>
    <t>主要原因是今年新增8名教师，造成人员经费大幅度增加。新增幼儿28人，日常的公用及幼儿活动经费增大。</t>
    <phoneticPr fontId="4" type="noConversion"/>
  </si>
  <si>
    <t>主要原因是本单位无公务用车，未产生此费用。</t>
    <phoneticPr fontId="4" type="noConversion"/>
  </si>
  <si>
    <t>主要原因是按照幼儿园培训计划安排培训，结余555元，财政收回。</t>
    <phoneticPr fontId="4" type="noConversion"/>
  </si>
  <si>
    <t>主要原因是今年新增8名教师，人员配置渐渐齐全，造成事业单位医疗款大幅度增加。</t>
    <phoneticPr fontId="4" type="noConversion"/>
  </si>
  <si>
    <t>主要原因是今年新增8名教师，人员配置渐渐齐全，造成住房改革支出大幅度增加。</t>
    <phoneticPr fontId="4" type="noConversion"/>
  </si>
  <si>
    <t>西城区育民五一幼儿园是2018年新建园，主管单位北京市西城区教育委员会，北京市一级二类幼儿园，编制人数为42人，现有教职工人数为38人，地址位于真武庙二里五号楼，建筑面积为1999.24平方米；幼儿园现开设8个班级，其中小班4个，中班2个，大班2个。幼儿人数172人。 园长1人，副园长1人，保教副主任1人，总务副主任1人，保健医2人，财务2人，厨师3人，教师27人。幼儿园的主要职能为学龄前儿童提供保育和教育服务。</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</si>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</sst>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B3" sqref="B3"/>
    </sheetView>
  </sheetViews>
  <sheetFormatPr defaultRowHeight="14.25"/>
  <cols>
    <col min="1" max="1" width="16.5" customWidth="1"/>
    <col min="2" max="2" width="12.75" bestFit="1" customWidth="1"/>
  </cols>
  <sheetData>
    <row r="1" spans="1:14" ht="37.9" customHeight="1">
      <c r="A1" s="26" t="s">
        <v>0</v>
      </c>
      <c r="B1" s="27">
        <v>255195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北京市西城区育民五一幼儿园</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451</v>
      </c>
      <c r="T1" s="72" t="s">
        <v>452</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442</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443</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447</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447</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441</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441</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441</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441</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441</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441</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441</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441</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441</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441</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441</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447</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447</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442</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442</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442</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442</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442</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442</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443</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443</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443</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443</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443</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443</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447</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447</v>
      </c>
      <c r="B23" s="70">
        <v>2060499</v>
      </c>
      <c r="C23" s="70" t="s">
        <v>448</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449</v>
      </c>
      <c r="B34" s="70">
        <v>2120801</v>
      </c>
      <c r="C34" s="70" t="s">
        <v>448</v>
      </c>
      <c r="D34" s="70" t="s">
        <v>450</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454</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8"/>
  <sheetViews>
    <sheetView zoomScaleNormal="100" workbookViewId="0">
      <selection activeCell="B54" sqref="B54:L5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89.25" customHeight="1">
      <c r="A4" s="80" t="s">
        <v>465</v>
      </c>
      <c r="B4" s="80"/>
      <c r="C4" s="80"/>
      <c r="D4" s="80"/>
      <c r="E4" s="80"/>
      <c r="F4" s="80"/>
      <c r="G4" s="80"/>
      <c r="H4" s="80"/>
      <c r="I4" s="80"/>
      <c r="J4" s="80"/>
      <c r="K4" s="80"/>
      <c r="L4" s="80"/>
      <c r="M4" s="80"/>
      <c r="N4" s="18"/>
    </row>
    <row r="5" spans="1:14" ht="18" customHeight="1">
      <c r="A5" s="7" t="s">
        <v>176</v>
      </c>
    </row>
    <row r="6" spans="1:14" ht="18" customHeight="1">
      <c r="A6" s="84" t="s">
        <v>241</v>
      </c>
      <c r="B6" s="84"/>
      <c r="C6" s="10">
        <v>42</v>
      </c>
      <c r="D6" s="10" t="s">
        <v>243</v>
      </c>
      <c r="E6" s="8">
        <f>_xlfn.IFNA(VLOOKUP(封面!B1,'2021决算导出'!A:C,3,FALSE),"")</f>
        <v>38</v>
      </c>
      <c r="F6" s="10" t="s">
        <v>244</v>
      </c>
      <c r="G6" s="10"/>
      <c r="H6" s="10"/>
      <c r="I6" s="10"/>
      <c r="J6" s="10"/>
      <c r="K6" s="10"/>
      <c r="L6" s="10"/>
      <c r="M6" s="10"/>
      <c r="N6" s="10"/>
    </row>
    <row r="7" spans="1:14" ht="18" customHeight="1">
      <c r="A7" s="6" t="s">
        <v>177</v>
      </c>
    </row>
    <row r="8" spans="1:14" ht="18" customHeight="1">
      <c r="A8" s="84" t="s">
        <v>412</v>
      </c>
      <c r="B8" s="84"/>
      <c r="C8" s="84"/>
      <c r="D8" s="13">
        <f>_xlfn.IFNA(VLOOKUP(封面!B1,'2021决算导出'!A:D,4,FALSE),"")</f>
        <v>11678028.75</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984185.46000000089</v>
      </c>
      <c r="I8" s="15" t="s">
        <v>179</v>
      </c>
      <c r="J8" s="29" t="str">
        <f>IF(ISNA(VLOOKUP(封面!B1,'2020决算导出'!A:D,4,FALSE)),"",IF(D8-VLOOKUP(封面!B1,'2020决算导出'!A:D,4,FALSE)&gt;0,"增长","下降"))</f>
        <v>增长</v>
      </c>
      <c r="K8" s="30">
        <f>IF(ISNA(VLOOKUP(封面!B1,'2020决算导出'!A:D,4,FALSE)),"",H8/VLOOKUP(封面!B1,'2020决算导出'!A:D,4,FALSE))</f>
        <v>9.20329046639696E-2</v>
      </c>
      <c r="L8" s="7" t="s">
        <v>309</v>
      </c>
    </row>
    <row r="9" spans="1:14" ht="18" customHeight="1">
      <c r="A9" s="7" t="s">
        <v>180</v>
      </c>
      <c r="G9" s="31"/>
      <c r="H9" s="31"/>
      <c r="I9" s="31"/>
      <c r="J9" s="31"/>
      <c r="K9" s="31"/>
    </row>
    <row r="10" spans="1:14" ht="18" customHeight="1">
      <c r="A10" s="84" t="s">
        <v>413</v>
      </c>
      <c r="B10" s="84"/>
      <c r="C10" s="84"/>
      <c r="D10" s="13">
        <f>_xlfn.IFNA(VLOOKUP(封面!B1,'2021决算导出'!A:E,5,FALSE),"")</f>
        <v>11678028.75</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1194131.0600000005</v>
      </c>
      <c r="I10" s="15" t="s">
        <v>179</v>
      </c>
      <c r="J10" s="29" t="str">
        <f>IF(ISNA(VLOOKUP(封面!B1,'2020决算导出'!A:E,5,FALSE)),"",IF(D10-VLOOKUP(封面!B1,'2020决算导出'!A:E,5,FALSE)&gt;0,"增长","下降"))</f>
        <v>增长</v>
      </c>
      <c r="K10" s="30">
        <f>IF(ISNA(VLOOKUP(封面!B1,'2020决算导出'!A:E,5,FALSE)),"",H10/VLOOKUP(封面!B1,'2020决算导出'!A:E,5,FALSE))</f>
        <v>0.11390144155441492</v>
      </c>
      <c r="L10" s="7" t="s">
        <v>310</v>
      </c>
    </row>
    <row r="11" spans="1:14" ht="18" customHeight="1">
      <c r="A11" s="84" t="s">
        <v>181</v>
      </c>
      <c r="B11" s="84"/>
      <c r="C11" s="84"/>
      <c r="D11" s="13">
        <f>_xlfn.IFNA(VLOOKUP(封面!B1,'2021决算导出'!A:F,6,FALSE),"")</f>
        <v>11678028.75</v>
      </c>
      <c r="E11" s="7" t="s">
        <v>179</v>
      </c>
      <c r="F11" s="84" t="s">
        <v>182</v>
      </c>
      <c r="G11" s="84"/>
      <c r="H11" s="28">
        <f>D11/$D$10</f>
        <v>1</v>
      </c>
      <c r="I11" s="7" t="s">
        <v>311</v>
      </c>
    </row>
    <row r="12" spans="1:14" ht="18" customHeight="1">
      <c r="A12" s="84" t="s">
        <v>183</v>
      </c>
      <c r="B12" s="84"/>
      <c r="C12" s="84"/>
      <c r="D12" s="13">
        <f>_xlfn.IFNA(VLOOKUP(封面!B1,'2021决算导出'!A:G,7,FALSE),"")</f>
        <v>0</v>
      </c>
      <c r="E12" s="7" t="s">
        <v>179</v>
      </c>
      <c r="F12" s="84" t="s">
        <v>182</v>
      </c>
      <c r="G12" s="84"/>
      <c r="H12" s="28">
        <f t="shared" ref="H12:H15" si="0">D12/$D$10</f>
        <v>0</v>
      </c>
      <c r="I12" s="7" t="s">
        <v>311</v>
      </c>
    </row>
    <row r="13" spans="1:14" ht="18" customHeight="1">
      <c r="A13" s="84" t="s">
        <v>184</v>
      </c>
      <c r="B13" s="84"/>
      <c r="C13" s="84"/>
      <c r="D13" s="13">
        <f>_xlfn.IFNA(VLOOKUP(封面!B1,'2021决算导出'!A:H,8,FALSE),"")</f>
        <v>0</v>
      </c>
      <c r="E13" s="7" t="s">
        <v>179</v>
      </c>
      <c r="F13" s="84" t="s">
        <v>182</v>
      </c>
      <c r="G13" s="84"/>
      <c r="H13" s="28">
        <f t="shared" si="0"/>
        <v>0</v>
      </c>
      <c r="I13" s="7" t="s">
        <v>311</v>
      </c>
    </row>
    <row r="14" spans="1:14" ht="18" customHeight="1">
      <c r="A14" s="84" t="s">
        <v>185</v>
      </c>
      <c r="B14" s="84"/>
      <c r="C14" s="84"/>
      <c r="D14" s="13">
        <f>_xlfn.IFNA(VLOOKUP(封面!B1,'2021决算导出'!A:I,9,FALSE),"")</f>
        <v>0</v>
      </c>
      <c r="E14" s="7" t="s">
        <v>179</v>
      </c>
      <c r="F14" s="84" t="s">
        <v>182</v>
      </c>
      <c r="G14" s="84"/>
      <c r="H14" s="28">
        <f t="shared" si="0"/>
        <v>0</v>
      </c>
      <c r="I14" s="7" t="s">
        <v>311</v>
      </c>
    </row>
    <row r="15" spans="1:14" ht="18" customHeight="1">
      <c r="A15" s="84" t="s">
        <v>186</v>
      </c>
      <c r="B15" s="84"/>
      <c r="C15" s="84"/>
      <c r="D15" s="13">
        <f>_xlfn.IFNA(VLOOKUP(封面!B1,'2021决算导出'!A:J,10,FALSE),"")</f>
        <v>0</v>
      </c>
      <c r="E15" s="7" t="s">
        <v>179</v>
      </c>
      <c r="F15" s="84" t="s">
        <v>182</v>
      </c>
      <c r="G15" s="84"/>
      <c r="H15" s="28">
        <f t="shared" si="0"/>
        <v>0</v>
      </c>
      <c r="I15" s="7" t="s">
        <v>312</v>
      </c>
    </row>
    <row r="16" spans="1:14" ht="18" customHeight="1">
      <c r="A16" s="7" t="s">
        <v>187</v>
      </c>
    </row>
    <row r="17" spans="1:13" ht="18" customHeight="1">
      <c r="A17" s="84" t="s">
        <v>414</v>
      </c>
      <c r="B17" s="84"/>
      <c r="C17" s="84"/>
      <c r="D17" s="13">
        <f>_xlfn.IFNA(VLOOKUP(封面!B1,'2021决算导出'!A:K,11,FALSE),"")</f>
        <v>11678028.75</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984185.46000000089</v>
      </c>
      <c r="I17" s="7" t="s">
        <v>179</v>
      </c>
      <c r="J17" s="29" t="str">
        <f>IF(ISNA(VLOOKUP(封面!B1,'2020决算导出'!A:K,11,FALSE)),"",IF(D17-VLOOKUP(封面!B1,'2020决算导出'!A:K,11,FALSE)&gt;0,"增长","下降"))</f>
        <v>增长</v>
      </c>
      <c r="K17" s="30">
        <f>IF(ISNA(VLOOKUP(封面!B1,'2020决算导出'!A:K,11,FALSE)),"",H17/VLOOKUP(封面!B1,'2020决算导出'!A:K,11,FALSE))</f>
        <v>9.20329046639696E-2</v>
      </c>
      <c r="L17" s="7" t="s">
        <v>313</v>
      </c>
    </row>
    <row r="18" spans="1:13" ht="18" customHeight="1">
      <c r="A18" s="84" t="s">
        <v>188</v>
      </c>
      <c r="B18" s="84"/>
      <c r="C18" s="84"/>
      <c r="D18" s="13">
        <f>_xlfn.IFNA(VLOOKUP(封面!B1,'2021决算导出'!A:L,12,FALSE),"")</f>
        <v>10739015.75</v>
      </c>
      <c r="E18" s="7" t="s">
        <v>179</v>
      </c>
      <c r="F18" s="84" t="s">
        <v>189</v>
      </c>
      <c r="G18" s="84"/>
      <c r="H18" s="28">
        <f>D18/$D$17</f>
        <v>0.91959148071116026</v>
      </c>
      <c r="I18" s="7" t="s">
        <v>311</v>
      </c>
    </row>
    <row r="19" spans="1:13" ht="18" customHeight="1">
      <c r="A19" s="84" t="s">
        <v>190</v>
      </c>
      <c r="B19" s="84"/>
      <c r="C19" s="84"/>
      <c r="D19" s="13">
        <f>_xlfn.IFNA(VLOOKUP(封面!B1,'2021决算导出'!A:M,13,FALSE),"")</f>
        <v>939013</v>
      </c>
      <c r="E19" s="7" t="s">
        <v>179</v>
      </c>
      <c r="F19" s="84" t="s">
        <v>189</v>
      </c>
      <c r="G19" s="84"/>
      <c r="H19" s="28">
        <f t="shared" ref="H19:H20" si="1">D19/$D$17</f>
        <v>8.0408519288839742E-2</v>
      </c>
      <c r="I19" s="7" t="s">
        <v>311</v>
      </c>
    </row>
    <row r="20" spans="1:13" ht="18" customHeight="1">
      <c r="A20" s="84" t="s">
        <v>191</v>
      </c>
      <c r="B20" s="84"/>
      <c r="C20" s="84"/>
      <c r="D20" s="13">
        <f>_xlfn.IFNA(VLOOKUP(封面!B1,'2021决算导出'!A:N,14,FALSE),"")</f>
        <v>0</v>
      </c>
      <c r="E20" s="7" t="s">
        <v>179</v>
      </c>
      <c r="F20" s="84" t="s">
        <v>189</v>
      </c>
      <c r="G20" s="84"/>
      <c r="H20" s="28">
        <f t="shared" si="1"/>
        <v>0</v>
      </c>
      <c r="I20" s="7" t="s">
        <v>312</v>
      </c>
    </row>
    <row r="21" spans="1:13" ht="18" customHeight="1">
      <c r="A21" s="6" t="s">
        <v>192</v>
      </c>
    </row>
    <row r="22" spans="1:13" ht="18" customHeight="1">
      <c r="A22" s="84" t="s">
        <v>415</v>
      </c>
      <c r="B22" s="84"/>
      <c r="C22" s="84"/>
      <c r="D22" s="84"/>
      <c r="E22" s="79">
        <f>_xlfn.IFNA(VLOOKUP(封面!B1,'2021决算导出'!A:O,15,FALSE),"")</f>
        <v>11678028.75</v>
      </c>
      <c r="F22" s="79"/>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984185.46000000089</v>
      </c>
      <c r="J22" s="7" t="s">
        <v>179</v>
      </c>
      <c r="K22" s="29" t="str">
        <f>IF(ISNA(VLOOKUP(封面!B1,'2020决算导出'!A:O,15,FALSE)),"",IF(E22-VLOOKUP(封面!B1,'2020决算导出'!A:O,15,FALSE)&gt;0,"增长","下降"))</f>
        <v>增长</v>
      </c>
      <c r="L22" s="30">
        <f>IF(ISNA(VLOOKUP(封面!B1,'2020决算导出'!A:O,15,FALSE)),"",I22/VLOOKUP(封面!B1,'2020决算导出'!A:O,15,FALSE))</f>
        <v>9.20329046639696E-2</v>
      </c>
      <c r="M22" s="7" t="s">
        <v>309</v>
      </c>
    </row>
    <row r="23" spans="1:13" ht="63.6" customHeight="1">
      <c r="B23" s="86" t="s">
        <v>457</v>
      </c>
      <c r="C23" s="86"/>
      <c r="D23" s="86"/>
      <c r="E23" s="86"/>
      <c r="F23" s="86"/>
      <c r="G23" s="86"/>
      <c r="H23" s="86"/>
      <c r="I23" s="86"/>
      <c r="J23" s="86"/>
      <c r="K23" s="86"/>
      <c r="L23" s="86"/>
      <c r="M23" s="86"/>
    </row>
    <row r="24" spans="1:13" ht="18" customHeight="1">
      <c r="A24" s="6" t="s">
        <v>193</v>
      </c>
    </row>
    <row r="25" spans="1:13" ht="18" customHeight="1">
      <c r="A25" s="7" t="s">
        <v>194</v>
      </c>
    </row>
    <row r="26" spans="1:13" ht="18" customHeight="1">
      <c r="A26" s="84" t="s">
        <v>416</v>
      </c>
      <c r="B26" s="84"/>
      <c r="C26" s="84"/>
      <c r="D26" s="84"/>
      <c r="E26" s="84"/>
      <c r="F26" s="79">
        <f>_xlfn.IFNA(VLOOKUP(封面!B1,'2021决算导出'!A:P,16,FALSE),"")</f>
        <v>11678028.75</v>
      </c>
      <c r="G26" s="79"/>
      <c r="H26" s="7" t="s">
        <v>179</v>
      </c>
      <c r="I26" s="10" t="s">
        <v>195</v>
      </c>
      <c r="J26" s="10"/>
      <c r="K26" s="10"/>
      <c r="L26" s="10"/>
      <c r="M26" s="10"/>
    </row>
    <row r="27" spans="1:13" ht="18" customHeight="1">
      <c r="A27" s="84" t="s">
        <v>198</v>
      </c>
      <c r="B27" s="84"/>
      <c r="C27" s="84"/>
      <c r="D27" s="79">
        <f>_xlfn.IFNA(VLOOKUP(封面!B1,'2021决算导出'!A:Q,17,FALSE),"")</f>
        <v>8476387.7699999996</v>
      </c>
      <c r="E27" s="79"/>
      <c r="F27" s="7" t="s">
        <v>179</v>
      </c>
      <c r="G27" s="82" t="s">
        <v>197</v>
      </c>
      <c r="H27" s="82"/>
      <c r="I27" s="28">
        <f>D27/$F$26</f>
        <v>0.72584063213579597</v>
      </c>
      <c r="J27" s="7" t="s">
        <v>311</v>
      </c>
      <c r="K27" s="9"/>
      <c r="L27" s="9"/>
      <c r="M27" s="9"/>
    </row>
    <row r="28" spans="1:13" ht="18" customHeight="1">
      <c r="A28" s="84" t="s">
        <v>199</v>
      </c>
      <c r="B28" s="84"/>
      <c r="C28" s="84"/>
      <c r="D28" s="79">
        <f>_xlfn.IFNA(VLOOKUP(封面!B1,'2021决算导出'!A:R,18,FALSE),"")</f>
        <v>0</v>
      </c>
      <c r="E28" s="79"/>
      <c r="F28" s="7" t="s">
        <v>179</v>
      </c>
      <c r="G28" s="82" t="s">
        <v>197</v>
      </c>
      <c r="H28" s="82"/>
      <c r="I28" s="28">
        <f t="shared" ref="I28:I32" si="2">D28/$F$26</f>
        <v>0</v>
      </c>
      <c r="J28" s="7" t="s">
        <v>311</v>
      </c>
      <c r="K28" s="9"/>
      <c r="L28" s="9"/>
      <c r="M28" s="9"/>
    </row>
    <row r="29" spans="1:13" ht="18" customHeight="1">
      <c r="A29" s="84" t="s">
        <v>196</v>
      </c>
      <c r="B29" s="84"/>
      <c r="C29" s="84"/>
      <c r="D29" s="79">
        <f>_xlfn.IFNA(VLOOKUP(封面!B1,'2021决算导出'!A:S,19,FALSE),"")</f>
        <v>1151968.56</v>
      </c>
      <c r="E29" s="79"/>
      <c r="F29" s="7" t="s">
        <v>179</v>
      </c>
      <c r="G29" s="82" t="s">
        <v>197</v>
      </c>
      <c r="H29" s="82"/>
      <c r="I29" s="28">
        <f t="shared" si="2"/>
        <v>9.8644093507647856E-2</v>
      </c>
      <c r="J29" s="7" t="s">
        <v>311</v>
      </c>
    </row>
    <row r="30" spans="1:13" ht="18" customHeight="1">
      <c r="A30" s="84" t="s">
        <v>200</v>
      </c>
      <c r="B30" s="84"/>
      <c r="C30" s="84"/>
      <c r="D30" s="79">
        <f>_xlfn.IFNA(VLOOKUP(封面!B1,'2021决算导出'!A:T,20,FALSE),"")</f>
        <v>728507.42</v>
      </c>
      <c r="E30" s="79"/>
      <c r="F30" s="7" t="s">
        <v>179</v>
      </c>
      <c r="G30" s="82" t="s">
        <v>197</v>
      </c>
      <c r="H30" s="82"/>
      <c r="I30" s="28">
        <f t="shared" si="2"/>
        <v>6.2382739038898155E-2</v>
      </c>
      <c r="J30" s="7" t="s">
        <v>311</v>
      </c>
    </row>
    <row r="31" spans="1:13" ht="18" customHeight="1">
      <c r="A31" s="84" t="s">
        <v>201</v>
      </c>
      <c r="B31" s="84"/>
      <c r="C31" s="84"/>
      <c r="D31" s="79">
        <f>_xlfn.IFNA(VLOOKUP(封面!B1,'2021决算导出'!A:U,21,FALSE),"")</f>
        <v>0</v>
      </c>
      <c r="E31" s="79"/>
      <c r="F31" s="7" t="s">
        <v>179</v>
      </c>
      <c r="G31" s="82" t="s">
        <v>197</v>
      </c>
      <c r="H31" s="82"/>
      <c r="I31" s="28">
        <f t="shared" si="2"/>
        <v>0</v>
      </c>
      <c r="J31" s="7" t="s">
        <v>311</v>
      </c>
    </row>
    <row r="32" spans="1:13" ht="18" customHeight="1">
      <c r="A32" s="84" t="s">
        <v>202</v>
      </c>
      <c r="B32" s="84"/>
      <c r="C32" s="84"/>
      <c r="D32" s="79">
        <f>_xlfn.IFNA(VLOOKUP(封面!B1,'2021决算导出'!A:V,22,FALSE),"")</f>
        <v>1321165</v>
      </c>
      <c r="E32" s="79"/>
      <c r="F32" s="7" t="s">
        <v>179</v>
      </c>
      <c r="G32" s="82" t="s">
        <v>197</v>
      </c>
      <c r="H32" s="82"/>
      <c r="I32" s="28">
        <f t="shared" si="2"/>
        <v>0.11313253531765796</v>
      </c>
      <c r="J32" s="7" t="s">
        <v>311</v>
      </c>
    </row>
    <row r="33" spans="1:12" ht="18" customHeight="1">
      <c r="A33" s="7" t="s">
        <v>203</v>
      </c>
    </row>
    <row r="34" spans="1:12" ht="18" customHeight="1">
      <c r="A34" s="85" t="s">
        <v>417</v>
      </c>
      <c r="B34" s="85"/>
      <c r="C34" s="85"/>
      <c r="D34" s="85"/>
      <c r="E34" s="79">
        <f>_xlfn.IFNA(VLOOKUP(封面!B1,一般公共预算财政拨款支出决算具体情况!A:C,3,FALSE),"")</f>
        <v>8476387.7699999996</v>
      </c>
      <c r="F34" s="79"/>
      <c r="G34" s="7" t="s">
        <v>179</v>
      </c>
      <c r="H34" s="82" t="s">
        <v>418</v>
      </c>
      <c r="I34" s="82"/>
      <c r="J34" s="79">
        <f>_xlfn.IFNA(VLOOKUP(封面!B1,一般公共预算财政拨款支出决算具体情况!A:D,4,FALSE),"")</f>
        <v>7367650.3300000001</v>
      </c>
      <c r="K34" s="79"/>
      <c r="L34" s="11" t="s">
        <v>178</v>
      </c>
    </row>
    <row r="35" spans="1:12" ht="18" customHeight="1">
      <c r="B35" s="14" t="str">
        <f>IF(E34&gt;J34,"增加","减少")</f>
        <v>增加</v>
      </c>
      <c r="C35" s="79">
        <f>ABS(E34-J34)</f>
        <v>1108737.4399999995</v>
      </c>
      <c r="D35" s="79"/>
      <c r="E35" s="7" t="s">
        <v>179</v>
      </c>
      <c r="F35" s="14" t="str">
        <f>IF(E34&gt;J34,"增长","下降")</f>
        <v>增长</v>
      </c>
      <c r="G35" s="33">
        <f>IF(J34=0,IF(E34&gt;0,1,""),C35/J34)</f>
        <v>0.15048725039045108</v>
      </c>
      <c r="H35" s="7" t="s">
        <v>312</v>
      </c>
      <c r="I35" s="11" t="s">
        <v>204</v>
      </c>
    </row>
    <row r="36" spans="1:12" ht="18" customHeight="1">
      <c r="A36" s="84" t="s">
        <v>419</v>
      </c>
      <c r="B36" s="84"/>
      <c r="C36" s="84"/>
      <c r="D36" s="84"/>
      <c r="E36" s="79">
        <f>_xlfn.IFNA(VLOOKUP(封面!B1,一般公共预算财政拨款支出决算具体情况!A:E,5,FALSE),"")</f>
        <v>8445062.7699999996</v>
      </c>
      <c r="F36" s="79"/>
      <c r="G36" s="7" t="s">
        <v>179</v>
      </c>
      <c r="H36" s="82" t="s">
        <v>418</v>
      </c>
      <c r="I36" s="82"/>
      <c r="J36" s="79">
        <f>_xlfn.IFNA(VLOOKUP(封面!B1,一般公共预算财政拨款支出决算具体情况!A:F,6,FALSE),"")</f>
        <v>7335770.3300000001</v>
      </c>
      <c r="K36" s="79"/>
      <c r="L36" s="11" t="s">
        <v>178</v>
      </c>
    </row>
    <row r="37" spans="1:12" ht="18" customHeight="1">
      <c r="A37" s="14"/>
      <c r="B37" s="14" t="str">
        <f>IF(E36&gt;J36,"增加","减少")</f>
        <v>增加</v>
      </c>
      <c r="C37" s="79">
        <f>ABS(E36-J36)</f>
        <v>1109292.4399999995</v>
      </c>
      <c r="D37" s="79"/>
      <c r="E37" s="7" t="s">
        <v>179</v>
      </c>
      <c r="F37" s="14" t="str">
        <f>IF(E36&gt;J36,"增长","下降")</f>
        <v>增长</v>
      </c>
      <c r="G37" s="33">
        <f>IF(J36=0,IF(E36&gt;0,1,""),C37/J36)</f>
        <v>0.15121689885293879</v>
      </c>
      <c r="H37" s="7" t="s">
        <v>312</v>
      </c>
    </row>
    <row r="38" spans="1:12" ht="36" customHeight="1">
      <c r="B38" s="80" t="s">
        <v>460</v>
      </c>
      <c r="C38" s="80"/>
      <c r="D38" s="80"/>
      <c r="E38" s="80"/>
      <c r="F38" s="80"/>
      <c r="G38" s="80"/>
      <c r="H38" s="80"/>
      <c r="I38" s="80"/>
      <c r="J38" s="80"/>
      <c r="K38" s="80"/>
      <c r="L38" s="80"/>
    </row>
    <row r="39" spans="1:12" ht="18" customHeight="1">
      <c r="A39" s="84" t="s">
        <v>420</v>
      </c>
      <c r="B39" s="84"/>
      <c r="C39" s="84"/>
      <c r="D39" s="84"/>
      <c r="E39" s="79">
        <f>_xlfn.IFNA(VLOOKUP(封面!B1,一般公共预算财政拨款支出决算具体情况!A:M,13,FALSE),"")</f>
        <v>20525</v>
      </c>
      <c r="F39" s="79"/>
      <c r="G39" s="7" t="s">
        <v>179</v>
      </c>
      <c r="H39" s="82" t="s">
        <v>418</v>
      </c>
      <c r="I39" s="82"/>
      <c r="J39" s="79">
        <f>_xlfn.IFNA(VLOOKUP(封面!B1,一般公共预算财政拨款支出决算具体情况!A:N,14,FALSE),"")</f>
        <v>21080</v>
      </c>
      <c r="K39" s="79"/>
      <c r="L39" s="11" t="s">
        <v>178</v>
      </c>
    </row>
    <row r="40" spans="1:12" ht="18" customHeight="1">
      <c r="A40" s="14"/>
      <c r="B40" s="14" t="str">
        <f>IF(E39&gt;J39,"增加","减少")</f>
        <v>减少</v>
      </c>
      <c r="C40" s="79">
        <f>ABS(E39-J39)</f>
        <v>555</v>
      </c>
      <c r="D40" s="79"/>
      <c r="E40" s="7" t="s">
        <v>179</v>
      </c>
      <c r="F40" s="14" t="str">
        <f>IF(E39&gt;J39,"增长","下降")</f>
        <v>下降</v>
      </c>
      <c r="G40" s="33">
        <f>IF(J39=0,IF(E39&gt;0,1,""),C40/J39)</f>
        <v>2.6328273244781784E-2</v>
      </c>
      <c r="H40" s="7" t="s">
        <v>312</v>
      </c>
    </row>
    <row r="41" spans="1:12" ht="36" customHeight="1">
      <c r="B41" s="80" t="s">
        <v>462</v>
      </c>
      <c r="C41" s="80"/>
      <c r="D41" s="80"/>
      <c r="E41" s="80"/>
      <c r="F41" s="80"/>
      <c r="G41" s="80"/>
      <c r="H41" s="80"/>
      <c r="I41" s="80"/>
      <c r="J41" s="80"/>
      <c r="K41" s="80"/>
      <c r="L41" s="80"/>
    </row>
    <row r="42" spans="1:12" ht="18" customHeight="1">
      <c r="A42" s="81" t="s">
        <v>421</v>
      </c>
      <c r="B42" s="81"/>
      <c r="C42" s="81"/>
      <c r="D42" s="81"/>
      <c r="E42" s="79">
        <f>_xlfn.IFNA(VLOOKUP(封面!B1,一般公共预算财政拨款支出决算具体情况!A:O,15,FALSE),"")</f>
        <v>10800</v>
      </c>
      <c r="F42" s="79"/>
      <c r="G42" s="7" t="s">
        <v>179</v>
      </c>
      <c r="H42" s="82" t="s">
        <v>418</v>
      </c>
      <c r="I42" s="82"/>
      <c r="J42" s="79">
        <f>_xlfn.IFNA(VLOOKUP(封面!B1,一般公共预算财政拨款支出决算具体情况!A:P,16,FALSE),"")</f>
        <v>10800</v>
      </c>
      <c r="K42" s="79"/>
      <c r="L42" s="11" t="s">
        <v>178</v>
      </c>
    </row>
    <row r="43" spans="1:12" ht="18" customHeight="1">
      <c r="A43" s="14"/>
      <c r="B43" s="14" t="str">
        <f>IF(E42&gt;J42,"增加","减少")</f>
        <v>减少</v>
      </c>
      <c r="C43" s="79">
        <f>ABS(E42-J42)</f>
        <v>0</v>
      </c>
      <c r="D43" s="79"/>
      <c r="E43" s="7" t="s">
        <v>179</v>
      </c>
      <c r="F43" s="14" t="str">
        <f>IF(E42&gt;J42,"增长","下降")</f>
        <v>下降</v>
      </c>
      <c r="G43" s="33">
        <f>IF(J42=0,IF(E42&gt;0,1,""),C43/J42)</f>
        <v>0</v>
      </c>
      <c r="H43" s="7" t="s">
        <v>312</v>
      </c>
    </row>
    <row r="44" spans="1:12" ht="36" customHeight="1">
      <c r="B44" s="80" t="s">
        <v>458</v>
      </c>
      <c r="C44" s="80"/>
      <c r="D44" s="80"/>
      <c r="E44" s="80"/>
      <c r="F44" s="80"/>
      <c r="G44" s="80"/>
      <c r="H44" s="80"/>
      <c r="I44" s="80"/>
      <c r="J44" s="80"/>
      <c r="K44" s="80"/>
      <c r="L44" s="80"/>
    </row>
    <row r="45" spans="1:12" ht="21.75" customHeight="1">
      <c r="A45" s="83" t="s">
        <v>466</v>
      </c>
      <c r="B45" s="83"/>
      <c r="C45" s="83"/>
      <c r="D45" s="83"/>
      <c r="E45" s="79">
        <f>_xlfn.IFNA(VLOOKUP(封面!B1,一般公共预算财政拨款支出决算具体情况!A:W,23,FALSE),"")</f>
        <v>1151968.56</v>
      </c>
      <c r="F45" s="79"/>
      <c r="G45" s="7" t="s">
        <v>179</v>
      </c>
      <c r="H45" s="82" t="s">
        <v>418</v>
      </c>
      <c r="I45" s="82"/>
      <c r="J45" s="79">
        <f>_xlfn.IFNA(VLOOKUP(封面!B1,一般公共预算财政拨款支出决算具体情况!A:X,24,FALSE),"")</f>
        <v>1211934.24</v>
      </c>
      <c r="K45" s="79"/>
      <c r="L45" s="11" t="s">
        <v>178</v>
      </c>
    </row>
    <row r="46" spans="1:12" ht="18" customHeight="1">
      <c r="B46" s="14" t="str">
        <f>IF(E45&gt;J45,"增加","减少")</f>
        <v>减少</v>
      </c>
      <c r="C46" s="79">
        <f>ABS(E45-J45)</f>
        <v>59965.679999999935</v>
      </c>
      <c r="D46" s="79"/>
      <c r="E46" s="7" t="s">
        <v>179</v>
      </c>
      <c r="F46" s="14" t="str">
        <f>IF(E45&gt;J45,"增长","下降")</f>
        <v>下降</v>
      </c>
      <c r="G46" s="33">
        <f>IF(J45=0,IF(E45&gt;0,1,""),C46/J45)</f>
        <v>4.9479318283803857E-2</v>
      </c>
      <c r="H46" s="7" t="s">
        <v>312</v>
      </c>
      <c r="I46" s="11" t="s">
        <v>204</v>
      </c>
    </row>
    <row r="47" spans="1:12" ht="18" customHeight="1">
      <c r="A47" s="81" t="s">
        <v>422</v>
      </c>
      <c r="B47" s="81"/>
      <c r="C47" s="81"/>
      <c r="D47" s="81"/>
      <c r="E47" s="79">
        <f>_xlfn.IFNA(VLOOKUP(封面!B1,一般公共预算财政拨款支出决算具体情况!A:Y,25,FALSE),"")</f>
        <v>1151968.56</v>
      </c>
      <c r="F47" s="79"/>
      <c r="G47" s="7" t="s">
        <v>179</v>
      </c>
      <c r="H47" s="82" t="s">
        <v>418</v>
      </c>
      <c r="I47" s="82"/>
      <c r="J47" s="79">
        <f>_xlfn.IFNA(VLOOKUP(封面!B1,一般公共预算财政拨款支出决算具体情况!A:Z,26,FALSE),"")</f>
        <v>1211934.24</v>
      </c>
      <c r="K47" s="79"/>
      <c r="L47" s="11" t="s">
        <v>178</v>
      </c>
    </row>
    <row r="48" spans="1:12" ht="18" customHeight="1">
      <c r="A48" s="14"/>
      <c r="B48" s="14" t="str">
        <f>IF(E47&gt;J47,"增加","减少")</f>
        <v>减少</v>
      </c>
      <c r="C48" s="79">
        <f>ABS(E47-J47)</f>
        <v>59965.679999999935</v>
      </c>
      <c r="D48" s="79"/>
      <c r="E48" s="7" t="s">
        <v>179</v>
      </c>
      <c r="F48" s="14" t="str">
        <f>IF(E47&gt;J47,"增长","下降")</f>
        <v>下降</v>
      </c>
      <c r="G48" s="33">
        <f>IF(J47=0,IF(E47&gt;0,1,""),C48/J47)</f>
        <v>4.9479318283803857E-2</v>
      </c>
      <c r="H48" s="7" t="s">
        <v>312</v>
      </c>
    </row>
    <row r="49" spans="1:12" ht="36" customHeight="1">
      <c r="B49" s="80" t="s">
        <v>459</v>
      </c>
      <c r="C49" s="80"/>
      <c r="D49" s="80"/>
      <c r="E49" s="80"/>
      <c r="F49" s="80"/>
      <c r="G49" s="80"/>
      <c r="H49" s="80"/>
      <c r="I49" s="80"/>
      <c r="J49" s="80"/>
      <c r="K49" s="80"/>
      <c r="L49" s="80"/>
    </row>
    <row r="50" spans="1:12" ht="18" customHeight="1">
      <c r="A50" s="83" t="s">
        <v>467</v>
      </c>
      <c r="B50" s="83"/>
      <c r="C50" s="83"/>
      <c r="D50" s="83"/>
      <c r="E50" s="79">
        <f>_xlfn.IFNA(VLOOKUP(封面!B1,一般公共预算财政拨款支出决算具体情况!A:AC,29,FALSE),"")</f>
        <v>728507.42</v>
      </c>
      <c r="F50" s="79"/>
      <c r="G50" s="7" t="s">
        <v>179</v>
      </c>
      <c r="H50" s="82" t="s">
        <v>418</v>
      </c>
      <c r="I50" s="82"/>
      <c r="J50" s="79">
        <f>_xlfn.IFNA(VLOOKUP(封面!B1,一般公共预算财政拨款支出决算具体情况!A:AD,30,FALSE),"")</f>
        <v>656464.38</v>
      </c>
      <c r="K50" s="79"/>
      <c r="L50" s="11" t="s">
        <v>178</v>
      </c>
    </row>
    <row r="51" spans="1:12" ht="18" customHeight="1">
      <c r="B51" s="14" t="str">
        <f>IF(E50&gt;J50,"增加","减少")</f>
        <v>增加</v>
      </c>
      <c r="C51" s="79">
        <f>ABS(E50-J50)</f>
        <v>72043.040000000037</v>
      </c>
      <c r="D51" s="79"/>
      <c r="E51" s="7" t="s">
        <v>179</v>
      </c>
      <c r="F51" s="14" t="str">
        <f>IF(E50&gt;J50,"增长","下降")</f>
        <v>增长</v>
      </c>
      <c r="G51" s="33">
        <f>IF(J50=0,IF(E50&gt;0,1,""),C51/J50)</f>
        <v>0.10974401992686951</v>
      </c>
      <c r="H51" s="7" t="s">
        <v>312</v>
      </c>
      <c r="I51" s="11" t="s">
        <v>204</v>
      </c>
    </row>
    <row r="52" spans="1:12" ht="18" customHeight="1">
      <c r="A52" s="81" t="s">
        <v>423</v>
      </c>
      <c r="B52" s="81"/>
      <c r="C52" s="81"/>
      <c r="D52" s="81"/>
      <c r="E52" s="79">
        <f>_xlfn.IFNA(VLOOKUP(封面!B1,一般公共预算财政拨款支出决算具体情况!A:AE,31,FALSE),"")</f>
        <v>728507.42</v>
      </c>
      <c r="F52" s="79"/>
      <c r="G52" s="7" t="s">
        <v>179</v>
      </c>
      <c r="H52" s="82" t="s">
        <v>418</v>
      </c>
      <c r="I52" s="82"/>
      <c r="J52" s="79">
        <f>_xlfn.IFNA(VLOOKUP(封面!B1,一般公共预算财政拨款支出决算具体情况!A:AF,32,FALSE),"")</f>
        <v>656464.38</v>
      </c>
      <c r="K52" s="79"/>
      <c r="L52" s="11" t="s">
        <v>178</v>
      </c>
    </row>
    <row r="53" spans="1:12" ht="18" customHeight="1">
      <c r="A53" s="14"/>
      <c r="B53" s="14" t="str">
        <f>IF(E52&gt;J52,"增加","减少")</f>
        <v>增加</v>
      </c>
      <c r="C53" s="79">
        <f>ABS(E52-J52)</f>
        <v>72043.040000000037</v>
      </c>
      <c r="D53" s="79"/>
      <c r="E53" s="7" t="s">
        <v>179</v>
      </c>
      <c r="F53" s="14" t="str">
        <f>IF(E52&gt;J52,"增长","下降")</f>
        <v>增长</v>
      </c>
      <c r="G53" s="33">
        <f>IF(J52=0,IF(E52&gt;0,1,""),C53/J52)</f>
        <v>0.10974401992686951</v>
      </c>
      <c r="H53" s="7" t="s">
        <v>312</v>
      </c>
    </row>
    <row r="54" spans="1:12" ht="36" customHeight="1">
      <c r="B54" s="80" t="s">
        <v>463</v>
      </c>
      <c r="C54" s="80"/>
      <c r="D54" s="80"/>
      <c r="E54" s="80"/>
      <c r="F54" s="80"/>
      <c r="G54" s="80"/>
      <c r="H54" s="80"/>
      <c r="I54" s="80"/>
      <c r="J54" s="80"/>
      <c r="K54" s="80"/>
      <c r="L54" s="80"/>
    </row>
    <row r="55" spans="1:12" ht="18" customHeight="1">
      <c r="A55" s="83" t="s">
        <v>468</v>
      </c>
      <c r="B55" s="83"/>
      <c r="C55" s="83"/>
      <c r="D55" s="83"/>
      <c r="E55" s="79">
        <f>_xlfn.IFNA(VLOOKUP(封面!B1,一般公共预算财政拨款支出决算具体情况!A:AK,37,FALSE),"")</f>
        <v>1321165</v>
      </c>
      <c r="F55" s="79"/>
      <c r="G55" s="7" t="s">
        <v>179</v>
      </c>
      <c r="H55" s="82" t="s">
        <v>418</v>
      </c>
      <c r="I55" s="82"/>
      <c r="J55" s="79">
        <f>_xlfn.IFNA(VLOOKUP(封面!B1,一般公共预算财政拨款支出决算具体情况!A:AL,38,FALSE),"")</f>
        <v>1269939.1200000001</v>
      </c>
      <c r="K55" s="79"/>
      <c r="L55" s="11" t="s">
        <v>178</v>
      </c>
    </row>
    <row r="56" spans="1:12" ht="18" customHeight="1">
      <c r="B56" s="14" t="str">
        <f>IF(E55&gt;J55,"增加","减少")</f>
        <v>增加</v>
      </c>
      <c r="C56" s="79">
        <f>ABS(E55-J55)</f>
        <v>51225.879999999888</v>
      </c>
      <c r="D56" s="79"/>
      <c r="E56" s="7" t="s">
        <v>179</v>
      </c>
      <c r="F56" s="14" t="str">
        <f>IF(E55&gt;J55,"增长","下降")</f>
        <v>增长</v>
      </c>
      <c r="G56" s="33">
        <f>IF(J55=0,IF(E55&gt;0,1,""),C56/J55)</f>
        <v>4.0337272230813619E-2</v>
      </c>
      <c r="H56" s="7" t="s">
        <v>312</v>
      </c>
      <c r="I56" s="11" t="s">
        <v>204</v>
      </c>
    </row>
    <row r="57" spans="1:12" ht="18" customHeight="1">
      <c r="A57" s="81" t="s">
        <v>424</v>
      </c>
      <c r="B57" s="81"/>
      <c r="C57" s="81"/>
      <c r="D57" s="81"/>
      <c r="E57" s="79">
        <f>_xlfn.IFNA(VLOOKUP(封面!B1,一般公共预算财政拨款支出决算具体情况!A:AM,39,FALSE),"")</f>
        <v>1321165</v>
      </c>
      <c r="F57" s="79"/>
      <c r="G57" s="7" t="s">
        <v>179</v>
      </c>
      <c r="H57" s="82" t="s">
        <v>418</v>
      </c>
      <c r="I57" s="82"/>
      <c r="J57" s="79">
        <f>_xlfn.IFNA(VLOOKUP(封面!B1,一般公共预算财政拨款支出决算具体情况!A:AN,40,FALSE),"")</f>
        <v>1269939.1200000001</v>
      </c>
      <c r="K57" s="79"/>
      <c r="L57" s="11" t="s">
        <v>178</v>
      </c>
    </row>
    <row r="58" spans="1:12" ht="18" customHeight="1">
      <c r="A58" s="14"/>
      <c r="B58" s="14" t="str">
        <f>IF(E57&gt;J57,"增加","减少")</f>
        <v>增加</v>
      </c>
      <c r="C58" s="79">
        <f>ABS(E57-J57)</f>
        <v>51225.879999999888</v>
      </c>
      <c r="D58" s="79"/>
      <c r="E58" s="7" t="s">
        <v>179</v>
      </c>
      <c r="F58" s="14" t="str">
        <f>IF(E57&gt;J57,"增长","下降")</f>
        <v>增长</v>
      </c>
      <c r="G58" s="33">
        <f>IF(J57=0,IF(E57&gt;0,1,""),C58/J57)</f>
        <v>4.0337272230813619E-2</v>
      </c>
      <c r="H58" s="7" t="s">
        <v>312</v>
      </c>
    </row>
    <row r="59" spans="1:12" ht="36" customHeight="1">
      <c r="B59" s="80" t="s">
        <v>464</v>
      </c>
      <c r="C59" s="80"/>
      <c r="D59" s="80"/>
      <c r="E59" s="80"/>
      <c r="F59" s="80"/>
      <c r="G59" s="80"/>
      <c r="H59" s="80"/>
      <c r="I59" s="80"/>
      <c r="J59" s="80"/>
      <c r="K59" s="80"/>
      <c r="L59" s="80"/>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425</v>
      </c>
      <c r="G65" s="79">
        <f>_xlfn.IFNA(VLOOKUP(封面!B1,'2021决算导出'!A:AA,27,FALSE),"")</f>
        <v>10739015.75</v>
      </c>
      <c r="H65" s="79"/>
      <c r="I65" s="11" t="s">
        <v>179</v>
      </c>
    </row>
    <row r="66" spans="1:13" ht="130.15" customHeight="1">
      <c r="A66" s="80" t="s">
        <v>209</v>
      </c>
      <c r="B66" s="80"/>
      <c r="C66" s="80"/>
      <c r="D66" s="80"/>
      <c r="E66" s="80"/>
      <c r="F66" s="80"/>
      <c r="G66" s="80"/>
      <c r="H66" s="80"/>
      <c r="I66" s="80"/>
      <c r="J66" s="80"/>
      <c r="K66" s="80"/>
      <c r="L66" s="80"/>
      <c r="M66" s="80"/>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A30:C30"/>
    <mergeCell ref="D30:E30"/>
    <mergeCell ref="G30:H30"/>
    <mergeCell ref="D32:E32"/>
    <mergeCell ref="B23:M23"/>
    <mergeCell ref="A26:E26"/>
    <mergeCell ref="F26:G26"/>
    <mergeCell ref="A19:C19"/>
    <mergeCell ref="F19:G19"/>
    <mergeCell ref="A20:C20"/>
    <mergeCell ref="F20:G20"/>
    <mergeCell ref="A22:D22"/>
    <mergeCell ref="E22:F22"/>
    <mergeCell ref="A8:C8"/>
    <mergeCell ref="A6:B6"/>
    <mergeCell ref="A17:C17"/>
    <mergeCell ref="A1:M1"/>
    <mergeCell ref="A18:C18"/>
    <mergeCell ref="F18:G18"/>
    <mergeCell ref="A13:C13"/>
    <mergeCell ref="F13:G13"/>
    <mergeCell ref="A14:C14"/>
    <mergeCell ref="F14:G14"/>
    <mergeCell ref="A15:C15"/>
    <mergeCell ref="F15:G15"/>
    <mergeCell ref="A10:C10"/>
    <mergeCell ref="A11:C11"/>
    <mergeCell ref="F11:G11"/>
    <mergeCell ref="A12:C12"/>
    <mergeCell ref="F12:G12"/>
    <mergeCell ref="G29:H29"/>
    <mergeCell ref="D27:E27"/>
    <mergeCell ref="G27:H27"/>
    <mergeCell ref="D28:E28"/>
    <mergeCell ref="G28:H28"/>
    <mergeCell ref="A29:C29"/>
    <mergeCell ref="A27:C27"/>
    <mergeCell ref="A28:C28"/>
    <mergeCell ref="D29:E29"/>
    <mergeCell ref="A34:D34"/>
    <mergeCell ref="E34:F34"/>
    <mergeCell ref="H34:I34"/>
    <mergeCell ref="J34:K34"/>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C51:D51"/>
    <mergeCell ref="B49:L49"/>
    <mergeCell ref="A52:D52"/>
    <mergeCell ref="E52:F52"/>
    <mergeCell ref="H52:I52"/>
    <mergeCell ref="J52:K52"/>
    <mergeCell ref="C43:D43"/>
    <mergeCell ref="B44:L44"/>
    <mergeCell ref="C40:D40"/>
    <mergeCell ref="B41:L41"/>
    <mergeCell ref="A42:D42"/>
    <mergeCell ref="E42:F42"/>
    <mergeCell ref="H42:I42"/>
    <mergeCell ref="J42:K42"/>
    <mergeCell ref="A45:D45"/>
    <mergeCell ref="E45:F45"/>
    <mergeCell ref="H45:I45"/>
    <mergeCell ref="J45:K45"/>
    <mergeCell ref="C46:D46"/>
    <mergeCell ref="A47:D47"/>
    <mergeCell ref="C53:D53"/>
    <mergeCell ref="B54:L54"/>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topLeftCell="A10" workbookViewId="0">
      <selection activeCell="M22" sqref="M2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本年度无此项支出。</v>
      </c>
    </row>
    <row r="4" spans="1:14" ht="18" customHeight="1">
      <c r="A4" s="7" t="s">
        <v>426</v>
      </c>
      <c r="F4" s="79">
        <f>_xlfn.IFNA(VLOOKUP(封面!B1,'2021决算导出'!A:AB,28,FALSE),"")</f>
        <v>0</v>
      </c>
      <c r="G4" s="79"/>
      <c r="H4" s="7" t="s">
        <v>179</v>
      </c>
      <c r="I4" s="7" t="s">
        <v>427</v>
      </c>
    </row>
    <row r="5" spans="1:14" ht="18" customHeight="1">
      <c r="A5" s="87">
        <f>_xlfn.IFNA(VLOOKUP(封面!B1,'2021决算导出'!A:AC,29,FALSE),"")</f>
        <v>0</v>
      </c>
      <c r="B5" s="87"/>
      <c r="C5" s="7" t="s">
        <v>178</v>
      </c>
      <c r="D5" s="29" t="str">
        <f>IF(F4&gt;A5,"增加","减少")</f>
        <v>减少</v>
      </c>
      <c r="E5" s="87">
        <f>ABS(F4-A5)</f>
        <v>0</v>
      </c>
      <c r="F5" s="87"/>
      <c r="G5" s="7" t="s">
        <v>212</v>
      </c>
    </row>
    <row r="6" spans="1:14" ht="18" customHeight="1">
      <c r="A6" s="7" t="s">
        <v>213</v>
      </c>
    </row>
    <row r="7" spans="1:14" ht="18" customHeight="1">
      <c r="A7" s="54" t="s">
        <v>428</v>
      </c>
      <c r="B7" s="18"/>
      <c r="C7" s="18"/>
      <c r="D7" s="18"/>
      <c r="E7" s="18"/>
      <c r="F7" s="18"/>
      <c r="G7" s="18"/>
      <c r="H7" s="18"/>
      <c r="I7" s="18"/>
      <c r="J7" s="18"/>
      <c r="K7" s="18"/>
      <c r="L7" s="18"/>
      <c r="M7" s="18"/>
      <c r="N7" s="18"/>
    </row>
    <row r="8" spans="1:14" ht="18" customHeight="1">
      <c r="A8" s="7" t="s">
        <v>214</v>
      </c>
    </row>
    <row r="9" spans="1:14" ht="39" customHeight="1">
      <c r="A9" s="88" t="s">
        <v>429</v>
      </c>
      <c r="B9" s="88"/>
      <c r="C9" s="88"/>
      <c r="D9" s="88"/>
      <c r="E9" s="88"/>
      <c r="F9" s="88"/>
      <c r="G9" s="88"/>
      <c r="H9" s="88"/>
      <c r="I9" s="88"/>
      <c r="J9" s="88"/>
      <c r="K9" s="88"/>
      <c r="L9" s="88"/>
      <c r="M9" s="88"/>
      <c r="N9" s="88"/>
    </row>
    <row r="10" spans="1:14" ht="18" customHeight="1">
      <c r="A10" s="7" t="s">
        <v>215</v>
      </c>
    </row>
    <row r="11" spans="1:14" ht="18" customHeight="1">
      <c r="A11" s="84" t="s">
        <v>430</v>
      </c>
      <c r="B11" s="84"/>
      <c r="C11" s="34">
        <f>_xlfn.IFNA(VLOOKUP(封面!B1,'2021决算导出'!A:AI,35,FALSE),"")</f>
        <v>0</v>
      </c>
      <c r="D11" s="7" t="s">
        <v>179</v>
      </c>
      <c r="E11" s="84" t="s">
        <v>431</v>
      </c>
      <c r="F11" s="84"/>
      <c r="G11" s="84"/>
      <c r="H11" s="87">
        <f>_xlfn.IFNA(VLOOKUP(封面!B1,'2021决算导出'!A:AJ,36,FALSE),"")</f>
        <v>0</v>
      </c>
      <c r="I11" s="87"/>
      <c r="J11" s="15" t="s">
        <v>178</v>
      </c>
      <c r="K11" s="29" t="str">
        <f>IF(C11&gt;H11,"增加","减少")</f>
        <v>减少</v>
      </c>
      <c r="L11" s="87">
        <f>ABS(C11-H11)</f>
        <v>0</v>
      </c>
      <c r="M11" s="87"/>
      <c r="N11" s="7" t="s">
        <v>211</v>
      </c>
    </row>
    <row r="12" spans="1:14" ht="18" customHeight="1">
      <c r="A12" s="84" t="s">
        <v>432</v>
      </c>
      <c r="B12" s="84"/>
      <c r="C12" s="84"/>
      <c r="D12" s="84"/>
      <c r="E12" s="84"/>
      <c r="F12" s="87">
        <f>_xlfn.IFNA(VLOOKUP(封面!B1,'2021决算导出'!A:AK,37,FALSE),"")</f>
        <v>0</v>
      </c>
      <c r="G12" s="87"/>
      <c r="H12" s="16" t="s">
        <v>179</v>
      </c>
      <c r="I12" s="84" t="s">
        <v>431</v>
      </c>
      <c r="J12" s="84"/>
      <c r="K12" s="84"/>
      <c r="L12" s="87">
        <f>_xlfn.IFNA(VLOOKUP(封面!B1,'2021决算导出'!A:AL,38,FALSE),"")</f>
        <v>0</v>
      </c>
      <c r="M12" s="87"/>
      <c r="N12" s="7" t="s">
        <v>178</v>
      </c>
    </row>
    <row r="13" spans="1:14" ht="18" customHeight="1">
      <c r="A13" s="14" t="str">
        <f>IF(F12&gt;L12,"增加","减少")</f>
        <v>减少</v>
      </c>
      <c r="B13" s="87">
        <f>ABS(F12-L12)</f>
        <v>0</v>
      </c>
      <c r="C13" s="87"/>
      <c r="D13" s="7" t="s">
        <v>211</v>
      </c>
      <c r="H13" s="87"/>
      <c r="I13" s="87"/>
      <c r="J13" s="15"/>
    </row>
    <row r="14" spans="1:14" ht="36" customHeight="1">
      <c r="A14" s="80" t="s">
        <v>461</v>
      </c>
      <c r="B14" s="80"/>
      <c r="C14" s="80"/>
      <c r="D14" s="80"/>
      <c r="E14" s="80"/>
      <c r="F14" s="80"/>
      <c r="G14" s="80"/>
      <c r="H14" s="80"/>
      <c r="I14" s="80"/>
      <c r="J14" s="80"/>
      <c r="K14" s="80"/>
      <c r="L14" s="80"/>
      <c r="M14" s="80"/>
      <c r="N14" s="80"/>
    </row>
    <row r="15" spans="1:14" ht="18" customHeight="1">
      <c r="A15" s="84" t="s">
        <v>433</v>
      </c>
      <c r="B15" s="84"/>
      <c r="C15" s="84"/>
      <c r="D15" s="8">
        <f>_xlfn.IFNA(VLOOKUP(封面!B1,'2021决算导出'!A:AM,39,FALSE),"")</f>
        <v>0</v>
      </c>
      <c r="E15" s="7" t="s">
        <v>216</v>
      </c>
      <c r="F15" s="84" t="s">
        <v>217</v>
      </c>
      <c r="G15" s="84"/>
      <c r="H15" s="87">
        <f>IF(D15=0,0,F12/D15)</f>
        <v>0</v>
      </c>
      <c r="I15" s="87"/>
      <c r="J15" s="7" t="s">
        <v>211</v>
      </c>
    </row>
    <row r="16" spans="1:14" ht="18" customHeight="1">
      <c r="A16" s="82" t="s">
        <v>434</v>
      </c>
      <c r="B16" s="82"/>
      <c r="C16" s="82"/>
      <c r="D16" s="82"/>
      <c r="E16" s="82"/>
      <c r="F16" s="87">
        <f>_xlfn.IFNA(VLOOKUP(封面!B1,'2021决算导出'!A:AO,41,FALSE),"")</f>
        <v>0</v>
      </c>
      <c r="G16" s="87" t="s">
        <v>179</v>
      </c>
      <c r="H16" s="7" t="s">
        <v>179</v>
      </c>
      <c r="I16" s="7" t="s">
        <v>431</v>
      </c>
      <c r="L16" s="87">
        <f>_xlfn.IFNA(VLOOKUP(封面!B1,'2021决算导出'!A:AP,42,FALSE),"")</f>
        <v>0</v>
      </c>
      <c r="M16" s="87" t="s">
        <v>179</v>
      </c>
      <c r="N16" s="7" t="s">
        <v>179</v>
      </c>
    </row>
    <row r="17" spans="1:14" ht="18" customHeight="1">
      <c r="A17" s="14" t="str">
        <f>IF(F16&gt;L16,"增加","减少")</f>
        <v>减少</v>
      </c>
      <c r="B17" s="87">
        <f>ABS(F16-L16)</f>
        <v>0</v>
      </c>
      <c r="C17" s="87"/>
      <c r="D17" s="7" t="s">
        <v>211</v>
      </c>
    </row>
    <row r="18" spans="1:14" ht="36" customHeight="1">
      <c r="A18" s="80" t="s">
        <v>218</v>
      </c>
      <c r="B18" s="80"/>
      <c r="C18" s="80"/>
      <c r="D18" s="80"/>
      <c r="E18" s="80"/>
      <c r="F18" s="80"/>
      <c r="G18" s="80"/>
      <c r="H18" s="80"/>
      <c r="I18" s="80"/>
      <c r="J18" s="80"/>
      <c r="K18" s="80"/>
      <c r="L18" s="80"/>
      <c r="M18" s="80"/>
      <c r="N18" s="80"/>
    </row>
    <row r="19" spans="1:14" ht="18" customHeight="1">
      <c r="A19" s="84" t="s">
        <v>435</v>
      </c>
      <c r="B19" s="84"/>
      <c r="C19" s="84"/>
      <c r="D19" s="84"/>
      <c r="E19" s="84"/>
      <c r="F19" s="84"/>
      <c r="G19" s="87">
        <f>_xlfn.IFNA(VLOOKUP(封面!B1,'2021决算导出'!A:AQ,43,FALSE),"")</f>
        <v>0</v>
      </c>
      <c r="H19" s="87" t="s">
        <v>179</v>
      </c>
      <c r="I19" s="7" t="s">
        <v>179</v>
      </c>
      <c r="J19" s="7" t="s">
        <v>219</v>
      </c>
      <c r="L19" s="87">
        <f>_xlfn.IFNA(VLOOKUP(封面!B1,'2021决算导出'!A:AR,44,FALSE),"")</f>
        <v>0</v>
      </c>
      <c r="M19" s="87" t="s">
        <v>179</v>
      </c>
      <c r="N19" s="7" t="s">
        <v>179</v>
      </c>
    </row>
    <row r="20" spans="1:14" ht="18" customHeight="1">
      <c r="A20" s="84" t="s">
        <v>220</v>
      </c>
      <c r="B20" s="84"/>
      <c r="C20" s="87">
        <f>_xlfn.IFNA(VLOOKUP(封面!B1,'2021决算导出'!A:AS,45,FALSE),"")</f>
        <v>0</v>
      </c>
      <c r="D20" s="87" t="s">
        <v>179</v>
      </c>
      <c r="E20" s="7" t="s">
        <v>179</v>
      </c>
      <c r="F20" s="84" t="s">
        <v>221</v>
      </c>
      <c r="G20" s="84"/>
      <c r="H20" s="84"/>
      <c r="I20" s="87">
        <f>_xlfn.IFNA(VLOOKUP(封面!B1,'2021决算导出'!A:AT,46,FALSE),"")</f>
        <v>0</v>
      </c>
      <c r="J20" s="87" t="s">
        <v>179</v>
      </c>
      <c r="K20" s="7" t="s">
        <v>211</v>
      </c>
    </row>
    <row r="21" spans="1:14" ht="18" customHeight="1">
      <c r="A21" s="84" t="s">
        <v>436</v>
      </c>
      <c r="B21" s="84"/>
      <c r="C21" s="84"/>
      <c r="D21" s="8">
        <f>_xlfn.IFNA(VLOOKUP(封面!B1,'2021决算导出'!A:AU,47,FALSE),"")</f>
        <v>0</v>
      </c>
      <c r="E21" s="85" t="s">
        <v>403</v>
      </c>
      <c r="F21" s="85"/>
      <c r="G21" s="85"/>
      <c r="H21" s="85"/>
      <c r="I21" s="85"/>
      <c r="J21" s="85"/>
      <c r="K21" s="85"/>
      <c r="L21" s="85"/>
      <c r="M21" s="53">
        <v>0</v>
      </c>
      <c r="N21" s="7" t="s">
        <v>211</v>
      </c>
    </row>
    <row r="22" spans="1:14" ht="18" customHeight="1">
      <c r="A22" s="6" t="s">
        <v>222</v>
      </c>
    </row>
    <row r="23" spans="1:14" ht="18" customHeight="1">
      <c r="A23" s="7" t="s">
        <v>223</v>
      </c>
    </row>
    <row r="24" spans="1:14" ht="18" customHeight="1">
      <c r="A24" s="6" t="s">
        <v>224</v>
      </c>
    </row>
    <row r="25" spans="1:14" ht="18" customHeight="1">
      <c r="A25" s="84" t="s">
        <v>437</v>
      </c>
      <c r="B25" s="84"/>
      <c r="C25" s="84"/>
      <c r="D25" s="84"/>
      <c r="E25" s="79">
        <f>_xlfn.IFNA(VLOOKUP(封面!B1,'2021决算导出'!A:AW,49,FALSE),"")</f>
        <v>120524</v>
      </c>
      <c r="F25" s="79"/>
      <c r="G25" s="7" t="s">
        <v>179</v>
      </c>
      <c r="H25" s="84" t="s">
        <v>225</v>
      </c>
      <c r="I25" s="84"/>
      <c r="J25" s="84"/>
      <c r="K25" s="84"/>
      <c r="L25" s="79">
        <f>_xlfn.IFNA(VLOOKUP(封面!B1,'2021决算导出'!A:AX,50,FALSE),"")</f>
        <v>524</v>
      </c>
      <c r="M25" s="79" t="s">
        <v>179</v>
      </c>
      <c r="N25" s="7" t="s">
        <v>179</v>
      </c>
    </row>
    <row r="26" spans="1:14" ht="18" customHeight="1">
      <c r="A26" s="84" t="s">
        <v>226</v>
      </c>
      <c r="B26" s="84"/>
      <c r="C26" s="84"/>
      <c r="D26" s="79">
        <f>_xlfn.IFNA(VLOOKUP(封面!B1,'2021决算导出'!A:AY,51,FALSE),"")</f>
        <v>0</v>
      </c>
      <c r="E26" s="79" t="s">
        <v>179</v>
      </c>
      <c r="F26" s="7" t="s">
        <v>179</v>
      </c>
      <c r="G26" s="84" t="s">
        <v>227</v>
      </c>
      <c r="H26" s="84"/>
      <c r="I26" s="84"/>
      <c r="J26" s="79">
        <f>_xlfn.IFNA(VLOOKUP(封面!B1,'2021决算导出'!A:AZ,52,FALSE),"")</f>
        <v>120000</v>
      </c>
      <c r="K26" s="79" t="s">
        <v>179</v>
      </c>
      <c r="L26" s="7" t="s">
        <v>211</v>
      </c>
    </row>
    <row r="27" spans="1:14" ht="18" customHeight="1">
      <c r="A27" s="84" t="s">
        <v>228</v>
      </c>
      <c r="B27" s="84"/>
      <c r="C27" s="84"/>
      <c r="D27" s="84"/>
      <c r="E27" s="79">
        <f>_xlfn.IFNA(VLOOKUP(封面!B1,'2021决算导出'!A:BA,53,FALSE),"")</f>
        <v>0</v>
      </c>
      <c r="F27" s="79" t="s">
        <v>179</v>
      </c>
      <c r="G27" s="7" t="s">
        <v>179</v>
      </c>
      <c r="H27" s="82" t="s">
        <v>229</v>
      </c>
      <c r="I27" s="82"/>
      <c r="J27" s="82"/>
      <c r="K27" s="28">
        <f>E27/$E$25</f>
        <v>0</v>
      </c>
      <c r="L27" s="17" t="s">
        <v>310</v>
      </c>
      <c r="M27" s="7" t="s">
        <v>404</v>
      </c>
    </row>
    <row r="28" spans="1:14" ht="18" customHeight="1">
      <c r="A28" s="84" t="s">
        <v>230</v>
      </c>
      <c r="B28" s="84"/>
      <c r="C28" s="84"/>
      <c r="D28" s="84"/>
      <c r="E28" s="79">
        <f>_xlfn.IFNA(VLOOKUP(封面!B1,'2021决算导出'!A:BB,54,FALSE),"")</f>
        <v>0</v>
      </c>
      <c r="F28" s="79" t="s">
        <v>179</v>
      </c>
      <c r="G28" s="7" t="s">
        <v>179</v>
      </c>
      <c r="H28" s="82" t="s">
        <v>229</v>
      </c>
      <c r="I28" s="82"/>
      <c r="J28" s="82"/>
      <c r="K28" s="28">
        <f>E28/$E$25</f>
        <v>0</v>
      </c>
      <c r="L28" s="17" t="s">
        <v>312</v>
      </c>
    </row>
    <row r="29" spans="1:14" ht="18" customHeight="1">
      <c r="A29" s="6" t="s">
        <v>231</v>
      </c>
    </row>
    <row r="30" spans="1:14" ht="18" customHeight="1">
      <c r="A30" s="84" t="s">
        <v>438</v>
      </c>
      <c r="B30" s="84"/>
      <c r="C30" s="8">
        <f>_xlfn.IFNA(VLOOKUP(封面!B1,'2021决算导出'!A:BC,55,FALSE),"")</f>
        <v>0</v>
      </c>
      <c r="D30" s="7" t="s">
        <v>232</v>
      </c>
      <c r="M30" s="87">
        <f>_xlfn.IFNA(VLOOKUP(封面!B1,'2021决算导出'!A:BD,56,FALSE),"")</f>
        <v>0</v>
      </c>
      <c r="N30" s="87" t="s">
        <v>179</v>
      </c>
    </row>
    <row r="31" spans="1:14" ht="18" customHeight="1">
      <c r="A31" s="12" t="s">
        <v>233</v>
      </c>
      <c r="B31" s="84" t="s">
        <v>234</v>
      </c>
      <c r="C31" s="84"/>
      <c r="D31" s="84"/>
      <c r="E31" s="84"/>
      <c r="F31" s="84"/>
      <c r="G31" s="8">
        <f>_xlfn.IFNA(VLOOKUP(封面!B1,'2021决算导出'!A:BE,57,FALSE),"")</f>
        <v>0</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0" t="s">
        <v>453</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77" t="s">
        <v>455</v>
      </c>
      <c r="B10" s="77"/>
      <c r="C10" s="77"/>
      <c r="D10" s="77"/>
      <c r="E10" s="77"/>
      <c r="F10" s="77"/>
      <c r="G10" s="77"/>
      <c r="H10" s="77"/>
      <c r="I10" s="77"/>
      <c r="J10" s="77"/>
      <c r="K10" s="77"/>
      <c r="L10" s="77"/>
      <c r="M10" s="77"/>
      <c r="N10" s="77"/>
    </row>
    <row r="11" spans="1:14" ht="78" customHeight="1">
      <c r="A11" s="78" t="s">
        <v>456</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439</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444</v>
      </c>
      <c r="X1" s="56" t="s">
        <v>445</v>
      </c>
      <c r="Y1" s="21" t="s">
        <v>446</v>
      </c>
      <c r="Z1" s="21" t="s">
        <v>440</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441</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442</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443</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2022-08-31T09:52:21Z</dcterms:modified>
</cp:coreProperties>
</file>