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194C7B37-97FA-47E5-9364-880C8A823C3C}"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67" i="5"/>
  <c r="A65" i="5"/>
  <c r="A11" i="1"/>
  <c r="D10" i="5"/>
  <c r="J10" i="5" s="1"/>
  <c r="H10" i="5" l="1"/>
  <c r="K10" i="5" s="1"/>
  <c r="G10" i="5"/>
  <c r="G77" i="5"/>
  <c r="J70" i="5"/>
  <c r="E70" i="5"/>
  <c r="D6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s="1"/>
  <c r="E868" i="10"/>
  <c r="D868" i="10" s="1"/>
  <c r="C868" i="10" s="1"/>
  <c r="E867" i="10"/>
  <c r="D867" i="10" s="1"/>
  <c r="C867" i="10" s="1"/>
  <c r="E866" i="10"/>
  <c r="D866" i="10" s="1"/>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s="1"/>
  <c r="E800" i="10"/>
  <c r="D800" i="10" s="1"/>
  <c r="E799" i="10"/>
  <c r="D799" i="10" s="1"/>
  <c r="C799" i="10" s="1"/>
  <c r="E798" i="10"/>
  <c r="D798" i="10" s="1"/>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c r="C719" i="10" s="1"/>
  <c r="E718" i="10"/>
  <c r="D718" i="10" s="1"/>
  <c r="C718" i="10" s="1"/>
  <c r="E717" i="10"/>
  <c r="D717" i="10" s="1"/>
  <c r="C717" i="10" s="1"/>
  <c r="E716" i="10"/>
  <c r="D716" i="10" s="1"/>
  <c r="C716" i="10" s="1"/>
  <c r="E715" i="10"/>
  <c r="D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s="1"/>
  <c r="C623" i="10" s="1"/>
  <c r="E622" i="10"/>
  <c r="D622" i="10" s="1"/>
  <c r="C622" i="10" s="1"/>
  <c r="E621" i="10"/>
  <c r="D621" i="10" s="1"/>
  <c r="C621" i="10" s="1"/>
  <c r="E620" i="10"/>
  <c r="D620" i="10" s="1"/>
  <c r="C620" i="10" s="1"/>
  <c r="E619" i="10"/>
  <c r="D619" i="10"/>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s="1"/>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s="1"/>
  <c r="C477" i="10" s="1"/>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c r="C449" i="10" s="1"/>
  <c r="E448" i="10"/>
  <c r="D448" i="10" s="1"/>
  <c r="E447" i="10"/>
  <c r="D447" i="10"/>
  <c r="C447" i="10" s="1"/>
  <c r="E446" i="10"/>
  <c r="D446" i="10"/>
  <c r="C446" i="10" s="1"/>
  <c r="E445" i="10"/>
  <c r="D445" i="10"/>
  <c r="C445" i="10" s="1"/>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s="1"/>
  <c r="E389" i="10"/>
  <c r="D389" i="10" s="1"/>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s="1"/>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s="1"/>
  <c r="C341" i="10" s="1"/>
  <c r="E340" i="10"/>
  <c r="D340" i="10" s="1"/>
  <c r="C340" i="10" s="1"/>
  <c r="E339" i="10"/>
  <c r="D339" i="10" s="1"/>
  <c r="C339" i="10" s="1"/>
  <c r="E338" i="10"/>
  <c r="D338" i="10" s="1"/>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8" i="10" l="1"/>
  <c r="S4" i="11"/>
  <c r="T4" i="11"/>
  <c r="C390" i="10"/>
  <c r="S34" i="11"/>
  <c r="T34" i="11"/>
  <c r="C521" i="10"/>
  <c r="S45" i="11"/>
  <c r="T45" i="11"/>
  <c r="C715" i="10"/>
  <c r="S61" i="11"/>
  <c r="T61" i="11"/>
  <c r="C790" i="10"/>
  <c r="S68" i="11"/>
  <c r="T68" i="11"/>
  <c r="C355" i="10"/>
  <c r="S31" i="11"/>
  <c r="T31" i="11"/>
  <c r="C881" i="10"/>
  <c r="S77" i="11"/>
  <c r="T77" i="11"/>
  <c r="C769" i="10"/>
  <c r="S66" i="11"/>
  <c r="T66" i="11"/>
  <c r="C194" i="10"/>
  <c r="S18" i="11"/>
  <c r="T18" i="11"/>
  <c r="C412" i="10"/>
  <c r="S36" i="11"/>
  <c r="T36" i="11"/>
  <c r="C533" i="10"/>
  <c r="S46" i="11"/>
  <c r="T46" i="11"/>
  <c r="C605" i="10"/>
  <c r="S52" i="11"/>
  <c r="T52" i="11"/>
  <c r="C748" i="10"/>
  <c r="S64" i="11"/>
  <c r="T64" i="11"/>
  <c r="C839" i="10"/>
  <c r="S73" i="11"/>
  <c r="T73" i="11"/>
  <c r="C871" i="10"/>
  <c r="S76" i="11"/>
  <c r="T76" i="11"/>
  <c r="C891" i="10"/>
  <c r="S78" i="11"/>
  <c r="T78" i="11"/>
  <c r="C910" i="10"/>
  <c r="S80" i="11"/>
  <c r="T80" i="11"/>
  <c r="C930" i="10"/>
  <c r="S82" i="11"/>
  <c r="T82" i="11"/>
  <c r="C1012" i="10"/>
  <c r="S91" i="11"/>
  <c r="T91" i="11"/>
  <c r="C1173" i="10"/>
  <c r="S104" i="11"/>
  <c r="T104" i="11"/>
  <c r="C1459" i="10"/>
  <c r="S129" i="11"/>
  <c r="T129" i="11"/>
  <c r="S155" i="11"/>
  <c r="T155" i="11"/>
  <c r="C1764" i="10"/>
  <c r="S160" i="11"/>
  <c r="T160" i="11"/>
  <c r="C44" i="10"/>
  <c r="S6" i="11"/>
  <c r="T6" i="11"/>
  <c r="C57" i="10"/>
  <c r="S7" i="11"/>
  <c r="T7" i="11"/>
  <c r="C84" i="10"/>
  <c r="S9" i="11"/>
  <c r="T9" i="11"/>
  <c r="C149" i="10"/>
  <c r="S14" i="11"/>
  <c r="T14" i="11"/>
  <c r="C161" i="10"/>
  <c r="S15" i="11"/>
  <c r="T15" i="11"/>
  <c r="C207" i="10"/>
  <c r="S19" i="11"/>
  <c r="T19" i="11"/>
  <c r="C257" i="10"/>
  <c r="S23" i="11"/>
  <c r="T23" i="11"/>
  <c r="C293" i="10"/>
  <c r="S26" i="11"/>
  <c r="T26" i="11"/>
  <c r="C304" i="10"/>
  <c r="S27" i="11"/>
  <c r="T27" i="11"/>
  <c r="C366" i="10"/>
  <c r="S32" i="11"/>
  <c r="T32" i="11"/>
  <c r="S40" i="11"/>
  <c r="T40" i="11"/>
  <c r="C509" i="10"/>
  <c r="S44" i="11"/>
  <c r="T44" i="11"/>
  <c r="C618" i="10"/>
  <c r="S53" i="11"/>
  <c r="T53" i="11"/>
  <c r="C656" i="10"/>
  <c r="S56" i="11"/>
  <c r="T56"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T121" i="11"/>
  <c r="S121" i="11"/>
  <c r="C1385" i="10"/>
  <c r="T122" i="11"/>
  <c r="S122" i="11"/>
  <c r="C1396" i="10"/>
  <c r="T123" i="11"/>
  <c r="S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E42" i="5" s="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220" i="10"/>
  <c r="S20" i="11"/>
  <c r="T20" i="11"/>
  <c r="C484" i="10"/>
  <c r="S42" i="11"/>
  <c r="T42" i="11"/>
  <c r="C594" i="10"/>
  <c r="S51" i="11"/>
  <c r="T51" i="11"/>
  <c r="C800" i="10"/>
  <c r="S69" i="11"/>
  <c r="T69" i="11"/>
  <c r="C810" i="10"/>
  <c r="S70" i="11"/>
  <c r="T70" i="11"/>
  <c r="C901" i="10"/>
  <c r="S79" i="11"/>
  <c r="T79" i="11"/>
  <c r="C967" i="10"/>
  <c r="S86" i="11"/>
  <c r="T86" i="11"/>
  <c r="C1185" i="10"/>
  <c r="S105" i="11"/>
  <c r="T105" i="11"/>
  <c r="C1197" i="10"/>
  <c r="S106" i="11"/>
  <c r="T106" i="11"/>
  <c r="C1209" i="10"/>
  <c r="S107" i="11"/>
  <c r="T107" i="11"/>
  <c r="C1363" i="10"/>
  <c r="S120" i="11"/>
  <c r="T120" i="11"/>
  <c r="C1488" i="10"/>
  <c r="S132" i="11"/>
  <c r="T132" i="11"/>
  <c r="C1733" i="10"/>
  <c r="S156" i="11"/>
  <c r="T156" i="11"/>
  <c r="C1756" i="10"/>
  <c r="S159" i="11"/>
  <c r="T159" i="11"/>
  <c r="C5" i="10"/>
  <c r="S3" i="11"/>
  <c r="T3" i="11"/>
  <c r="C2" i="10"/>
  <c r="T2" i="11"/>
  <c r="S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702" i="10"/>
  <c r="S60" i="11"/>
  <c r="T60"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T109" i="11"/>
  <c r="S109" i="11"/>
  <c r="C1244" i="10"/>
  <c r="S110" i="11"/>
  <c r="T110" i="11"/>
  <c r="C1255" i="10"/>
  <c r="T111" i="11"/>
  <c r="S111" i="11"/>
  <c r="C1281" i="10"/>
  <c r="T113" i="11"/>
  <c r="S113" i="11"/>
  <c r="C1304" i="10"/>
  <c r="T115" i="11"/>
  <c r="S115" i="11"/>
  <c r="C1316" i="10"/>
  <c r="S116" i="11"/>
  <c r="T116" i="11"/>
  <c r="C1327" i="10"/>
  <c r="T117" i="11"/>
  <c r="S117" i="11"/>
  <c r="C1407" i="10"/>
  <c r="S124" i="11"/>
  <c r="T124" i="11"/>
  <c r="C1478" i="10"/>
  <c r="S131" i="11"/>
  <c r="T131" i="11"/>
  <c r="C1508" i="10"/>
  <c r="S134" i="11"/>
  <c r="T134" i="11"/>
  <c r="C1527" i="10"/>
  <c r="S136" i="11"/>
  <c r="T136" i="11"/>
  <c r="C1537" i="10"/>
  <c r="S137" i="11"/>
  <c r="T137" i="11"/>
  <c r="C1588" i="10"/>
  <c r="S142" i="11"/>
  <c r="T142" i="11"/>
  <c r="C1600" i="10"/>
  <c r="S143" i="11"/>
  <c r="T143" i="11"/>
  <c r="C1671" i="10"/>
  <c r="S149" i="11"/>
  <c r="T149" i="11"/>
  <c r="S151" i="11"/>
  <c r="T151" i="11"/>
  <c r="C1708" i="10"/>
  <c r="S153" i="11"/>
  <c r="T153" i="11"/>
  <c r="C437" i="10"/>
  <c r="S38" i="11"/>
  <c r="T38" i="11"/>
  <c r="C448" i="10"/>
  <c r="S39" i="11"/>
  <c r="T39" i="11"/>
  <c r="C644" i="10"/>
  <c r="S55" i="11"/>
  <c r="T55" i="11"/>
  <c r="C680" i="10"/>
  <c r="S58" i="11"/>
  <c r="T58" i="11"/>
  <c r="C737" i="10"/>
  <c r="S63" i="11"/>
  <c r="T63" i="11"/>
  <c r="C759" i="10"/>
  <c r="S65" i="11"/>
  <c r="T65" i="11"/>
  <c r="C1032" i="10"/>
  <c r="S93" i="11"/>
  <c r="T93" i="11"/>
  <c r="C1075" i="10"/>
  <c r="S96" i="11"/>
  <c r="T96" i="11"/>
  <c r="C1351" i="10"/>
  <c r="T119" i="11"/>
  <c r="S119" i="11"/>
  <c r="C1429" i="10"/>
  <c r="S126" i="11"/>
  <c r="T126" i="11"/>
  <c r="C1440" i="10"/>
  <c r="S127" i="11"/>
  <c r="T127" i="11"/>
  <c r="C1610" i="10"/>
  <c r="S144" i="11"/>
  <c r="T144" i="11"/>
  <c r="C1681" i="10"/>
  <c r="S150" i="11"/>
  <c r="T150" i="11"/>
  <c r="C1717" i="10"/>
  <c r="S154" i="11"/>
  <c r="T154" i="11"/>
  <c r="C1741" i="10"/>
  <c r="S157" i="11"/>
  <c r="T157" i="11"/>
  <c r="C1772" i="10"/>
  <c r="S161" i="11"/>
  <c r="T161" i="11"/>
  <c r="C97" i="10"/>
  <c r="S10" i="11"/>
  <c r="T10" i="11"/>
  <c r="C109" i="10"/>
  <c r="S11" i="11"/>
  <c r="T11" i="11"/>
  <c r="C123" i="10"/>
  <c r="S12" i="11"/>
  <c r="T12"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E41" i="5"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E44" i="5" s="1"/>
  <c r="AG158" i="11"/>
  <c r="E55" i="5" s="1"/>
  <c r="D158" i="11"/>
  <c r="J34" i="5" s="1"/>
  <c r="AL158" i="11"/>
  <c r="J59" i="5" s="1"/>
  <c r="C158" i="11"/>
  <c r="E34" i="5" s="1"/>
  <c r="AK158" i="11"/>
  <c r="E59" i="5" s="1"/>
  <c r="R158" i="11"/>
  <c r="AH158" i="11"/>
  <c r="J55" i="5" s="1"/>
  <c r="AC158" i="11"/>
  <c r="E50" i="5" s="1"/>
  <c r="X158" i="11"/>
  <c r="J44" i="5" s="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E61" i="5" s="1"/>
  <c r="AI158" i="11"/>
  <c r="E57" i="5" s="1"/>
  <c r="AE158" i="11"/>
  <c r="E52" i="5" s="1"/>
  <c r="AA158" i="11"/>
  <c r="E49" i="5" s="1"/>
  <c r="M158" i="11"/>
  <c r="E39" i="5" s="1"/>
  <c r="I158" i="11"/>
  <c r="E158" i="11"/>
  <c r="E36" i="5" s="1"/>
  <c r="AN158" i="11"/>
  <c r="J61" i="5" s="1"/>
  <c r="AB158" i="11"/>
  <c r="V158" i="11"/>
  <c r="O158" i="11"/>
  <c r="J158" i="11"/>
  <c r="AF158" i="11"/>
  <c r="J52" i="5" s="1"/>
  <c r="Z158" i="11"/>
  <c r="J46" i="5" s="1"/>
  <c r="U158" i="11"/>
  <c r="E43" i="5" s="1"/>
  <c r="N158" i="11"/>
  <c r="J39" i="5" s="1"/>
  <c r="H158" i="11"/>
  <c r="AJ158" i="11"/>
  <c r="J57" i="5" s="1"/>
  <c r="Y158" i="11"/>
  <c r="E46" i="5" s="1"/>
  <c r="L158" i="11"/>
  <c r="G158" i="11"/>
  <c r="P158" i="11"/>
  <c r="K158" i="11"/>
  <c r="F158" i="11"/>
  <c r="J36" i="5" s="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35" i="5" l="1"/>
  <c r="C35" i="5"/>
  <c r="G35" i="5" s="1"/>
  <c r="B35" i="5"/>
  <c r="C45" i="5"/>
  <c r="G45" i="5" s="1"/>
  <c r="F45" i="5"/>
  <c r="B45" i="5"/>
  <c r="C136" i="11"/>
  <c r="AD119" i="11"/>
  <c r="X113" i="11"/>
  <c r="F40" i="5"/>
  <c r="B40" i="5"/>
  <c r="C40" i="5"/>
  <c r="G40" i="5" s="1"/>
  <c r="F47" i="5"/>
  <c r="C47" i="5"/>
  <c r="G47" i="5" s="1"/>
  <c r="B47" i="5"/>
  <c r="B37" i="5"/>
  <c r="C37" i="5"/>
  <c r="G37" i="5" s="1"/>
  <c r="F37" i="5"/>
  <c r="F53" i="5"/>
  <c r="B53" i="5"/>
  <c r="C53" i="5"/>
  <c r="G53" i="5" s="1"/>
  <c r="Q138" i="11"/>
  <c r="AC87" i="11"/>
  <c r="C119" i="11"/>
  <c r="C163" i="11"/>
  <c r="W163" i="11"/>
  <c r="D163" i="11"/>
  <c r="X163" i="11"/>
  <c r="Q163" i="11"/>
  <c r="AC163" i="11"/>
  <c r="AG163" i="11"/>
  <c r="AK163" i="11"/>
  <c r="R163" i="11"/>
  <c r="AD163" i="11"/>
  <c r="AH163" i="11"/>
  <c r="AL163" i="11"/>
  <c r="F58" i="5"/>
  <c r="B58" i="5"/>
  <c r="C58" i="5"/>
  <c r="G58" i="5" s="1"/>
  <c r="AG130" i="11"/>
  <c r="AC101" i="11"/>
  <c r="Q162" i="11"/>
  <c r="AC162" i="11"/>
  <c r="AG162" i="11"/>
  <c r="AK162" i="11"/>
  <c r="R162" i="11"/>
  <c r="AD162" i="11"/>
  <c r="AH162" i="11"/>
  <c r="AL162" i="11"/>
  <c r="C162" i="11"/>
  <c r="W162" i="11"/>
  <c r="D162" i="11"/>
  <c r="X162" i="11"/>
  <c r="B62" i="5"/>
  <c r="C62" i="5"/>
  <c r="G62" i="5" s="1"/>
  <c r="F62" i="5"/>
  <c r="F60" i="5"/>
  <c r="B60" i="5"/>
  <c r="C60" i="5"/>
  <c r="G60" i="5" s="1"/>
  <c r="C56" i="5"/>
  <c r="G56" i="5" s="1"/>
  <c r="F56" i="5"/>
  <c r="B56" i="5"/>
  <c r="D113" i="11"/>
  <c r="Q95" i="11"/>
  <c r="AD95" i="11"/>
  <c r="W84" i="11"/>
  <c r="Q132" i="11"/>
  <c r="AD158" i="11"/>
  <c r="J50" i="5" s="1"/>
  <c r="F51" i="5" s="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51" i="5" l="1"/>
  <c r="G51" i="5" s="1"/>
  <c r="B51" i="5"/>
  <c r="J72" i="5"/>
  <c r="K11" i="6" l="1"/>
  <c r="I31" i="5"/>
  <c r="L11" i="6"/>
  <c r="F71" i="5"/>
  <c r="F73" i="5" s="1"/>
  <c r="E5" i="6"/>
  <c r="D5" i="6"/>
  <c r="H12" i="5"/>
  <c r="H19" i="5"/>
  <c r="H11" i="5"/>
  <c r="H20" i="5"/>
  <c r="H14" i="5"/>
  <c r="H15" i="5"/>
  <c r="C71" i="5"/>
  <c r="G71" i="5" s="1"/>
  <c r="E72" i="5"/>
  <c r="B71" i="5"/>
  <c r="B73" i="5" s="1"/>
  <c r="H13" i="5"/>
  <c r="H18" i="5"/>
  <c r="I27" i="5"/>
  <c r="I30" i="5"/>
  <c r="I29" i="5"/>
  <c r="I32" i="5"/>
  <c r="I28" i="5"/>
  <c r="C73" i="5" l="1"/>
  <c r="G73" i="5" s="1"/>
</calcChain>
</file>

<file path=xl/sharedStrings.xml><?xml version="1.0" encoding="utf-8"?>
<sst xmlns="http://schemas.openxmlformats.org/spreadsheetml/2006/main" count="4826" uniqueCount="477">
  <si>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</si>
  <si>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</si>
  <si>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</si>
  <si>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</si>
  <si>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</si>
  <si>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</si>
  <si>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</si>
  <si>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</si>
  <si>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</si>
  <si>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</si>
  <si>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</si>
  <si>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</si>
  <si>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</si>
  <si>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</si>
  <si>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</si>
  <si>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</si>
  <si>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</si>
  <si>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</si>
  <si>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</si>
  <si>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</si>
  <si>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</si>
  <si>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</si>
  <si>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</si>
  <si>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</si>
  <si>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</si>
  <si>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</si>
  <si>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</si>
  <si>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</si>
  <si>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</si>
  <si>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</si>
  <si>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</si>
  <si>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</si>
  <si>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</si>
  <si>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</si>
  <si>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</si>
  <si>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</si>
  <si>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</si>
  <si>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</si>
  <si>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</si>
  <si>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</si>
  <si>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</si>
  <si>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</si>
  <si>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</si>
  <si>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</si>
  <si>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</si>
  <si>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</si>
  <si>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</si>
  <si>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</si>
  <si>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</si>
  <si>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</si>
  <si>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</si>
  <si>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</si>
  <si>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</si>
  <si>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</si>
  <si>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</si>
  <si>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</si>
  <si>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</si>
  <si>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</si>
  <si>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</si>
  <si>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</si>
  <si>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</si>
  <si>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</si>
  <si>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</si>
  <si>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</si>
  <si>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</si>
  <si>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</si>
  <si>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</si>
  <si>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</si>
  <si>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</si>
  <si>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</si>
  <si>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</si>
  <si>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</si>
  <si>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</si>
  <si>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</si>
  <si>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</si>
  <si>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</si>
  <si>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</si>
  <si>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</si>
  <si>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</si>
  <si>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</si>
  <si>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</si>
  <si>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</si>
  <si>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</si>
  <si>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</si>
  <si>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</si>
  <si>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</si>
  <si>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</si>
  <si>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</si>
  <si>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</si>
  <si>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</si>
  <si>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</si>
  <si>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</si>
  <si>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</si>
  <si>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</si>
  <si>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</si>
  <si>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</si>
  <si>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</si>
  <si>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</si>
  <si>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</si>
  <si>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</si>
  <si>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</si>
  <si>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</si>
  <si>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</si>
  <si>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</si>
  <si>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</si>
  <si>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</si>
  <si>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</si>
  <si>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</si>
  <si>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</si>
  <si>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</si>
  <si>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</si>
  <si>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</si>
  <si>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</si>
  <si>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</si>
  <si>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</si>
  <si>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</si>
  <si>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</si>
  <si>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</si>
  <si>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</si>
  <si>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</si>
  <si>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</si>
  <si>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</si>
  <si>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</si>
  <si>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</si>
  <si>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</si>
  <si>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</si>
  <si>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</si>
  <si>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</si>
  <si>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</si>
  <si>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</si>
  <si>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</si>
  <si>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</si>
  <si>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</si>
  <si>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</si>
  <si>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</si>
  <si>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</si>
  <si>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</si>
  <si>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</si>
  <si>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</si>
  <si>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</si>
  <si>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</si>
  <si>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</si>
  <si>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</si>
  <si>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</si>
  <si>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</si>
  <si>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</si>
  <si>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</si>
  <si>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</si>
  <si>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</si>
  <si>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</si>
  <si>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</si>
  <si>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</si>
  <si>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</si>
  <si>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</si>
  <si>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</si>
  <si>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</si>
  <si>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</si>
  <si>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</si>
  <si>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</si>
  <si>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</si>
  <si>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</si>
  <si>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</si>
  <si>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</si>
  <si>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</si>
  <si>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</si>
  <si>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</si>
  <si>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</si>
  <si>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</si>
  <si>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</si>
  <si>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</si>
  <si>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</si>
  <si>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</si>
  <si>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</si>
  <si>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</si>
  <si>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</si>
  <si>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</si>
  <si>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</si>
  <si>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</si>
  <si>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</si>
  <si>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</si>
  <si>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</si>
  <si>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</si>
  <si>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</si>
  <si>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</si>
  <si>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</si>
  <si>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</si>
  <si>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</si>
  <si>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</si>
  <si>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</si>
  <si>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</si>
  <si>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</si>
  <si>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</si>
  <si>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</si>
  <si>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</si>
  <si>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</si>
  <si>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</si>
  <si>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</si>
  <si>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</si>
  <si>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</si>
  <si>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</si>
  <si>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</si>
  <si>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</si>
  <si>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</si>
  <si>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</si>
  <si>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</si>
  <si>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</si>
  <si>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</si>
  <si>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</si>
  <si>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</si>
  <si>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</si>
  <si>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</si>
  <si>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</si>
  <si>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</si>
  <si>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</si>
  <si>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</si>
  <si>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</si>
  <si>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</si>
  <si>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</si>
  <si>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</si>
  <si>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</si>
  <si>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</si>
  <si>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</si>
  <si>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</si>
  <si>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</si>
  <si>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</si>
  <si>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</si>
  <si>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</si>
  <si>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</si>
  <si>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</si>
  <si>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</si>
  <si>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</si>
  <si>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</si>
  <si>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</si>
  <si>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</si>
  <si>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</si>
  <si>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</si>
  <si>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</si>
  <si>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</si>
  <si>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</si>
  <si>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</si>
  <si>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</si>
  <si>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</si>
  <si>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</si>
  <si>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</si>
  <si>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</si>
  <si>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</si>
  <si>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</si>
  <si>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</si>
  <si>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</si>
  <si>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</si>
  <si>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</si>
  <si>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</si>
  <si>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</si>
  <si>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</si>
  <si>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</si>
  <si>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</si>
  <si>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</si>
  <si>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</si>
  <si>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</si>
  <si>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</si>
  <si>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</si>
  <si>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</si>
  <si>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</si>
  <si>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</si>
  <si>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</si>
  <si>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</si>
  <si>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</si>
  <si>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</si>
  <si>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</si>
  <si>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</si>
  <si>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</si>
  <si>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</si>
  <si>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</si>
  <si>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</si>
  <si>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</si>
  <si>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</si>
  <si>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</si>
  <si>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</si>
  <si>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</si>
  <si>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</si>
  <si>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</si>
  <si>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</si>
  <si>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</si>
  <si>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</si>
  <si>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</si>
  <si>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</si>
  <si>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</si>
  <si>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</si>
  <si>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</si>
  <si>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</si>
  <si>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</si>
  <si>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</si>
  <si>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</si>
  <si>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</si>
  <si>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</si>
  <si>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</si>
  <si>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</si>
  <si>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</si>
  <si>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</si>
  <si>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</si>
  <si>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</si>
  <si>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</si>
  <si>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</si>
  <si>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</si>
  <si>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</si>
  <si>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</si>
  <si>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</si>
  <si>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</si>
  <si>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</si>
  <si>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</si>
  <si>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</si>
  <si>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</si>
  <si>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</si>
  <si>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</si>
  <si>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</si>
  <si>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</si>
  <si>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</si>
  <si>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</si>
  <si>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</si>
  <si>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</si>
  <si>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</si>
  <si>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</si>
  <si>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</si>
  <si>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</si>
  <si>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</si>
  <si>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</si>
  <si>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</si>
  <si>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</si>
  <si>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</si>
  <si>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</si>
  <si>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</si>
  <si>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</si>
  <si>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</si>
  <si>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</si>
  <si>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</si>
  <si>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</si>
  <si>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</si>
  <si>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</si>
  <si>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</si>
  <si>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</si>
  <si>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</si>
  <si>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</si>
  <si>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</si>
  <si>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</si>
  <si>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</si>
  <si>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</si>
  <si>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</si>
  <si>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</si>
  <si>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</si>
  <si>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</si>
  <si>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</si>
  <si>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</si>
  <si>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</si>
  <si>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</si>
  <si>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</si>
  <si>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</si>
  <si>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</si>
  <si>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</si>
  <si>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</si>
  <si>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</si>
  <si>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</si>
  <si>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</si>
  <si>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</si>
  <si>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</si>
  <si>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</si>
  <si>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</si>
  <si>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</si>
  <si>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</si>
  <si>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</si>
  <si>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</si>
  <si>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</si>
  <si>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</si>
  <si>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</si>
  <si>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</si>
  <si>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</si>
  <si>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</si>
  <si>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</si>
  <si>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</si>
  <si>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</si>
  <si>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</si>
  <si>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</si>
  <si>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</si>
  <si>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</si>
  <si>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</si>
  <si>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</si>
  <si>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</si>
  <si>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</si>
  <si>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</si>
  <si>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</si>
  <si>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</si>
  <si>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</si>
  <si>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</si>
  <si>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</si>
  <si>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</si>
  <si>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</si>
  <si>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</si>
  <si>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</si>
  <si>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</si>
  <si>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</si>
  <si>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</si>
  <si>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</si>
  <si>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</si>
  <si>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</si>
  <si>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</si>
  <si>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</si>
  <si>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</si>
  <si>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</si>
  <si>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</si>
  <si>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</si>
  <si>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</si>
  <si>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</si>
  <si>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</si>
  <si>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</si>
  <si>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</si>
  <si>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</si>
  <si>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</si>
  <si>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</si>
  <si>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</si>
  <si>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</si>
  <si>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</si>
  <si>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</si>
  <si>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</si>
  <si>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</si>
  <si>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</si>
  <si>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</si>
  <si>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</si>
  <si>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</si>
  <si>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</si>
  <si>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</si>
  <si>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</si>
  <si>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</si>
  <si>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</si>
  <si>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</si>
  <si>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</si>
  <si>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</si>
  <si>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</si>
  <si>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</si>
  <si>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</si>
  <si>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</si>
  <si>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</si>
  <si>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</si>
  <si>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</si>
  <si>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</si>
  <si>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</si>
  <si>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</si>
  <si>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</si>
  <si>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</si>
  <si>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</si>
  <si>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</si>
  <si>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</si>
  <si>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</si>
  <si>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</si>
  <si>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</si>
  <si>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</si>
  <si>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</si>
  <si>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</si>
  <si>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</si>
  <si>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</si>
  <si>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</si>
  <si>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</si>
  <si>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</si>
  <si>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</si>
  <si>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</si>
  <si>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</si>
  <si>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</si>
  <si>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</si>
  <si>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</si>
  <si>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</si>
  <si>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</si>
  <si>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</si>
  <si>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</si>
  <si>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</si>
  <si>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</si>
  <si>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</si>
  <si>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承担教育督导教科研工作；协助组织开展对幼儿园班办园条件、安全卫生、保育教育、教职工队伍、内部管理等方面的督导工作；负责全区督学队伍培训、督导培训教材开发等工作；负责督导数据库的建立和管理。</t>
    <phoneticPr fontId="4" type="noConversion"/>
  </si>
  <si>
    <t>主要原因是上报2021年预算后调出一人，因此人员经费有结余。</t>
    <phoneticPr fontId="4" type="noConversion"/>
  </si>
  <si>
    <t>主要原因是单位调出一人，此外新增专项兼职督学劳务费1764000元。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</si>
</sst>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C20" sqref="C20"/>
    </sheetView>
  </sheetViews>
  <sheetFormatPr defaultRowHeight="14.25"/>
  <cols>
    <col min="1" max="1" width="16.5" customWidth="1"/>
    <col min="2" max="2" width="12.75" bestFit="1" customWidth="1"/>
  </cols>
  <sheetData>
    <row r="1" spans="1:14" ht="37.9" customHeight="1">
      <c r="A1" s="27" t="s">
        <v>0</v>
      </c>
      <c r="B1" s="28">
        <v>255198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北京市西城区教育督导研修中心</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471</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0"/>
  <sheetViews>
    <sheetView zoomScaleNormal="100" workbookViewId="0">
      <selection activeCell="H6" sqref="H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42.75" customHeight="1">
      <c r="A4" s="84" t="s">
        <v>474</v>
      </c>
      <c r="B4" s="84"/>
      <c r="C4" s="84"/>
      <c r="D4" s="84"/>
      <c r="E4" s="84"/>
      <c r="F4" s="84"/>
      <c r="G4" s="84"/>
      <c r="H4" s="84"/>
      <c r="I4" s="84"/>
      <c r="J4" s="84"/>
      <c r="K4" s="84"/>
      <c r="L4" s="84"/>
      <c r="M4" s="84"/>
      <c r="N4" s="19"/>
    </row>
    <row r="5" spans="1:14" ht="18" customHeight="1">
      <c r="A5" s="7" t="s">
        <v>176</v>
      </c>
    </row>
    <row r="6" spans="1:14" ht="18" customHeight="1">
      <c r="A6" s="88" t="s">
        <v>245</v>
      </c>
      <c r="B6" s="88"/>
      <c r="C6" s="10">
        <v>12</v>
      </c>
      <c r="D6" s="10" t="s">
        <v>247</v>
      </c>
      <c r="E6" s="8">
        <f>_xlfn.IFNA(VLOOKUP(封面!B1,'2021决算导出'!A:C,3,FALSE),"")</f>
        <v>6</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4273228.68</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1438053.3499999996</v>
      </c>
      <c r="I8" s="16" t="s">
        <v>179</v>
      </c>
      <c r="J8" s="30" t="str">
        <f>IF(ISNA(VLOOKUP(封面!B1,'2020决算导出'!A:D,4,FALSE)),"",IF(D8-VLOOKUP(封面!B1,'2020决算导出'!A:D,4,FALSE)&gt;0,"增长","下降"))</f>
        <v>增长</v>
      </c>
      <c r="K8" s="31">
        <f>IF(ISNA(VLOOKUP(封面!B1,'2020决算导出'!A:D,4,FALSE)),"",H8/VLOOKUP(封面!B1,'2020决算导出'!A:D,4,FALSE))</f>
        <v>0.50721849008188136</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4273228.68</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1438053.3499999996</v>
      </c>
      <c r="I10" s="16" t="s">
        <v>179</v>
      </c>
      <c r="J10" s="30" t="str">
        <f>IF(ISNA(VLOOKUP(封面!B1,'2020决算导出'!A:E,5,FALSE)),"",IF(D10-VLOOKUP(封面!B1,'2020决算导出'!A:E,5,FALSE)&gt;0,"增长","下降"))</f>
        <v>增长</v>
      </c>
      <c r="K10" s="31">
        <f>IF(ISNA(VLOOKUP(封面!B1,'2020决算导出'!A:E,5,FALSE)),"",H10/VLOOKUP(封面!B1,'2020决算导出'!A:E,5,FALSE))</f>
        <v>0.50721849008188136</v>
      </c>
      <c r="L10" s="7" t="s">
        <v>314</v>
      </c>
    </row>
    <row r="11" spans="1:14" ht="18" customHeight="1">
      <c r="A11" s="88" t="s">
        <v>181</v>
      </c>
      <c r="B11" s="88"/>
      <c r="C11" s="88"/>
      <c r="D11" s="14">
        <f>_xlfn.IFNA(VLOOKUP(封面!B1,'2021决算导出'!A:F,6,FALSE),"")</f>
        <v>4273228.68</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4273228.68</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1438053.3499999996</v>
      </c>
      <c r="I17" s="7" t="s">
        <v>179</v>
      </c>
      <c r="J17" s="30" t="str">
        <f>IF(ISNA(VLOOKUP(封面!B1,'2020决算导出'!A:K,11,FALSE)),"",IF(D17-VLOOKUP(封面!B1,'2020决算导出'!A:K,11,FALSE)&gt;0,"增长","下降"))</f>
        <v>增长</v>
      </c>
      <c r="K17" s="31">
        <f>IF(ISNA(VLOOKUP(封面!B1,'2020决算导出'!A:K,11,FALSE)),"",H17/VLOOKUP(封面!B1,'2020决算导出'!A:K,11,FALSE))</f>
        <v>0.50721849008188136</v>
      </c>
      <c r="L17" s="7" t="s">
        <v>317</v>
      </c>
    </row>
    <row r="18" spans="1:13" ht="18" customHeight="1">
      <c r="A18" s="88" t="s">
        <v>189</v>
      </c>
      <c r="B18" s="88"/>
      <c r="C18" s="88"/>
      <c r="D18" s="14">
        <f>_xlfn.IFNA(VLOOKUP(封面!B1,'2021决算导出'!A:L,12,FALSE),"")</f>
        <v>2409228.6800000002</v>
      </c>
      <c r="E18" s="7" t="s">
        <v>179</v>
      </c>
      <c r="F18" s="88" t="s">
        <v>190</v>
      </c>
      <c r="G18" s="88"/>
      <c r="H18" s="29">
        <f>D18/$D$17</f>
        <v>0.5637958696841846</v>
      </c>
      <c r="I18" s="7" t="s">
        <v>315</v>
      </c>
    </row>
    <row r="19" spans="1:13" ht="18" customHeight="1">
      <c r="A19" s="88" t="s">
        <v>191</v>
      </c>
      <c r="B19" s="88"/>
      <c r="C19" s="88"/>
      <c r="D19" s="14">
        <f>_xlfn.IFNA(VLOOKUP(封面!B1,'2021决算导出'!A:M,13,FALSE),"")</f>
        <v>1864000</v>
      </c>
      <c r="E19" s="7" t="s">
        <v>179</v>
      </c>
      <c r="F19" s="88" t="s">
        <v>190</v>
      </c>
      <c r="G19" s="88"/>
      <c r="H19" s="29">
        <f t="shared" ref="H19:H20" si="1">D19/$D$17</f>
        <v>0.43620413031581545</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4273228.68</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1438053.3499999996</v>
      </c>
      <c r="J22" s="7" t="s">
        <v>179</v>
      </c>
      <c r="K22" s="30" t="str">
        <f>IF(ISNA(VLOOKUP(封面!B1,'2020决算导出'!A:O,15,FALSE)),"",IF(E22-VLOOKUP(封面!B1,'2020决算导出'!A:O,15,FALSE)&gt;0,"增长","下降"))</f>
        <v>增长</v>
      </c>
      <c r="L22" s="31">
        <f>IF(ISNA(VLOOKUP(封面!B1,'2020决算导出'!A:O,15,FALSE)),"",I22/VLOOKUP(封面!B1,'2020决算导出'!A:O,15,FALSE))</f>
        <v>0.50721849008188136</v>
      </c>
      <c r="M22" s="7" t="s">
        <v>313</v>
      </c>
    </row>
    <row r="23" spans="1:13" ht="63.6" customHeight="1">
      <c r="B23" s="90" t="s">
        <v>476</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4273228.68</v>
      </c>
      <c r="G26" s="83"/>
      <c r="H26" s="7" t="s">
        <v>179</v>
      </c>
      <c r="I26" s="10" t="s">
        <v>196</v>
      </c>
      <c r="J26" s="10"/>
      <c r="K26" s="10"/>
      <c r="L26" s="10"/>
      <c r="M26" s="10"/>
    </row>
    <row r="27" spans="1:13" ht="18" customHeight="1">
      <c r="A27" s="88" t="s">
        <v>199</v>
      </c>
      <c r="B27" s="88"/>
      <c r="C27" s="88"/>
      <c r="D27" s="83">
        <f>_xlfn.IFNA(VLOOKUP(封面!B1,'2021决算导出'!A:Q,17,FALSE),"")</f>
        <v>3514212.4</v>
      </c>
      <c r="E27" s="83"/>
      <c r="F27" s="7" t="s">
        <v>179</v>
      </c>
      <c r="G27" s="86" t="s">
        <v>198</v>
      </c>
      <c r="H27" s="86"/>
      <c r="I27" s="29">
        <f>D27/$F$26</f>
        <v>0.82237873588361299</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257506.56</v>
      </c>
      <c r="E29" s="83"/>
      <c r="F29" s="7" t="s">
        <v>179</v>
      </c>
      <c r="G29" s="86" t="s">
        <v>198</v>
      </c>
      <c r="H29" s="86"/>
      <c r="I29" s="29">
        <f t="shared" si="2"/>
        <v>6.0260421167069395E-2</v>
      </c>
      <c r="J29" s="7" t="s">
        <v>315</v>
      </c>
    </row>
    <row r="30" spans="1:13" ht="18" customHeight="1">
      <c r="A30" s="88" t="s">
        <v>201</v>
      </c>
      <c r="B30" s="88"/>
      <c r="C30" s="88"/>
      <c r="D30" s="83">
        <f>_xlfn.IFNA(VLOOKUP(封面!B1,'2021决算导出'!A:T,20,FALSE),"")</f>
        <v>157349.72</v>
      </c>
      <c r="E30" s="83"/>
      <c r="F30" s="7" t="s">
        <v>179</v>
      </c>
      <c r="G30" s="86" t="s">
        <v>198</v>
      </c>
      <c r="H30" s="86"/>
      <c r="I30" s="29">
        <f t="shared" si="2"/>
        <v>3.6822209103024181E-2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344160</v>
      </c>
      <c r="E32" s="83"/>
      <c r="F32" s="7" t="s">
        <v>179</v>
      </c>
      <c r="G32" s="86" t="s">
        <v>198</v>
      </c>
      <c r="H32" s="86"/>
      <c r="I32" s="29">
        <f t="shared" si="2"/>
        <v>8.0538633846293478E-2</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3514212.4</v>
      </c>
      <c r="F34" s="83"/>
      <c r="G34" s="7" t="s">
        <v>179</v>
      </c>
      <c r="H34" s="86" t="s">
        <v>422</v>
      </c>
      <c r="I34" s="86"/>
      <c r="J34" s="83">
        <f>_xlfn.IFNA(VLOOKUP(封面!B1,一般公共预算财政拨款支出决算具体情况!A:D,4,FALSE),"")</f>
        <v>3682856.9</v>
      </c>
      <c r="K34" s="83"/>
      <c r="L34" s="11" t="s">
        <v>178</v>
      </c>
    </row>
    <row r="35" spans="1:12" ht="18" customHeight="1">
      <c r="B35" s="15" t="str">
        <f>IF(E34&gt;J34,"增加","减少")</f>
        <v>减少</v>
      </c>
      <c r="C35" s="83">
        <f>ABS(E34-J34)</f>
        <v>168644.5</v>
      </c>
      <c r="D35" s="83"/>
      <c r="E35" s="7" t="s">
        <v>179</v>
      </c>
      <c r="F35" s="15" t="str">
        <f>IF(E34&gt;J34,"增长","下降")</f>
        <v>下降</v>
      </c>
      <c r="G35" s="34">
        <f>IF(J34=0,IF(E34&gt;0,1,""),C35/J34)</f>
        <v>4.5791760195732834E-2</v>
      </c>
      <c r="H35" s="7" t="s">
        <v>316</v>
      </c>
      <c r="I35" s="11" t="s">
        <v>205</v>
      </c>
    </row>
    <row r="36" spans="1:12" ht="18" customHeight="1">
      <c r="A36" s="88" t="s">
        <v>423</v>
      </c>
      <c r="B36" s="88"/>
      <c r="C36" s="88"/>
      <c r="D36" s="88"/>
      <c r="E36" s="83">
        <f>_xlfn.IFNA(VLOOKUP(封面!B1,一般公共预算财政拨款支出决算具体情况!A:E,5,FALSE),"")</f>
        <v>3509452.4</v>
      </c>
      <c r="F36" s="83"/>
      <c r="G36" s="7" t="s">
        <v>179</v>
      </c>
      <c r="H36" s="86" t="s">
        <v>422</v>
      </c>
      <c r="I36" s="86"/>
      <c r="J36" s="83">
        <f>_xlfn.IFNA(VLOOKUP(封面!B1,一般公共预算财政拨款支出决算具体情况!A:F,6,FALSE),"")</f>
        <v>3678096.9</v>
      </c>
      <c r="K36" s="83"/>
      <c r="L36" s="11" t="s">
        <v>178</v>
      </c>
    </row>
    <row r="37" spans="1:12" ht="18" customHeight="1">
      <c r="A37" s="15"/>
      <c r="B37" s="15" t="str">
        <f>IF(E36&gt;J36,"增加","减少")</f>
        <v>减少</v>
      </c>
      <c r="C37" s="83">
        <f>ABS(E36-J36)</f>
        <v>168644.5</v>
      </c>
      <c r="D37" s="83"/>
      <c r="E37" s="7" t="s">
        <v>179</v>
      </c>
      <c r="F37" s="15" t="str">
        <f>IF(E36&gt;J36,"增长","下降")</f>
        <v>下降</v>
      </c>
      <c r="G37" s="34">
        <f>IF(J36=0,IF(E36&gt;0,1,""),C37/J36)</f>
        <v>4.585102148885746E-2</v>
      </c>
      <c r="H37" s="7" t="s">
        <v>316</v>
      </c>
    </row>
    <row r="38" spans="1:12" ht="36" customHeight="1">
      <c r="B38" s="84" t="s">
        <v>475</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_xlfn.IFNA(VLOOKUP(封面!B1,一般公共预算财政拨款支出决算具体情况!A:M,13,FALSE),"")</f>
        <v>4760</v>
      </c>
      <c r="F39" s="83"/>
      <c r="G39" s="7" t="s">
        <v>179</v>
      </c>
      <c r="H39" s="86" t="s">
        <v>422</v>
      </c>
      <c r="I39" s="86"/>
      <c r="J39" s="83">
        <f>_xlfn.IFNA(VLOOKUP(封面!B1,一般公共预算财政拨款支出决算具体情况!A:N,14,FALSE),"")</f>
        <v>4760</v>
      </c>
      <c r="K39" s="83"/>
      <c r="L39" s="11" t="s">
        <v>178</v>
      </c>
    </row>
    <row r="40" spans="1:12" ht="18" customHeight="1">
      <c r="A40" s="15"/>
      <c r="B40" s="15" t="str">
        <f>IF(E39&gt;J39,"增加","减少")</f>
        <v>减少</v>
      </c>
      <c r="C40" s="83">
        <f>ABS(E39-J39)</f>
        <v>0</v>
      </c>
      <c r="D40" s="83"/>
      <c r="E40" s="7" t="s">
        <v>179</v>
      </c>
      <c r="F40" s="15" t="str">
        <f>IF(E39&gt;J39,"增长","下降")</f>
        <v>下降</v>
      </c>
      <c r="G40" s="34">
        <f>IF(J39=0,IF(E39&gt;0,1,""),C40/J39)</f>
        <v>0</v>
      </c>
      <c r="H40" s="7" t="s">
        <v>316</v>
      </c>
    </row>
    <row r="41" spans="1:12" ht="18" customHeight="1">
      <c r="A41" s="89" t="s">
        <v>425</v>
      </c>
      <c r="B41" s="89"/>
      <c r="C41" s="89"/>
      <c r="D41" s="89"/>
      <c r="E41" s="83">
        <f>_xlfn.IFNA(VLOOKUP(封面!B1,一般公共预算财政拨款支出决算具体情况!A:Q,17,FALSE),"")</f>
        <v>0</v>
      </c>
      <c r="F41" s="83"/>
      <c r="G41" s="7" t="s">
        <v>179</v>
      </c>
      <c r="H41" s="85" t="s">
        <v>426</v>
      </c>
      <c r="I41" s="85"/>
      <c r="J41" s="85"/>
      <c r="K41" s="85"/>
      <c r="L41" s="11"/>
    </row>
    <row r="42" spans="1:12" ht="18" customHeight="1">
      <c r="A42" s="87" t="s">
        <v>468</v>
      </c>
      <c r="B42" s="87"/>
      <c r="C42" s="87"/>
      <c r="D42" s="87"/>
      <c r="E42" s="83">
        <f>_xlfn.IFNA(VLOOKUP(封面!B1,一般公共预算财政拨款支出决算具体情况!A:S,19,FALSE),"")</f>
        <v>0</v>
      </c>
      <c r="F42" s="83"/>
      <c r="G42" s="7" t="s">
        <v>179</v>
      </c>
      <c r="H42" s="85" t="s">
        <v>428</v>
      </c>
      <c r="I42" s="85"/>
      <c r="J42" s="85"/>
      <c r="K42" s="85"/>
      <c r="L42" s="11"/>
    </row>
    <row r="43" spans="1:12" ht="18" customHeight="1">
      <c r="A43" s="88" t="s">
        <v>427</v>
      </c>
      <c r="B43" s="88"/>
      <c r="C43" s="88"/>
      <c r="D43" s="88"/>
      <c r="E43" s="83">
        <f>_xlfn.IFNA(VLOOKUP(封面!B1,一般公共预算财政拨款支出决算具体情况!A:U,21,FALSE),"")</f>
        <v>0</v>
      </c>
      <c r="F43" s="83"/>
      <c r="G43" s="7" t="s">
        <v>179</v>
      </c>
      <c r="H43" s="85" t="s">
        <v>428</v>
      </c>
      <c r="I43" s="85"/>
      <c r="J43" s="85"/>
      <c r="K43" s="85"/>
      <c r="L43" s="11"/>
    </row>
    <row r="44" spans="1:12" ht="18" customHeight="1">
      <c r="A44" s="89" t="s">
        <v>429</v>
      </c>
      <c r="B44" s="89"/>
      <c r="C44" s="89"/>
      <c r="D44" s="89"/>
      <c r="E44" s="83">
        <f>_xlfn.IFNA(VLOOKUP(封面!B1,一般公共预算财政拨款支出决算具体情况!A:W,23,FALSE),"")</f>
        <v>257506.56</v>
      </c>
      <c r="F44" s="83"/>
      <c r="G44" s="7" t="s">
        <v>179</v>
      </c>
      <c r="H44" s="86" t="s">
        <v>422</v>
      </c>
      <c r="I44" s="86"/>
      <c r="J44" s="83">
        <f>_xlfn.IFNA(VLOOKUP(封面!B1,一般公共预算财政拨款支出决算具体情况!A:X,24,FALSE),"")</f>
        <v>355432.80000000005</v>
      </c>
      <c r="K44" s="83"/>
      <c r="L44" s="11" t="s">
        <v>178</v>
      </c>
    </row>
    <row r="45" spans="1:12" ht="18" customHeight="1">
      <c r="B45" s="15" t="str">
        <f>IF(E44&gt;J44,"增加","减少")</f>
        <v>减少</v>
      </c>
      <c r="C45" s="83">
        <f>ABS(E44-J44)</f>
        <v>97926.240000000049</v>
      </c>
      <c r="D45" s="83"/>
      <c r="E45" s="7" t="s">
        <v>179</v>
      </c>
      <c r="F45" s="15" t="str">
        <f>IF(E44&gt;J44,"增长","下降")</f>
        <v>下降</v>
      </c>
      <c r="G45" s="34">
        <f>IF(J44=0,IF(E44&gt;0,1,""),C45/J44)</f>
        <v>0.27551267074957642</v>
      </c>
      <c r="H45" s="7" t="s">
        <v>316</v>
      </c>
      <c r="I45" s="11" t="s">
        <v>205</v>
      </c>
    </row>
    <row r="46" spans="1:12" ht="18" customHeight="1">
      <c r="A46" s="87" t="s">
        <v>430</v>
      </c>
      <c r="B46" s="87"/>
      <c r="C46" s="87"/>
      <c r="D46" s="87"/>
      <c r="E46" s="83">
        <f>_xlfn.IFNA(VLOOKUP(封面!B1,一般公共预算财政拨款支出决算具体情况!A:Y,25,FALSE),"")</f>
        <v>257506.56</v>
      </c>
      <c r="F46" s="83"/>
      <c r="G46" s="7" t="s">
        <v>179</v>
      </c>
      <c r="H46" s="86" t="s">
        <v>422</v>
      </c>
      <c r="I46" s="86"/>
      <c r="J46" s="83">
        <f>_xlfn.IFNA(VLOOKUP(封面!B1,一般公共预算财政拨款支出决算具体情况!A:Z,26,FALSE),"")</f>
        <v>355432.80000000005</v>
      </c>
      <c r="K46" s="83"/>
      <c r="L46" s="11" t="s">
        <v>178</v>
      </c>
    </row>
    <row r="47" spans="1:12" ht="18" customHeight="1">
      <c r="A47" s="15"/>
      <c r="B47" s="15" t="str">
        <f>IF(E46&gt;J46,"增加","减少")</f>
        <v>减少</v>
      </c>
      <c r="C47" s="83">
        <f>ABS(E46-J46)</f>
        <v>97926.240000000049</v>
      </c>
      <c r="D47" s="83"/>
      <c r="E47" s="7" t="s">
        <v>179</v>
      </c>
      <c r="F47" s="15" t="str">
        <f>IF(E46&gt;J46,"增长","下降")</f>
        <v>下降</v>
      </c>
      <c r="G47" s="34">
        <f>IF(J46=0,IF(E46&gt;0,1,""),C47/J46)</f>
        <v>0.27551267074957642</v>
      </c>
      <c r="H47" s="7" t="s">
        <v>316</v>
      </c>
    </row>
    <row r="48" spans="1:12" ht="36" customHeight="1">
      <c r="B48" s="84" t="s">
        <v>475</v>
      </c>
      <c r="C48" s="84"/>
      <c r="D48" s="84"/>
      <c r="E48" s="84"/>
      <c r="F48" s="84"/>
      <c r="G48" s="84"/>
      <c r="H48" s="84"/>
      <c r="I48" s="84"/>
      <c r="J48" s="84"/>
      <c r="K48" s="84"/>
      <c r="L48" s="84"/>
    </row>
    <row r="49" spans="1:12" ht="18" customHeight="1">
      <c r="A49" s="87" t="s">
        <v>431</v>
      </c>
      <c r="B49" s="87"/>
      <c r="C49" s="87"/>
      <c r="D49" s="87"/>
      <c r="E49" s="83">
        <f>_xlfn.IFNA(VLOOKUP(封面!B1,一般公共预算财政拨款支出决算具体情况!A:AA,27,FALSE),"")</f>
        <v>0</v>
      </c>
      <c r="F49" s="83"/>
      <c r="G49" s="7" t="s">
        <v>179</v>
      </c>
      <c r="H49" s="86" t="s">
        <v>428</v>
      </c>
      <c r="I49" s="86"/>
      <c r="J49" s="83"/>
      <c r="K49" s="83"/>
      <c r="L49" s="11"/>
    </row>
    <row r="50" spans="1:12" ht="18" customHeight="1">
      <c r="A50" s="89" t="s">
        <v>432</v>
      </c>
      <c r="B50" s="89"/>
      <c r="C50" s="89"/>
      <c r="D50" s="89"/>
      <c r="E50" s="83">
        <f>_xlfn.IFNA(VLOOKUP(封面!B1,一般公共预算财政拨款支出决算具体情况!A:AC,29,FALSE),"")</f>
        <v>157349.72</v>
      </c>
      <c r="F50" s="83"/>
      <c r="G50" s="7" t="s">
        <v>179</v>
      </c>
      <c r="H50" s="86" t="s">
        <v>422</v>
      </c>
      <c r="I50" s="86"/>
      <c r="J50" s="83">
        <f>_xlfn.IFNA(VLOOKUP(封面!B1,一般公共预算财政拨款支出决算具体情况!A:AD,30,FALSE),"")</f>
        <v>192526.1</v>
      </c>
      <c r="K50" s="83"/>
      <c r="L50" s="11" t="s">
        <v>178</v>
      </c>
    </row>
    <row r="51" spans="1:12" ht="18" customHeight="1">
      <c r="B51" s="15" t="str">
        <f>IF(E50&gt;J50,"增加","减少")</f>
        <v>减少</v>
      </c>
      <c r="C51" s="83">
        <f>ABS(E50-J50)</f>
        <v>35176.380000000005</v>
      </c>
      <c r="D51" s="83"/>
      <c r="E51" s="7" t="s">
        <v>179</v>
      </c>
      <c r="F51" s="15" t="str">
        <f>IF(E50&gt;J50,"增长","下降")</f>
        <v>下降</v>
      </c>
      <c r="G51" s="34">
        <f>IF(J50=0,IF(E50&gt;0,1,""),C51/J50)</f>
        <v>0.18270966897475202</v>
      </c>
      <c r="H51" s="7" t="s">
        <v>316</v>
      </c>
      <c r="I51" s="11" t="s">
        <v>205</v>
      </c>
    </row>
    <row r="52" spans="1:12" ht="18" customHeight="1">
      <c r="A52" s="87" t="s">
        <v>433</v>
      </c>
      <c r="B52" s="87"/>
      <c r="C52" s="87"/>
      <c r="D52" s="87"/>
      <c r="E52" s="83">
        <f>_xlfn.IFNA(VLOOKUP(封面!B1,一般公共预算财政拨款支出决算具体情况!A:AE,31,FALSE),"")</f>
        <v>157349.72</v>
      </c>
      <c r="F52" s="83"/>
      <c r="G52" s="7" t="s">
        <v>179</v>
      </c>
      <c r="H52" s="86" t="s">
        <v>422</v>
      </c>
      <c r="I52" s="86"/>
      <c r="J52" s="83">
        <f>_xlfn.IFNA(VLOOKUP(封面!B1,一般公共预算财政拨款支出决算具体情况!A:AF,32,FALSE),"")</f>
        <v>192526.1</v>
      </c>
      <c r="K52" s="83"/>
      <c r="L52" s="11" t="s">
        <v>178</v>
      </c>
    </row>
    <row r="53" spans="1:12" ht="18" customHeight="1">
      <c r="A53" s="15"/>
      <c r="B53" s="15" t="str">
        <f>IF(E52&gt;J52,"增加","减少")</f>
        <v>减少</v>
      </c>
      <c r="C53" s="83">
        <f>ABS(E52-J52)</f>
        <v>35176.380000000005</v>
      </c>
      <c r="D53" s="83"/>
      <c r="E53" s="7" t="s">
        <v>179</v>
      </c>
      <c r="F53" s="15" t="str">
        <f>IF(E52&gt;J52,"增长","下降")</f>
        <v>下降</v>
      </c>
      <c r="G53" s="34">
        <f>IF(J52=0,IF(E52&gt;0,1,""),C53/J52)</f>
        <v>0.18270966897475202</v>
      </c>
      <c r="H53" s="7" t="s">
        <v>316</v>
      </c>
    </row>
    <row r="54" spans="1:12" ht="36" customHeight="1">
      <c r="B54" s="84" t="s">
        <v>475</v>
      </c>
      <c r="C54" s="84"/>
      <c r="D54" s="84"/>
      <c r="E54" s="84"/>
      <c r="F54" s="84"/>
      <c r="G54" s="84"/>
      <c r="H54" s="84"/>
      <c r="I54" s="84"/>
      <c r="J54" s="84"/>
      <c r="K54" s="84"/>
      <c r="L54" s="84"/>
    </row>
    <row r="55" spans="1:12" ht="18" customHeight="1">
      <c r="A55" s="89" t="s">
        <v>434</v>
      </c>
      <c r="B55" s="89"/>
      <c r="C55" s="89"/>
      <c r="D55" s="89"/>
      <c r="E55" s="83">
        <f>_xlfn.IFNA(VLOOKUP(封面!B1,一般公共预算财政拨款支出决算具体情况!A:AG,33,FALSE),"")</f>
        <v>0</v>
      </c>
      <c r="F55" s="83"/>
      <c r="G55" s="7" t="s">
        <v>179</v>
      </c>
      <c r="H55" s="86" t="s">
        <v>422</v>
      </c>
      <c r="I55" s="86"/>
      <c r="J55" s="83">
        <f>_xlfn.IFNA(VLOOKUP(封面!B1,一般公共预算财政拨款支出决算具体情况!A:AH,34,FALSE),"")</f>
        <v>0</v>
      </c>
      <c r="K55" s="83"/>
      <c r="L55" s="11" t="s">
        <v>178</v>
      </c>
    </row>
    <row r="56" spans="1:12" ht="18" customHeight="1">
      <c r="B56" s="15" t="str">
        <f>IF(E55&gt;J55,"增加","减少")</f>
        <v>减少</v>
      </c>
      <c r="C56" s="83">
        <f>ABS(E55-J55)</f>
        <v>0</v>
      </c>
      <c r="D56" s="83"/>
      <c r="E56" s="7" t="s">
        <v>179</v>
      </c>
      <c r="F56" s="15" t="str">
        <f>IF(E55&gt;J55,"增长","下降")</f>
        <v>下降</v>
      </c>
      <c r="G56" s="34" t="str">
        <f>IF(J55=0,IF(E55&gt;0,1,""),C56/J55)</f>
        <v/>
      </c>
      <c r="H56" s="7" t="s">
        <v>313</v>
      </c>
      <c r="I56" s="11" t="s">
        <v>205</v>
      </c>
    </row>
    <row r="57" spans="1:12" ht="18" customHeight="1">
      <c r="A57" s="87" t="s">
        <v>435</v>
      </c>
      <c r="B57" s="87"/>
      <c r="C57" s="87"/>
      <c r="D57" s="87"/>
      <c r="E57" s="83">
        <f>_xlfn.IFNA(VLOOKUP(封面!B1,一般公共预算财政拨款支出决算具体情况!A:AI,35,FALSE),"")</f>
        <v>0</v>
      </c>
      <c r="F57" s="83"/>
      <c r="G57" s="7" t="s">
        <v>179</v>
      </c>
      <c r="H57" s="86" t="s">
        <v>422</v>
      </c>
      <c r="I57" s="86"/>
      <c r="J57" s="83">
        <f>_xlfn.IFNA(VLOOKUP(封面!B1,一般公共预算财政拨款支出决算具体情况!A:AJ,36,FALSE),"")</f>
        <v>0</v>
      </c>
      <c r="K57" s="83"/>
      <c r="L57" s="11" t="s">
        <v>178</v>
      </c>
    </row>
    <row r="58" spans="1:12" ht="18" customHeight="1">
      <c r="A58" s="58"/>
      <c r="B58" s="15" t="str">
        <f>IF(E57&gt;J57,"增加","减少")</f>
        <v>减少</v>
      </c>
      <c r="C58" s="83">
        <f>ABS(E57-J57)</f>
        <v>0</v>
      </c>
      <c r="D58" s="83"/>
      <c r="E58" s="7" t="s">
        <v>179</v>
      </c>
      <c r="F58" s="15" t="str">
        <f>IF(E57&gt;J57,"增长","下降")</f>
        <v>下降</v>
      </c>
      <c r="G58" s="34" t="str">
        <f>IF(J57=0,IF(E57&gt;0,1,""),C58/J57)</f>
        <v/>
      </c>
      <c r="H58" s="7" t="s">
        <v>313</v>
      </c>
      <c r="I58" s="57"/>
      <c r="J58" s="56"/>
      <c r="K58" s="56"/>
      <c r="L58" s="11"/>
    </row>
    <row r="59" spans="1:12" ht="18" customHeight="1">
      <c r="A59" s="89" t="s">
        <v>469</v>
      </c>
      <c r="B59" s="89"/>
      <c r="C59" s="89"/>
      <c r="D59" s="89"/>
      <c r="E59" s="83">
        <f>_xlfn.IFNA(VLOOKUP(封面!B1,一般公共预算财政拨款支出决算具体情况!A:AK,37,FALSE),"")</f>
        <v>344160</v>
      </c>
      <c r="F59" s="83"/>
      <c r="G59" s="7" t="s">
        <v>179</v>
      </c>
      <c r="H59" s="86" t="s">
        <v>422</v>
      </c>
      <c r="I59" s="86"/>
      <c r="J59" s="83">
        <f>_xlfn.IFNA(VLOOKUP(封面!B1,一般公共预算财政拨款支出决算具体情况!A:AL,38,FALSE),"")</f>
        <v>384284.4</v>
      </c>
      <c r="K59" s="83"/>
      <c r="L59" s="11" t="s">
        <v>178</v>
      </c>
    </row>
    <row r="60" spans="1:12" ht="18" customHeight="1">
      <c r="B60" s="15" t="str">
        <f>IF(E59&gt;J59,"增加","减少")</f>
        <v>减少</v>
      </c>
      <c r="C60" s="83">
        <f>ABS(E59-J59)</f>
        <v>40124.400000000023</v>
      </c>
      <c r="D60" s="83"/>
      <c r="E60" s="7" t="s">
        <v>179</v>
      </c>
      <c r="F60" s="15" t="str">
        <f>IF(E59&gt;J59,"增长","下降")</f>
        <v>下降</v>
      </c>
      <c r="G60" s="34">
        <f>IF(J59=0,IF(E59&gt;0,1,""),C60/J59)</f>
        <v>0.10441329390420226</v>
      </c>
      <c r="H60" s="7" t="s">
        <v>316</v>
      </c>
      <c r="I60" s="11" t="s">
        <v>205</v>
      </c>
    </row>
    <row r="61" spans="1:12" ht="18" customHeight="1">
      <c r="A61" s="87" t="s">
        <v>436</v>
      </c>
      <c r="B61" s="87"/>
      <c r="C61" s="87"/>
      <c r="D61" s="87"/>
      <c r="E61" s="83">
        <f>_xlfn.IFNA(VLOOKUP(封面!B1,一般公共预算财政拨款支出决算具体情况!A:AM,39,FALSE),"")</f>
        <v>344160</v>
      </c>
      <c r="F61" s="83"/>
      <c r="G61" s="7" t="s">
        <v>179</v>
      </c>
      <c r="H61" s="86" t="s">
        <v>422</v>
      </c>
      <c r="I61" s="86"/>
      <c r="J61" s="83">
        <f>_xlfn.IFNA(VLOOKUP(封面!B1,一般公共预算财政拨款支出决算具体情况!A:AN,40,FALSE),"")</f>
        <v>384284.4</v>
      </c>
      <c r="K61" s="83"/>
      <c r="L61" s="11" t="s">
        <v>178</v>
      </c>
    </row>
    <row r="62" spans="1:12" ht="18" customHeight="1">
      <c r="A62" s="15"/>
      <c r="B62" s="15" t="str">
        <f>IF(E61&gt;J61,"增加","减少")</f>
        <v>减少</v>
      </c>
      <c r="C62" s="83">
        <f>ABS(E61-J61)</f>
        <v>40124.400000000023</v>
      </c>
      <c r="D62" s="83"/>
      <c r="E62" s="7" t="s">
        <v>179</v>
      </c>
      <c r="F62" s="15" t="str">
        <f>IF(E61&gt;J61,"增长","下降")</f>
        <v>下降</v>
      </c>
      <c r="G62" s="34">
        <f>IF(J61=0,IF(E61&gt;0,1,""),C62/J61)</f>
        <v>0.10441329390420226</v>
      </c>
      <c r="H62" s="7" t="s">
        <v>316</v>
      </c>
    </row>
    <row r="63" spans="1:12" ht="36" customHeight="1">
      <c r="B63" s="84" t="s">
        <v>475</v>
      </c>
      <c r="C63" s="84"/>
      <c r="D63" s="84"/>
      <c r="E63" s="84"/>
      <c r="F63" s="84"/>
      <c r="G63" s="84"/>
      <c r="H63" s="84"/>
      <c r="I63" s="84"/>
      <c r="J63" s="84"/>
      <c r="K63" s="84"/>
      <c r="L63" s="84"/>
    </row>
    <row r="64" spans="1:12" ht="18" customHeight="1">
      <c r="A64" s="6" t="s">
        <v>206</v>
      </c>
    </row>
    <row r="65" spans="1:13" ht="18" customHeight="1">
      <c r="A65" s="7" t="str">
        <f>IF(_xlfn.IFNA(VLOOKUP(封面!B1,'2021决算导出'!A:W,23,FALSE),"")=0,"本年度无此项支出。","")</f>
        <v>本年度无此项支出。</v>
      </c>
    </row>
    <row r="66" spans="1:13" ht="18" customHeight="1">
      <c r="A66" s="7" t="s">
        <v>207</v>
      </c>
    </row>
    <row r="67" spans="1:13" ht="18" customHeight="1">
      <c r="A67" s="88" t="s">
        <v>437</v>
      </c>
      <c r="B67" s="88"/>
      <c r="C67" s="88"/>
      <c r="D67" s="88"/>
      <c r="E67" s="88"/>
      <c r="F67" s="83">
        <f>_xlfn.IFNA(VLOOKUP(封面!B1,'2021决算导出'!A:W,23,FALSE),"")</f>
        <v>0</v>
      </c>
      <c r="G67" s="83"/>
      <c r="H67" s="7" t="s">
        <v>179</v>
      </c>
      <c r="I67" s="85" t="s">
        <v>196</v>
      </c>
      <c r="J67" s="85"/>
      <c r="K67" s="85"/>
      <c r="L67" s="85"/>
      <c r="M67" s="85"/>
    </row>
    <row r="68" spans="1:13" ht="18" customHeight="1">
      <c r="A68" s="88" t="s">
        <v>208</v>
      </c>
      <c r="B68" s="88"/>
      <c r="C68" s="88"/>
      <c r="D68" s="83">
        <f>_xlfn.IFNA(VLOOKUP(封面!B1,'2021决算导出'!A:Y,25,FALSE),"")</f>
        <v>0</v>
      </c>
      <c r="E68" s="83"/>
      <c r="F68" s="7" t="s">
        <v>179</v>
      </c>
      <c r="G68" s="86" t="s">
        <v>198</v>
      </c>
      <c r="H68" s="86"/>
      <c r="I68" s="13">
        <v>100</v>
      </c>
      <c r="J68" s="7" t="s">
        <v>183</v>
      </c>
      <c r="K68" s="9"/>
      <c r="L68" s="9"/>
      <c r="M68" s="9"/>
    </row>
    <row r="69" spans="1:13" ht="18" customHeight="1">
      <c r="A69" s="7" t="s">
        <v>209</v>
      </c>
    </row>
    <row r="70" spans="1:13" ht="18" customHeight="1">
      <c r="A70" s="85" t="s">
        <v>438</v>
      </c>
      <c r="B70" s="85"/>
      <c r="C70" s="85"/>
      <c r="D70" s="85"/>
      <c r="E70" s="83">
        <f>_xlfn.IFNA(VLOOKUP(封面!B1,'2021决算导出'!A:Y,25,FALSE),"")</f>
        <v>0</v>
      </c>
      <c r="F70" s="83"/>
      <c r="G70" s="7" t="s">
        <v>179</v>
      </c>
      <c r="H70" s="86" t="s">
        <v>422</v>
      </c>
      <c r="I70" s="86"/>
      <c r="J70" s="83">
        <f>_xlfn.IFNA(VLOOKUP(封面!B1,'2021决算导出'!A:Z,26,FALSE),"")</f>
        <v>0</v>
      </c>
      <c r="K70" s="83"/>
      <c r="L70" s="11" t="s">
        <v>178</v>
      </c>
    </row>
    <row r="71" spans="1:13" ht="18" customHeight="1">
      <c r="B71" s="15" t="str">
        <f>IF(E70&gt;J70,"增加","减少")</f>
        <v>减少</v>
      </c>
      <c r="C71" s="83">
        <f>ABS(E70-J70)</f>
        <v>0</v>
      </c>
      <c r="D71" s="83"/>
      <c r="E71" s="7" t="s">
        <v>179</v>
      </c>
      <c r="F71" s="15" t="str">
        <f>IF(E70&gt;J70,"增长","下降")</f>
        <v>下降</v>
      </c>
      <c r="G71" s="34" t="str">
        <f>IF(J70=0,IF(E70&gt;0,1,""),C71/J70)</f>
        <v/>
      </c>
      <c r="H71" s="7" t="s">
        <v>316</v>
      </c>
      <c r="I71" s="11" t="s">
        <v>205</v>
      </c>
    </row>
    <row r="72" spans="1:13" ht="18" customHeight="1">
      <c r="A72" s="87" t="s">
        <v>439</v>
      </c>
      <c r="B72" s="87"/>
      <c r="C72" s="87"/>
      <c r="D72" s="87"/>
      <c r="E72" s="83">
        <f>E70</f>
        <v>0</v>
      </c>
      <c r="F72" s="83"/>
      <c r="G72" s="7" t="s">
        <v>179</v>
      </c>
      <c r="H72" s="86" t="s">
        <v>422</v>
      </c>
      <c r="I72" s="86"/>
      <c r="J72" s="83">
        <f>J70</f>
        <v>0</v>
      </c>
      <c r="K72" s="83"/>
      <c r="L72" s="11" t="s">
        <v>178</v>
      </c>
    </row>
    <row r="73" spans="1:13" ht="18" customHeight="1">
      <c r="A73" s="15"/>
      <c r="B73" s="15" t="str">
        <f>B71</f>
        <v>减少</v>
      </c>
      <c r="C73" s="83">
        <f>C71</f>
        <v>0</v>
      </c>
      <c r="D73" s="83"/>
      <c r="E73" s="7" t="s">
        <v>179</v>
      </c>
      <c r="F73" s="15" t="str">
        <f>F71</f>
        <v>下降</v>
      </c>
      <c r="G73" s="34" t="str">
        <f>IF(J72=0,IF(E72&gt;0,1,""),C73/J72)</f>
        <v/>
      </c>
      <c r="H73" s="7" t="s">
        <v>316</v>
      </c>
    </row>
    <row r="74" spans="1:13" ht="18" customHeight="1">
      <c r="A74" s="6" t="s">
        <v>210</v>
      </c>
    </row>
    <row r="75" spans="1:13" ht="18" customHeight="1">
      <c r="A75" s="7" t="s">
        <v>211</v>
      </c>
    </row>
    <row r="76" spans="1:13" ht="18" customHeight="1">
      <c r="A76" s="6" t="s">
        <v>212</v>
      </c>
    </row>
    <row r="77" spans="1:13" ht="18" customHeight="1">
      <c r="A77" s="7" t="s">
        <v>440</v>
      </c>
      <c r="G77" s="83">
        <f>_xlfn.IFNA(VLOOKUP(封面!B1,'2021决算导出'!A:AA,27,FALSE),"")</f>
        <v>2409228.6800000002</v>
      </c>
      <c r="H77" s="83"/>
      <c r="I77" s="11" t="s">
        <v>179</v>
      </c>
    </row>
    <row r="78" spans="1:13" ht="130.15" customHeight="1">
      <c r="A78" s="84" t="s">
        <v>213</v>
      </c>
      <c r="B78" s="84"/>
      <c r="C78" s="84"/>
      <c r="D78" s="84"/>
      <c r="E78" s="84"/>
      <c r="F78" s="84"/>
      <c r="G78" s="84"/>
      <c r="H78" s="84"/>
      <c r="I78" s="84"/>
      <c r="J78" s="84"/>
      <c r="K78" s="84"/>
      <c r="L78" s="84"/>
      <c r="M78" s="84"/>
    </row>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sheetData>
  <mergeCells count="135">
    <mergeCell ref="E49:F49"/>
    <mergeCell ref="H49:I49"/>
    <mergeCell ref="J49:K49"/>
    <mergeCell ref="C45:D45"/>
    <mergeCell ref="A46:D46"/>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B38:L38"/>
    <mergeCell ref="C35:D35"/>
    <mergeCell ref="C37:D37"/>
    <mergeCell ref="A36:D36"/>
    <mergeCell ref="E36:F36"/>
    <mergeCell ref="H36:I36"/>
    <mergeCell ref="J36:K36"/>
    <mergeCell ref="A34:D34"/>
    <mergeCell ref="E34:F34"/>
    <mergeCell ref="H34:I34"/>
    <mergeCell ref="J34:K34"/>
    <mergeCell ref="A41:D41"/>
    <mergeCell ref="E41:F41"/>
    <mergeCell ref="C40:D40"/>
    <mergeCell ref="H41:K41"/>
    <mergeCell ref="A39:D39"/>
    <mergeCell ref="E39:F39"/>
    <mergeCell ref="H39:I39"/>
    <mergeCell ref="J39:K39"/>
    <mergeCell ref="A42:D42"/>
    <mergeCell ref="E42:F42"/>
    <mergeCell ref="H42:K42"/>
    <mergeCell ref="A55:D55"/>
    <mergeCell ref="E55:F55"/>
    <mergeCell ref="A57:D57"/>
    <mergeCell ref="E57:F57"/>
    <mergeCell ref="A52:D52"/>
    <mergeCell ref="E52:F52"/>
    <mergeCell ref="H52:I52"/>
    <mergeCell ref="J52:K52"/>
    <mergeCell ref="C53:D53"/>
    <mergeCell ref="B54:L54"/>
    <mergeCell ref="H55:I55"/>
    <mergeCell ref="J55:K55"/>
    <mergeCell ref="H43:K43"/>
    <mergeCell ref="A44:D44"/>
    <mergeCell ref="E44:F44"/>
    <mergeCell ref="H44:I44"/>
    <mergeCell ref="J44:K44"/>
    <mergeCell ref="A43:D43"/>
    <mergeCell ref="E43:F43"/>
    <mergeCell ref="C62:D62"/>
    <mergeCell ref="A59:D59"/>
    <mergeCell ref="E59:F59"/>
    <mergeCell ref="H59:I59"/>
    <mergeCell ref="J59:K59"/>
    <mergeCell ref="C73:D73"/>
    <mergeCell ref="E46:F46"/>
    <mergeCell ref="H46:I46"/>
    <mergeCell ref="J46:K46"/>
    <mergeCell ref="C47:D47"/>
    <mergeCell ref="C58:D58"/>
    <mergeCell ref="C56:D56"/>
    <mergeCell ref="H57:I57"/>
    <mergeCell ref="J57:K57"/>
    <mergeCell ref="A50:D50"/>
    <mergeCell ref="E50:F50"/>
    <mergeCell ref="H50:I50"/>
    <mergeCell ref="J50:K50"/>
    <mergeCell ref="C51:D51"/>
    <mergeCell ref="B48:L48"/>
    <mergeCell ref="A49:D49"/>
    <mergeCell ref="G77:H77"/>
    <mergeCell ref="A78:M78"/>
    <mergeCell ref="A4:M4"/>
    <mergeCell ref="A70:D70"/>
    <mergeCell ref="E70:F70"/>
    <mergeCell ref="H70:I70"/>
    <mergeCell ref="J70:K70"/>
    <mergeCell ref="C71:D71"/>
    <mergeCell ref="A72:D72"/>
    <mergeCell ref="E72:F72"/>
    <mergeCell ref="H72:I72"/>
    <mergeCell ref="J72:K72"/>
    <mergeCell ref="B63:L63"/>
    <mergeCell ref="A67:E67"/>
    <mergeCell ref="F67:G67"/>
    <mergeCell ref="I67:M67"/>
    <mergeCell ref="A68:C68"/>
    <mergeCell ref="D68:E68"/>
    <mergeCell ref="G68:H68"/>
    <mergeCell ref="C60:D60"/>
    <mergeCell ref="A61:D61"/>
    <mergeCell ref="E61:F61"/>
    <mergeCell ref="H61:I61"/>
    <mergeCell ref="J61:K6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opLeftCell="A37"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441</v>
      </c>
      <c r="F4" s="83">
        <f>_xlfn.IFNA(VLOOKUP(封面!B1,'2021决算导出'!A:AB,28,FALSE),"")</f>
        <v>0</v>
      </c>
      <c r="G4" s="83"/>
      <c r="H4" s="7" t="s">
        <v>179</v>
      </c>
      <c r="I4" s="7" t="s">
        <v>442</v>
      </c>
    </row>
    <row r="5" spans="1:14" ht="18" customHeight="1">
      <c r="A5" s="91">
        <f>_xlfn.IFNA(VLOOKUP(封面!B1,'2021决算导出'!A:AC,29,FALSE),"")</f>
        <v>0</v>
      </c>
      <c r="B5" s="91"/>
      <c r="C5" s="7" t="s">
        <v>178</v>
      </c>
      <c r="D5" s="30" t="str">
        <f>IF(F4&gt;A5,"增加","减少")</f>
        <v>减少</v>
      </c>
      <c r="E5" s="91">
        <f>ABS(F4-A5)</f>
        <v>0</v>
      </c>
      <c r="F5" s="91"/>
      <c r="G5" s="7" t="s">
        <v>216</v>
      </c>
    </row>
    <row r="6" spans="1:14" ht="18" customHeight="1">
      <c r="A6" s="7" t="s">
        <v>217</v>
      </c>
    </row>
    <row r="7" spans="1:14" ht="18" customHeight="1">
      <c r="A7" s="55" t="s">
        <v>443</v>
      </c>
      <c r="B7" s="19"/>
      <c r="C7" s="19"/>
      <c r="D7" s="19"/>
      <c r="E7" s="19"/>
      <c r="F7" s="19"/>
      <c r="G7" s="19"/>
      <c r="H7" s="19"/>
      <c r="I7" s="19"/>
      <c r="J7" s="19"/>
      <c r="K7" s="19"/>
      <c r="L7" s="19"/>
      <c r="M7" s="19"/>
      <c r="N7" s="19"/>
    </row>
    <row r="8" spans="1:14" ht="18" customHeight="1">
      <c r="A8" s="7" t="s">
        <v>218</v>
      </c>
    </row>
    <row r="9" spans="1:14" ht="39" customHeight="1">
      <c r="A9" s="92" t="s">
        <v>444</v>
      </c>
      <c r="B9" s="92"/>
      <c r="C9" s="92"/>
      <c r="D9" s="92"/>
      <c r="E9" s="92"/>
      <c r="F9" s="92"/>
      <c r="G9" s="92"/>
      <c r="H9" s="92"/>
      <c r="I9" s="92"/>
      <c r="J9" s="92"/>
      <c r="K9" s="92"/>
      <c r="L9" s="92"/>
      <c r="M9" s="92"/>
      <c r="N9" s="92"/>
    </row>
    <row r="10" spans="1:14" ht="18" customHeight="1">
      <c r="A10" s="7" t="s">
        <v>219</v>
      </c>
    </row>
    <row r="11" spans="1:14" ht="18" customHeight="1">
      <c r="A11" s="88" t="s">
        <v>445</v>
      </c>
      <c r="B11" s="88"/>
      <c r="C11" s="35">
        <f>_xlfn.IFNA(VLOOKUP(封面!B1,'2021决算导出'!A:AI,35,FALSE),"")</f>
        <v>0</v>
      </c>
      <c r="D11" s="7" t="s">
        <v>179</v>
      </c>
      <c r="E11" s="88" t="s">
        <v>446</v>
      </c>
      <c r="F11" s="88"/>
      <c r="G11" s="88"/>
      <c r="H11" s="91">
        <f>_xlfn.IFNA(VLOOKUP(封面!B1,'2021决算导出'!A:AJ,36,FALSE),"")</f>
        <v>0</v>
      </c>
      <c r="I11" s="91"/>
      <c r="J11" s="16" t="s">
        <v>178</v>
      </c>
      <c r="K11" s="30" t="str">
        <f>IF(C11&gt;H11,"增加","减少")</f>
        <v>减少</v>
      </c>
      <c r="L11" s="91">
        <f>ABS(C11-H11)</f>
        <v>0</v>
      </c>
      <c r="M11" s="91"/>
      <c r="N11" s="7" t="s">
        <v>215</v>
      </c>
    </row>
    <row r="12" spans="1:14" ht="18" customHeight="1">
      <c r="A12" s="88" t="s">
        <v>447</v>
      </c>
      <c r="B12" s="88"/>
      <c r="C12" s="88"/>
      <c r="D12" s="88"/>
      <c r="E12" s="88"/>
      <c r="F12" s="91">
        <f>_xlfn.IFNA(VLOOKUP(封面!B1,'2021决算导出'!A:AK,37,FALSE),"")</f>
        <v>0</v>
      </c>
      <c r="G12" s="91"/>
      <c r="H12" s="17" t="s">
        <v>179</v>
      </c>
      <c r="I12" s="88" t="s">
        <v>446</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448</v>
      </c>
      <c r="B14" s="88"/>
      <c r="C14" s="88"/>
      <c r="D14" s="8">
        <f>_xlfn.IFNA(VLOOKUP(封面!B1,'2021决算导出'!A:AM,39,FALSE),"")</f>
        <v>0</v>
      </c>
      <c r="E14" s="7" t="s">
        <v>220</v>
      </c>
      <c r="F14" s="88" t="s">
        <v>221</v>
      </c>
      <c r="G14" s="88"/>
      <c r="H14" s="91">
        <f>IF(D14=0,0,F12/D14)</f>
        <v>0</v>
      </c>
      <c r="I14" s="91"/>
      <c r="J14" s="7" t="s">
        <v>215</v>
      </c>
    </row>
    <row r="15" spans="1:14" ht="18" customHeight="1">
      <c r="A15" s="86" t="s">
        <v>449</v>
      </c>
      <c r="B15" s="86"/>
      <c r="C15" s="86"/>
      <c r="D15" s="86"/>
      <c r="E15" s="86"/>
      <c r="F15" s="91">
        <f>_xlfn.IFNA(VLOOKUP(封面!B1,'2021决算导出'!A:AO,41,FALSE),"")</f>
        <v>0</v>
      </c>
      <c r="G15" s="91" t="s">
        <v>179</v>
      </c>
      <c r="H15" s="7" t="s">
        <v>179</v>
      </c>
      <c r="I15" s="7" t="s">
        <v>446</v>
      </c>
      <c r="L15" s="91">
        <f>_xlfn.IFNA(VLOOKUP(封面!B1,'2021决算导出'!A:AP,42,FALSE),"")</f>
        <v>0</v>
      </c>
      <c r="M15" s="91" t="s">
        <v>179</v>
      </c>
      <c r="N15" s="7" t="s">
        <v>179</v>
      </c>
    </row>
    <row r="16" spans="1:14" ht="18" customHeight="1">
      <c r="A16" s="15" t="str">
        <f>IF(F15&gt;L15,"增加","减少")</f>
        <v>减少</v>
      </c>
      <c r="B16" s="91">
        <f>ABS(F15-L15)</f>
        <v>0</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450</v>
      </c>
      <c r="B18" s="88"/>
      <c r="C18" s="88"/>
      <c r="D18" s="88"/>
      <c r="E18" s="88"/>
      <c r="F18" s="88"/>
      <c r="G18" s="91">
        <f>_xlfn.IFNA(VLOOKUP(封面!B1,'2021决算导出'!A:AQ,43,FALSE),"")</f>
        <v>0</v>
      </c>
      <c r="H18" s="91" t="s">
        <v>179</v>
      </c>
      <c r="I18" s="7" t="s">
        <v>179</v>
      </c>
      <c r="J18" s="7" t="s">
        <v>223</v>
      </c>
      <c r="L18" s="91">
        <f>_xlfn.IFNA(VLOOKUP(封面!B1,'2021决算导出'!A:AR,44,FALSE),"")</f>
        <v>0</v>
      </c>
      <c r="M18" s="91" t="s">
        <v>179</v>
      </c>
      <c r="N18" s="7" t="s">
        <v>179</v>
      </c>
    </row>
    <row r="19" spans="1:14" ht="18" customHeight="1">
      <c r="A19" s="88" t="s">
        <v>224</v>
      </c>
      <c r="B19" s="88"/>
      <c r="C19" s="91">
        <f>_xlfn.IFNA(VLOOKUP(封面!B1,'2021决算导出'!A:AS,45,FALSE),"")</f>
        <v>0</v>
      </c>
      <c r="D19" s="91" t="s">
        <v>179</v>
      </c>
      <c r="E19" s="7" t="s">
        <v>179</v>
      </c>
      <c r="F19" s="88" t="s">
        <v>225</v>
      </c>
      <c r="G19" s="88"/>
      <c r="H19" s="88"/>
      <c r="I19" s="91">
        <f>_xlfn.IFNA(VLOOKUP(封面!B1,'2021决算导出'!A:AT,46,FALSE),"")</f>
        <v>0</v>
      </c>
      <c r="J19" s="91" t="s">
        <v>179</v>
      </c>
      <c r="K19" s="7" t="s">
        <v>215</v>
      </c>
    </row>
    <row r="20" spans="1:14" ht="18" customHeight="1">
      <c r="A20" s="88" t="s">
        <v>451</v>
      </c>
      <c r="B20" s="88"/>
      <c r="C20" s="88"/>
      <c r="D20" s="8">
        <f>_xlfn.IFNA(VLOOKUP(封面!B1,'2021决算导出'!A:AU,47,FALSE),"")</f>
        <v>0</v>
      </c>
      <c r="E20" s="85" t="s">
        <v>407</v>
      </c>
      <c r="F20" s="85"/>
      <c r="G20" s="85"/>
      <c r="H20" s="85"/>
      <c r="I20" s="85"/>
      <c r="J20" s="85"/>
      <c r="K20" s="85"/>
      <c r="L20" s="85"/>
      <c r="M20" s="54" t="e">
        <f>F15/D20</f>
        <v>#DIV/0!</v>
      </c>
      <c r="N20" s="7" t="s">
        <v>215</v>
      </c>
    </row>
    <row r="21" spans="1:14" ht="18" customHeight="1">
      <c r="A21" s="6" t="s">
        <v>226</v>
      </c>
    </row>
    <row r="22" spans="1:14" ht="18" customHeight="1">
      <c r="A22" s="7" t="s">
        <v>227</v>
      </c>
    </row>
    <row r="23" spans="1:14" ht="18" customHeight="1">
      <c r="A23" s="6" t="s">
        <v>228</v>
      </c>
    </row>
    <row r="24" spans="1:14" ht="18" customHeight="1">
      <c r="A24" s="88" t="s">
        <v>452</v>
      </c>
      <c r="B24" s="88"/>
      <c r="C24" s="88"/>
      <c r="D24" s="88"/>
      <c r="E24" s="83">
        <f>_xlfn.IFNA(VLOOKUP(封面!B1,'2021决算导出'!A:AW,49,FALSE),"")</f>
        <v>0</v>
      </c>
      <c r="F24" s="83"/>
      <c r="G24" s="7" t="s">
        <v>179</v>
      </c>
      <c r="H24" s="88" t="s">
        <v>229</v>
      </c>
      <c r="I24" s="88"/>
      <c r="J24" s="88"/>
      <c r="K24" s="88"/>
      <c r="L24" s="83">
        <f>_xlfn.IFNA(VLOOKUP(封面!B1,'2021决算导出'!A:AX,50,FALSE),"")</f>
        <v>0</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0</v>
      </c>
      <c r="K25" s="83" t="s">
        <v>179</v>
      </c>
      <c r="L25" s="7" t="s">
        <v>215</v>
      </c>
    </row>
    <row r="26" spans="1:14" ht="18" customHeight="1">
      <c r="A26" s="88" t="s">
        <v>232</v>
      </c>
      <c r="B26" s="88"/>
      <c r="C26" s="88"/>
      <c r="D26" s="88"/>
      <c r="E26" s="83">
        <f>_xlfn.IFNA(VLOOKUP(封面!B1,'2021决算导出'!A:BA,53,FALSE),"")</f>
        <v>0</v>
      </c>
      <c r="F26" s="83" t="s">
        <v>179</v>
      </c>
      <c r="G26" s="7" t="s">
        <v>179</v>
      </c>
      <c r="H26" s="86" t="s">
        <v>233</v>
      </c>
      <c r="I26" s="86"/>
      <c r="J26" s="86"/>
      <c r="K26" s="29" t="e">
        <f>E26/$E$24</f>
        <v>#DIV/0!</v>
      </c>
      <c r="L26" s="18" t="s">
        <v>314</v>
      </c>
      <c r="M26" s="7" t="s">
        <v>408</v>
      </c>
    </row>
    <row r="27" spans="1:14" ht="18" customHeight="1">
      <c r="A27" s="88" t="s">
        <v>234</v>
      </c>
      <c r="B27" s="88"/>
      <c r="C27" s="88"/>
      <c r="D27" s="88"/>
      <c r="E27" s="83">
        <f>_xlfn.IFNA(VLOOKUP(封面!B1,'2021决算导出'!A:BB,54,FALSE),"")</f>
        <v>0</v>
      </c>
      <c r="F27" s="83" t="s">
        <v>179</v>
      </c>
      <c r="G27" s="7" t="s">
        <v>179</v>
      </c>
      <c r="H27" s="86" t="s">
        <v>233</v>
      </c>
      <c r="I27" s="86"/>
      <c r="J27" s="86"/>
      <c r="K27" s="29" t="e">
        <f>E27/$E$24</f>
        <v>#DIV/0!</v>
      </c>
      <c r="L27" s="18" t="s">
        <v>316</v>
      </c>
    </row>
    <row r="28" spans="1:14" ht="18" customHeight="1">
      <c r="A28" s="6" t="s">
        <v>235</v>
      </c>
    </row>
    <row r="29" spans="1:14" ht="18" customHeight="1">
      <c r="A29" s="88" t="s">
        <v>453</v>
      </c>
      <c r="B29" s="88"/>
      <c r="C29" s="8">
        <f>_xlfn.IFNA(VLOOKUP(封面!B1,'2021决算导出'!A:BC,55,FALSE),"")</f>
        <v>0</v>
      </c>
      <c r="D29" s="7" t="s">
        <v>236</v>
      </c>
      <c r="M29" s="91">
        <f>_xlfn.IFNA(VLOOKUP(封面!B1,'2021决算导出'!A:BD,56,FALSE),"")</f>
        <v>0</v>
      </c>
      <c r="N29" s="91" t="s">
        <v>179</v>
      </c>
    </row>
    <row r="30" spans="1:14" ht="18" customHeight="1">
      <c r="A30" s="12" t="s">
        <v>237</v>
      </c>
      <c r="B30" s="88" t="s">
        <v>238</v>
      </c>
      <c r="C30" s="88"/>
      <c r="D30" s="88"/>
      <c r="E30" s="88"/>
      <c r="F30" s="88"/>
      <c r="G30" s="8">
        <f>_xlfn.IFNA(VLOOKUP(封面!B1,'2021决算导出'!A:BE,57,FALSE),"")</f>
        <v>0</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470</v>
      </c>
      <c r="B35" s="84"/>
      <c r="C35" s="84"/>
      <c r="D35" s="84"/>
      <c r="E35" s="84"/>
      <c r="F35" s="84"/>
      <c r="G35" s="84"/>
      <c r="H35" s="84"/>
      <c r="I35" s="84"/>
      <c r="J35" s="84"/>
      <c r="K35" s="84"/>
      <c r="L35" s="84"/>
      <c r="M35" s="84"/>
      <c r="N35" s="84"/>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1" sqref="A11:N11"/>
    </sheetView>
  </sheetViews>
  <sheetFormatPr defaultRowHeight="14.25"/>
  <sheetData>
    <row r="10" spans="1:14" ht="54.6" customHeight="1">
      <c r="A10" s="81" t="s">
        <v>472</v>
      </c>
      <c r="B10" s="81"/>
      <c r="C10" s="81"/>
      <c r="D10" s="81"/>
      <c r="E10" s="81"/>
      <c r="F10" s="81"/>
      <c r="G10" s="81"/>
      <c r="H10" s="81"/>
      <c r="I10" s="81"/>
      <c r="J10" s="81"/>
      <c r="K10" s="81"/>
      <c r="L10" s="81"/>
      <c r="M10" s="81"/>
      <c r="N10" s="81"/>
    </row>
    <row r="11" spans="1:14" ht="78" customHeight="1">
      <c r="A11" s="82" t="s">
        <v>473</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454</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459</v>
      </c>
      <c r="X1" s="60" t="s">
        <v>460</v>
      </c>
      <c r="Y1" s="22" t="s">
        <v>461</v>
      </c>
      <c r="Z1" s="22" t="s">
        <v>455</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456</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457</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458</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466</v>
      </c>
      <c r="T1" s="76" t="s">
        <v>467</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457</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458</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462</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462</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456</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456</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456</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456</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456</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456</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456</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456</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456</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456</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456</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462</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462</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457</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457</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457</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457</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457</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457</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458</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458</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458</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458</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458</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458</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462</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462</v>
      </c>
      <c r="B23" s="74">
        <v>2060499</v>
      </c>
      <c r="C23" s="74" t="s">
        <v>463</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464</v>
      </c>
      <c r="B34" s="74">
        <v>2120801</v>
      </c>
      <c r="C34" s="74" t="s">
        <v>463</v>
      </c>
      <c r="D34" s="74" t="s">
        <v>465</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2022-08-31T09:55:18Z</dcterms:modified>
</cp:coreProperties>
</file>