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2021年决算公开资料\"/>
    </mc:Choice>
  </mc:AlternateContent>
  <workbookProtection workbookAlgorithmName="SHA-512" workbookHashValue="heglFHnavHy1k1H63GRjVDXXCi/vCfL8B6aYFV17PUxE9XQ+9h+rIW27D2RFIxHDnlrnNRng7OcgOSYibkuwig==" workbookSaltValue="eL7pz6Qy9RhYd3DHCLJ4Pw==" workbookSpinCount="100000" lockStructure="1"/>
  <bookViews>
    <workbookView xWindow="-105" yWindow="-105" windowWidth="23250" windowHeight="1401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55" i="5"/>
  <c r="J51" i="5"/>
  <c r="E51" i="5"/>
  <c r="J49" i="5"/>
  <c r="E49" i="5"/>
  <c r="J44" i="5"/>
  <c r="J46" i="5"/>
  <c r="E46" i="5"/>
  <c r="E44" i="5"/>
  <c r="J41" i="5"/>
  <c r="E41" i="5"/>
  <c r="J39" i="5"/>
  <c r="E39"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G59" i="5" l="1"/>
  <c r="D29" i="5"/>
  <c r="D28" i="5"/>
  <c r="D27" i="5"/>
  <c r="D26" i="5"/>
  <c r="F25"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J36" i="5" l="1"/>
  <c r="E36" i="5"/>
  <c r="J33" i="5"/>
  <c r="E33" i="5"/>
  <c r="J31" i="5"/>
  <c r="E31" i="5"/>
  <c r="B52" i="5" l="1"/>
  <c r="F42" i="5"/>
  <c r="C45" i="5"/>
  <c r="G45" i="5" s="1"/>
  <c r="C50" i="5"/>
  <c r="G50" i="5" s="1"/>
  <c r="F32" i="5"/>
  <c r="F47" i="5"/>
  <c r="C52" i="5"/>
  <c r="G52" i="5" s="1"/>
  <c r="F52" i="5"/>
  <c r="F50" i="5"/>
  <c r="B50" i="5"/>
  <c r="B47" i="5"/>
  <c r="C47" i="5"/>
  <c r="G47" i="5" s="1"/>
  <c r="F45" i="5"/>
  <c r="B45" i="5"/>
  <c r="C42" i="5"/>
  <c r="G42" i="5" s="1"/>
  <c r="F34" i="5"/>
  <c r="F37" i="5"/>
  <c r="F40" i="5"/>
  <c r="B42" i="5"/>
  <c r="B40" i="5"/>
  <c r="C40" i="5"/>
  <c r="G40" i="5" s="1"/>
  <c r="C32" i="5"/>
  <c r="G32" i="5" s="1"/>
  <c r="B37" i="5"/>
  <c r="C37" i="5"/>
  <c r="G37" i="5" s="1"/>
  <c r="B34" i="5"/>
  <c r="C34" i="5"/>
  <c r="G34" i="5" s="1"/>
  <c r="B32"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H12" i="5" l="1"/>
  <c r="H19" i="5"/>
  <c r="H11" i="5"/>
  <c r="H20" i="5"/>
  <c r="H14" i="5"/>
  <c r="H15" i="5"/>
  <c r="H13" i="5"/>
  <c r="H18" i="5"/>
  <c r="I26" i="5"/>
  <c r="I28" i="5"/>
  <c r="I27" i="5"/>
  <c r="I29" i="5"/>
</calcChain>
</file>

<file path=xl/sharedStrings.xml><?xml version="1.0" encoding="utf-8"?>
<sst xmlns="http://schemas.openxmlformats.org/spreadsheetml/2006/main" count="4716" uniqueCount="436">
  <si>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</si>
  <si>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</si>
  <si>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</si>
  <si>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</si>
  <si>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</si>
  <si>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</si>
  <si>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</si>
  <si>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</si>
  <si>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</si>
  <si>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</si>
  <si>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</si>
  <si>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</si>
  <si>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</si>
  <si>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</si>
  <si>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</si>
  <si>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</si>
  <si>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</si>
  <si>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</si>
  <si>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</si>
  <si>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</si>
  <si>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</si>
  <si>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</si>
  <si>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</si>
  <si>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</si>
  <si>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</si>
  <si>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</si>
  <si>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</si>
  <si>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</si>
  <si>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</si>
  <si>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</si>
  <si>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</si>
  <si>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</si>
  <si>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</si>
  <si>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</si>
  <si>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</si>
  <si>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</si>
  <si>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</si>
  <si>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</si>
  <si>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</si>
  <si>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</si>
  <si>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</si>
  <si>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</si>
  <si>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</si>
  <si>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</si>
  <si>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</si>
  <si>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</si>
  <si>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</si>
  <si>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</si>
  <si>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</si>
  <si>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</si>
  <si>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</si>
  <si>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</si>
  <si>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</si>
  <si>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</si>
  <si>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</si>
  <si>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</si>
  <si>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</si>
  <si>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</si>
  <si>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</si>
  <si>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</si>
  <si>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</si>
  <si>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</si>
  <si>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</si>
  <si>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</si>
  <si>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</si>
  <si>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</si>
  <si>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</si>
  <si>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</si>
  <si>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</si>
  <si>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</si>
  <si>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</si>
  <si>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</si>
  <si>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</si>
  <si>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</si>
  <si>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</si>
  <si>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</si>
  <si>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</si>
  <si>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</si>
  <si>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</si>
  <si>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</si>
  <si>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</si>
  <si>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</si>
  <si>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</si>
  <si>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</si>
  <si>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</si>
  <si>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</si>
  <si>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</si>
  <si>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</si>
  <si>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</si>
  <si>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</si>
  <si>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</si>
  <si>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</si>
  <si>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</si>
  <si>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</si>
  <si>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</si>
  <si>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</si>
  <si>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</si>
  <si>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</si>
  <si>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</si>
  <si>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</si>
  <si>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</si>
  <si>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</si>
  <si>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</si>
  <si>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</si>
  <si>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</si>
  <si>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</si>
  <si>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</si>
  <si>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</si>
  <si>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</si>
  <si>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</si>
  <si>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</si>
  <si>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</si>
  <si>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</si>
  <si>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</si>
  <si>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</si>
  <si>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</si>
  <si>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</si>
  <si>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</si>
  <si>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</si>
  <si>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</si>
  <si>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</si>
  <si>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</si>
  <si>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</si>
  <si>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</si>
  <si>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</si>
  <si>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</si>
  <si>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</si>
  <si>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</si>
  <si>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</si>
  <si>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</si>
  <si>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</si>
  <si>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</si>
  <si>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</si>
  <si>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</si>
  <si>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</si>
  <si>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</si>
  <si>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</si>
  <si>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</si>
  <si>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</si>
  <si>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</si>
  <si>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</si>
  <si>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</si>
  <si>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</si>
  <si>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</si>
  <si>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</si>
  <si>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</si>
  <si>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</si>
  <si>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</si>
  <si>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</si>
  <si>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</si>
  <si>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</si>
  <si>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</si>
  <si>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</si>
  <si>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</si>
  <si>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</si>
  <si>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</si>
  <si>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</si>
  <si>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</si>
  <si>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</si>
  <si>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</si>
  <si>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</si>
  <si>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</si>
  <si>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</si>
  <si>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</si>
  <si>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</si>
  <si>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</si>
  <si>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</si>
  <si>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</si>
  <si>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</si>
  <si>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</si>
  <si>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</si>
  <si>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</si>
  <si>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</si>
  <si>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</si>
  <si>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</si>
  <si>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</si>
  <si>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</si>
  <si>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</si>
  <si>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</si>
  <si>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</si>
  <si>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</si>
  <si>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</si>
  <si>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</si>
  <si>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</si>
  <si>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</si>
  <si>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</si>
  <si>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</si>
  <si>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</si>
  <si>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</si>
  <si>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</si>
  <si>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</si>
  <si>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</si>
  <si>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</si>
  <si>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</si>
  <si>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</si>
  <si>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</si>
  <si>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</si>
  <si>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</si>
  <si>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</si>
  <si>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</si>
  <si>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</si>
  <si>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</si>
  <si>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</si>
  <si>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</si>
  <si>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</si>
  <si>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</si>
  <si>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</si>
  <si>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</si>
  <si>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</si>
  <si>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</si>
  <si>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</si>
  <si>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</si>
  <si>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</si>
  <si>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</si>
  <si>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</si>
  <si>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</si>
  <si>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</si>
  <si>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</si>
  <si>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</si>
  <si>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</si>
  <si>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</si>
  <si>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</si>
  <si>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</si>
  <si>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</si>
  <si>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</si>
  <si>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</si>
  <si>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</si>
  <si>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</si>
  <si>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</si>
  <si>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</si>
  <si>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</si>
  <si>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</si>
  <si>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</si>
  <si>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</si>
  <si>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</si>
  <si>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</si>
  <si>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</si>
  <si>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</si>
  <si>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</si>
  <si>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</si>
  <si>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</si>
  <si>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</si>
  <si>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</si>
  <si>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</si>
  <si>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</si>
  <si>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</si>
  <si>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</si>
  <si>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</si>
  <si>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</si>
  <si>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</si>
  <si>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</si>
  <si>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</si>
  <si>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</si>
  <si>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</si>
  <si>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</si>
  <si>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</si>
  <si>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</si>
  <si>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</si>
  <si>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</si>
  <si>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</si>
  <si>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</si>
  <si>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</si>
  <si>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</si>
  <si>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</si>
  <si>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</si>
  <si>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</si>
  <si>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</si>
  <si>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</si>
  <si>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</si>
  <si>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</si>
  <si>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</si>
  <si>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</si>
  <si>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</si>
  <si>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</si>
  <si>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</si>
  <si>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</si>
  <si>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</si>
  <si>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</si>
  <si>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</si>
  <si>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</si>
  <si>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</si>
  <si>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</si>
  <si>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</si>
  <si>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</si>
  <si>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</si>
  <si>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</si>
  <si>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</si>
  <si>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</si>
  <si>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</si>
  <si>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</si>
  <si>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</si>
  <si>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</si>
  <si>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</si>
  <si>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</si>
  <si>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</si>
  <si>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</si>
  <si>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</si>
  <si>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</si>
  <si>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</si>
  <si>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</si>
  <si>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</si>
  <si>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</si>
  <si>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</si>
  <si>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</si>
  <si>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</si>
  <si>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</si>
  <si>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</si>
  <si>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</si>
  <si>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</si>
  <si>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</si>
  <si>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</si>
  <si>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</si>
  <si>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</si>
  <si>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</si>
  <si>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</si>
  <si>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</si>
  <si>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</si>
  <si>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</si>
  <si>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</si>
  <si>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</si>
  <si>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</si>
  <si>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</si>
  <si>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</si>
  <si>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</si>
  <si>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</si>
  <si>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</si>
  <si>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</si>
  <si>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</si>
  <si>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</si>
  <si>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</si>
  <si>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</si>
  <si>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</si>
  <si>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</si>
  <si>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</si>
  <si>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</si>
  <si>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</si>
  <si>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</si>
  <si>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</si>
  <si>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</si>
  <si>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</si>
  <si>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</si>
  <si>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</si>
  <si>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</si>
  <si>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</si>
  <si>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</si>
  <si>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</si>
  <si>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</si>
  <si>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</si>
  <si>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</si>
  <si>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</si>
  <si>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</si>
  <si>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</si>
  <si>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</si>
  <si>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</si>
  <si>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</si>
  <si>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</si>
  <si>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</si>
  <si>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</si>
  <si>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</si>
  <si>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</si>
  <si>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</si>
  <si>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</si>
  <si>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</si>
  <si>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</si>
  <si>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</si>
  <si>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</si>
  <si>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</si>
  <si>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</si>
  <si>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</si>
  <si>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</si>
  <si>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</si>
  <si>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</si>
  <si>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</si>
  <si>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</si>
  <si>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</si>
  <si>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</si>
  <si>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</si>
  <si>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</si>
  <si>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</si>
  <si>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</si>
  <si>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</si>
  <si>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</si>
  <si>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</si>
  <si>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</si>
  <si>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</si>
  <si>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</si>
  <si>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</si>
  <si>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</si>
  <si>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</si>
  <si>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</si>
  <si>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</si>
  <si>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</si>
  <si>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</si>
  <si>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</si>
  <si>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</si>
  <si>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</si>
  <si>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</si>
  <si>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</si>
  <si>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</si>
  <si>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</si>
  <si>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</si>
  <si>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</si>
  <si>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</si>
  <si>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</si>
  <si>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</si>
  <si>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</si>
  <si>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</si>
  <si>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</si>
  <si>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</si>
  <si>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</si>
  <si>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</si>
  <si>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</si>
  <si>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</si>
  <si>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</si>
  <si>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</si>
  <si>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</si>
  <si>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</si>
  <si>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</si>
  <si>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</si>
  <si>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</si>
  <si>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</si>
  <si>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</si>
  <si>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</si>
  <si>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</si>
  <si>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</si>
  <si>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</si>
  <si>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</si>
  <si>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</si>
  <si>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</si>
  <si>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2021年新建单位无上年数据。</t>
    <phoneticPr fontId="4" type="noConversion"/>
  </si>
  <si>
    <t>，2021年新建单位无上年数据。</t>
    <phoneticPr fontId="4" type="noConversion"/>
  </si>
  <si>
    <t>主要原因是2021年新建单位，无年初预算。</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</si>
  <si>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</si>
  <si>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</si>
  <si>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</si>
  <si>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 xml:space="preserve">   北京市西城区育翔小学分校（以下简称“本单位”）是一所全日制公办小学，2021年5月由北京市西城区政府批准创办，隶属北京市西城区教育委员会的全额财政拨款事业单位。本单位为财务独立核算单位，执行政府会计准则制度，地址位于北京市西城区安德路街小市口胡同8号院，法人代表刘晶。
   本单位以“育心飞翔”为办学理念，传承和发扬育翔小学优良办学传统，努力打造具有鲜明办学特色的优质义务教育品牌学校。围绕培养“品行端、身心健、志向远、学思博”的阳光少年的育人目标，构建育翔分校“五育并举”课内课后一体化课程体系。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</si>
</sst>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2"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255205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北京市西城区育翔小学分校</v>
      </c>
      <c r="B11" s="71"/>
      <c r="C11" s="71"/>
      <c r="D11" s="71"/>
      <c r="E11" s="71"/>
      <c r="F11" s="71"/>
      <c r="G11" s="71"/>
      <c r="H11" s="71"/>
      <c r="I11" s="71"/>
      <c r="J11" s="71"/>
      <c r="K11" s="71"/>
      <c r="L11" s="71"/>
      <c r="M11" s="71"/>
      <c r="N11" s="1"/>
    </row>
    <row r="12" spans="1:14" ht="72" customHeight="1">
      <c r="A12" s="71" t="s">
        <v>390</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303</v>
      </c>
      <c r="B1" s="39" t="s">
        <v>340</v>
      </c>
      <c r="C1" s="67" t="s">
        <v>341</v>
      </c>
      <c r="D1" s="67" t="s">
        <v>342</v>
      </c>
      <c r="E1" s="39" t="s">
        <v>343</v>
      </c>
      <c r="F1" s="39" t="s">
        <v>344</v>
      </c>
      <c r="G1" s="39" t="s">
        <v>345</v>
      </c>
      <c r="H1" s="39" t="s">
        <v>346</v>
      </c>
      <c r="I1" s="39" t="s">
        <v>347</v>
      </c>
      <c r="J1" s="39" t="s">
        <v>348</v>
      </c>
      <c r="K1" s="39" t="s">
        <v>349</v>
      </c>
      <c r="L1" s="39" t="s">
        <v>350</v>
      </c>
      <c r="M1" s="39" t="s">
        <v>351</v>
      </c>
      <c r="N1" s="39" t="s">
        <v>352</v>
      </c>
      <c r="O1" s="39" t="s">
        <v>353</v>
      </c>
      <c r="P1" s="39" t="s">
        <v>354</v>
      </c>
      <c r="Q1" s="67" t="s">
        <v>355</v>
      </c>
      <c r="R1" s="67" t="s">
        <v>356</v>
      </c>
      <c r="S1" s="68" t="s">
        <v>423</v>
      </c>
      <c r="T1" s="68" t="s">
        <v>424</v>
      </c>
      <c r="U1" s="39" t="s">
        <v>357</v>
      </c>
      <c r="V1" s="39" t="s">
        <v>358</v>
      </c>
      <c r="W1" s="67" t="s">
        <v>359</v>
      </c>
      <c r="X1" s="67" t="s">
        <v>360</v>
      </c>
      <c r="Y1" s="39" t="s">
        <v>361</v>
      </c>
      <c r="Z1" s="39" t="s">
        <v>362</v>
      </c>
      <c r="AA1" s="39" t="s">
        <v>363</v>
      </c>
      <c r="AB1" s="39" t="s">
        <v>364</v>
      </c>
      <c r="AC1" s="67" t="s">
        <v>365</v>
      </c>
      <c r="AD1" s="67" t="s">
        <v>366</v>
      </c>
      <c r="AE1" s="39" t="s">
        <v>367</v>
      </c>
      <c r="AF1" s="39" t="s">
        <v>368</v>
      </c>
      <c r="AG1" s="67" t="s">
        <v>369</v>
      </c>
      <c r="AH1" s="67" t="s">
        <v>370</v>
      </c>
      <c r="AI1" s="39" t="s">
        <v>371</v>
      </c>
      <c r="AJ1" s="39" t="s">
        <v>372</v>
      </c>
      <c r="AK1" s="67" t="s">
        <v>373</v>
      </c>
      <c r="AL1" s="67" t="s">
        <v>374</v>
      </c>
      <c r="AM1" s="39" t="s">
        <v>375</v>
      </c>
      <c r="AN1" s="39" t="s">
        <v>376</v>
      </c>
    </row>
    <row r="2" spans="1:40">
      <c r="A2" s="40">
        <v>255001</v>
      </c>
      <c r="B2" s="41" t="s">
        <v>285</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286</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414</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415</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377</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378</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233</v>
      </c>
      <c r="B1" s="20" t="s">
        <v>234</v>
      </c>
      <c r="C1" s="34" t="s">
        <v>304</v>
      </c>
      <c r="D1" s="34" t="s">
        <v>305</v>
      </c>
      <c r="E1" s="35" t="s">
        <v>306</v>
      </c>
      <c r="F1" s="20" t="s">
        <v>307</v>
      </c>
      <c r="G1" s="20" t="s">
        <v>308</v>
      </c>
      <c r="H1" s="20" t="s">
        <v>309</v>
      </c>
    </row>
    <row r="2" spans="1:8">
      <c r="A2" s="22">
        <v>255001</v>
      </c>
      <c r="B2" s="23" t="s">
        <v>285</v>
      </c>
      <c r="C2" s="36" t="str">
        <f>LEFT(D2,3)</f>
        <v>205</v>
      </c>
      <c r="D2" s="36" t="str">
        <f>LEFT(E2,5)</f>
        <v>20502</v>
      </c>
      <c r="E2" s="36">
        <f>IF(ISNA(VLOOKUP(F2,'2021功能科目'!A:B,2,FALSE)),"",VLOOKUP(F2,'2021功能科目'!A:B,2,FALSE))</f>
        <v>2050201</v>
      </c>
      <c r="F2" s="23" t="s">
        <v>310</v>
      </c>
      <c r="G2" s="24">
        <v>84369469.799999997</v>
      </c>
      <c r="H2" s="24">
        <v>88422700</v>
      </c>
    </row>
    <row r="3" spans="1:8">
      <c r="A3" s="22">
        <v>255001</v>
      </c>
      <c r="B3" s="23" t="s">
        <v>285</v>
      </c>
      <c r="C3" s="36" t="str">
        <f t="shared" ref="C3:C66" si="0">LEFT(D3,3)</f>
        <v>205</v>
      </c>
      <c r="D3" s="36" t="str">
        <f t="shared" ref="D3:D66" si="1">LEFT(E3,5)</f>
        <v>20502</v>
      </c>
      <c r="E3" s="36">
        <f>IF(ISNA(VLOOKUP(F3,'2021功能科目'!A:B,2,FALSE)),"",VLOOKUP(F3,'2021功能科目'!A:B,2,FALSE))</f>
        <v>2050204</v>
      </c>
      <c r="F3" s="23" t="s">
        <v>312</v>
      </c>
      <c r="G3" s="24">
        <v>1817641</v>
      </c>
      <c r="H3" s="24">
        <v>410000</v>
      </c>
    </row>
    <row r="4" spans="1:8">
      <c r="A4" s="22">
        <v>255001</v>
      </c>
      <c r="B4" s="23" t="s">
        <v>285</v>
      </c>
      <c r="C4" s="36" t="str">
        <f t="shared" si="0"/>
        <v>205</v>
      </c>
      <c r="D4" s="36" t="str">
        <f t="shared" si="1"/>
        <v>20502</v>
      </c>
      <c r="E4" s="36">
        <f>IF(ISNA(VLOOKUP(F4,'2021功能科目'!A:B,2,FALSE)),"",VLOOKUP(F4,'2021功能科目'!A:B,2,FALSE))</f>
        <v>2050299</v>
      </c>
      <c r="F4" s="23" t="s">
        <v>313</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326</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312</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313</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314</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316</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317</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318</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319</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321</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322</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323</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324</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325</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326</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312</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313</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314</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316</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317</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318</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319</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321</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322</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323</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324</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325</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326</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312</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313</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314</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316</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317</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318</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319</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321</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322</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323</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324</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325</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326</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312</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313</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314</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316</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317</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318</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319</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321</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322</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323</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324</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325</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326</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312</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313</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314</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316</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317</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318</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319</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320</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321</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322</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323</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324</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325</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326</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312</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313</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314</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316</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317</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318</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319</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321</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322</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323</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324</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325</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326</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312</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313</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314</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316</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317</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318</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319</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321</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322</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323</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324</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325</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312</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313</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314</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316</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317</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318</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319</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321</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322</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323</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324</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325</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326</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312</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313</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314</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315</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316</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317</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318</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319</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321</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322</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323</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324</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325</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312</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313</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314</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316</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317</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318</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319</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321</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322</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323</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324</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325</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326</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312</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313</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314</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315</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316</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317</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318</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319</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321</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322</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323</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324</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325</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326</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312</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313</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314</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317</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318</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319</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321</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322</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323</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324</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325</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326</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312</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313</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314</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316</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317</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318</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319</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321</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322</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323</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324</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325</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326</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313</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314</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317</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318</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319</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321</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322</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323</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324</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325</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312</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314</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317</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318</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319</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321</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323</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324</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325</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326</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312</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313</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314</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316</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317</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318</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319</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321</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322</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323</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324</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325</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326</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312</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313</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314</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316</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317</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318</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319</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321</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322</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323</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324</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325</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326</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312</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313</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314</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316</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317</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318</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319</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321</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322</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323</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324</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325</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312</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313</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314</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316</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317</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318</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319</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321</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322</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323</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324</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325</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326</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313</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314</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316</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317</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318</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319</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321</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322</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323</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324</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325</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326</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312</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313</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314</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316</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317</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318</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319</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321</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322</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323</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324</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325</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326</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313</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314</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317</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318</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319</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321</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322</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323</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324</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325</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326</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313</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314</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316</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317</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318</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319</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321</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322</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323</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324</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325</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327</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314</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317</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318</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319</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320</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321</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322</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323</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324</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325</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312</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313</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327</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314</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329</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317</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318</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319</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321</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322</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323</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324</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325</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310</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311</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326</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312</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313</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314</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315</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316</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317</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318</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319</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321</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322</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323</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324</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325</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311</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313</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314</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317</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318</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319</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321</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322</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323</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324</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325</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311</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313</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314</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315</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317</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318</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319</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321</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323</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324</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325</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311</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313</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314</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316</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317</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318</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319</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321</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323</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324</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325</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311</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313</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314</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315</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316</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317</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318</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319</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321</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323</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324</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325</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311</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313</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314</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315</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316</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317</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318</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319</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321</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323</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324</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325</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311</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313</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314</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315</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317</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318</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319</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321</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323</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324</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325</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311</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313</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314</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316</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317</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318</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319</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321</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323</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324</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325</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311</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313</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314</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315</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316</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317</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318</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319</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321</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323</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324</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325</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311</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313</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314</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315</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316</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317</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318</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319</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321</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322</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323</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324</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325</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311</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313</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314</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316</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317</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318</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319</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321</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323</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324</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325</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311</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313</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314</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315</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316</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317</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318</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319</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321</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322</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323</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324</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325</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311</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313</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314</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315</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317</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318</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319</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321</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323</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324</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325</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311</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313</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314</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316</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317</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318</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319</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321</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322</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323</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324</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325</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311</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313</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314</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315</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316</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317</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318</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319</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321</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322</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323</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324</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325</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311</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313</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314</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315</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316</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317</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318</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319</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321</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323</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324</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325</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311</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313</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314</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316</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317</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318</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319</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321</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322</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323</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324</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325</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311</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313</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314</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315</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316</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317</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318</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319</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321</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323</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324</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325</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311</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313</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314</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315</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316</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317</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318</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319</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321</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323</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324</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325</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311</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313</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314</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316</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317</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318</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319</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321</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323</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324</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325</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311</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313</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314</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315</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316</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317</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318</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319</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321</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322</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323</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324</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325</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311</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313</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314</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316</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317</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318</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319</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321</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323</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324</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325</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311</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313</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314</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315</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316</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317</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318</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319</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320</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321</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322</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323</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324</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325</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311</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313</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314</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315</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317</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318</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319</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321</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323</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324</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325</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311</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313</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314</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315</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316</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330</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317</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318</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319</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321</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323</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324</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325</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311</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313</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314</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315</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316</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317</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318</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319</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321</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322</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323</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324</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325</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311</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313</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314</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315</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316</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317</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318</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319</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321</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322</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323</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324</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325</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311</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313</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314</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316</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317</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318</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319</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321</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322</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323</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324</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325</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311</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313</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314</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316</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317</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318</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319</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321</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322</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323</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324</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325</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311</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313</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314</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316</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317</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318</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319</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321</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322</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323</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324</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325</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311</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313</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314</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316</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317</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318</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319</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321</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322</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323</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324</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325</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311</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313</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314</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317</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318</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319</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321</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323</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324</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325</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311</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313</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314</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315</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316</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317</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318</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319</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321</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322</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323</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324</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325</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311</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313</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314</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317</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318</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319</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321</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322</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323</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324</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325</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310</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314</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330</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317</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318</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319</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321</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322</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323</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324</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325</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310</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314</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330</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317</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318</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319</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321</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322</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323</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324</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325</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310</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314</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330</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317</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318</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319</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321</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322</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323</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324</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325</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310</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314</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330</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317</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318</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319</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321</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323</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324</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325</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310</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314</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330</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317</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318</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319</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321</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323</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324</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325</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310</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314</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330</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317</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318</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319</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321</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322</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323</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324</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325</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310</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314</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330</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317</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318</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319</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321</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323</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324</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325</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310</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314</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330</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317</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318</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319</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321</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323</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324</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325</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317</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324</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310</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312</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313</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331</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314</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330</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317</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318</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319</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321</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323</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324</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325</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310</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326</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312</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313</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331</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314</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316</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317</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318</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319</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321</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323</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324</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325</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313</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333</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314</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317</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318</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319</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321</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323</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324</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325</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313</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314</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317</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318</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319</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321</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322</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323</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324</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325</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313</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314</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330</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334</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317</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318</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319</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321</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322</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323</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324</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325</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313</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314</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330</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317</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318</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319</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321</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323</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324</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325</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313</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314</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330</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317</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318</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319</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321</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323</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324</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325</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313</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314</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330</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317</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318</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319</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321</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323</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324</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325</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313</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314</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317</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318</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319</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321</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323</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324</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325</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313</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314</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317</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318</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319</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321</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323</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324</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325</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335</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314</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330</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317</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318</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319</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321</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322</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323</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324</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325</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313</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314</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317</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318</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319</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321</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323</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324</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325</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313</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314</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330</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317</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318</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319</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321</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323</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324</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325</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335</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314</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317</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318</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319</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321</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323</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324</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325</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313</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314</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317</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318</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319</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321</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323</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324</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325</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313</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314</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317</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318</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319</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321</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323</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324</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325</v>
      </c>
      <c r="G975" s="24">
        <v>279288</v>
      </c>
      <c r="H975" s="24">
        <v>279288</v>
      </c>
    </row>
    <row r="976" spans="1:8">
      <c r="A976" s="22">
        <v>255108</v>
      </c>
      <c r="B976" s="23" t="s">
        <v>292</v>
      </c>
      <c r="C976" s="36" t="str">
        <f t="shared" si="30"/>
        <v>205</v>
      </c>
      <c r="D976" s="36" t="str">
        <f t="shared" si="31"/>
        <v>20502</v>
      </c>
      <c r="E976" s="36">
        <f>IF(ISNA(VLOOKUP(F976,'2021功能科目'!A:B,2,FALSE)),"",VLOOKUP(F976,'2021功能科目'!A:B,2,FALSE))</f>
        <v>2050299</v>
      </c>
      <c r="F976" s="23" t="s">
        <v>313</v>
      </c>
      <c r="G976" s="24">
        <v>2062299.14</v>
      </c>
      <c r="H976" s="24">
        <v>1861343.69</v>
      </c>
    </row>
    <row r="977" spans="1:8">
      <c r="A977" s="22">
        <v>255108</v>
      </c>
      <c r="B977" s="23" t="s">
        <v>292</v>
      </c>
      <c r="C977" s="36" t="str">
        <f t="shared" si="30"/>
        <v>205</v>
      </c>
      <c r="D977" s="36" t="str">
        <f t="shared" si="31"/>
        <v>20508</v>
      </c>
      <c r="E977" s="36">
        <f>IF(ISNA(VLOOKUP(F977,'2021功能科目'!A:B,2,FALSE)),"",VLOOKUP(F977,'2021功能科目'!A:B,2,FALSE))</f>
        <v>2050803</v>
      </c>
      <c r="F977" s="23" t="s">
        <v>314</v>
      </c>
      <c r="G977" s="24">
        <v>0</v>
      </c>
      <c r="H977" s="24">
        <v>6120</v>
      </c>
    </row>
    <row r="978" spans="1:8">
      <c r="A978" s="22">
        <v>255108</v>
      </c>
      <c r="B978" s="23" t="s">
        <v>292</v>
      </c>
      <c r="C978" s="36" t="str">
        <f t="shared" si="30"/>
        <v>208</v>
      </c>
      <c r="D978" s="36" t="str">
        <f t="shared" si="31"/>
        <v>20805</v>
      </c>
      <c r="E978" s="36">
        <f>IF(ISNA(VLOOKUP(F978,'2021功能科目'!A:B,2,FALSE)),"",VLOOKUP(F978,'2021功能科目'!A:B,2,FALSE))</f>
        <v>2080505</v>
      </c>
      <c r="F978" s="23" t="s">
        <v>318</v>
      </c>
      <c r="G978" s="24">
        <v>227009.92000000001</v>
      </c>
      <c r="H978" s="24">
        <v>233242.54</v>
      </c>
    </row>
    <row r="979" spans="1:8">
      <c r="A979" s="22">
        <v>255108</v>
      </c>
      <c r="B979" s="23" t="s">
        <v>292</v>
      </c>
      <c r="C979" s="36" t="str">
        <f t="shared" si="30"/>
        <v>208</v>
      </c>
      <c r="D979" s="36" t="str">
        <f t="shared" si="31"/>
        <v>20805</v>
      </c>
      <c r="E979" s="36">
        <f>IF(ISNA(VLOOKUP(F979,'2021功能科目'!A:B,2,FALSE)),"",VLOOKUP(F979,'2021功能科目'!A:B,2,FALSE))</f>
        <v>2080506</v>
      </c>
      <c r="F979" s="23" t="s">
        <v>319</v>
      </c>
      <c r="G979" s="24">
        <v>113504.96000000001</v>
      </c>
      <c r="H979" s="24">
        <v>116621.27</v>
      </c>
    </row>
    <row r="980" spans="1:8">
      <c r="A980" s="22">
        <v>255108</v>
      </c>
      <c r="B980" s="23" t="s">
        <v>292</v>
      </c>
      <c r="C980" s="36" t="str">
        <f t="shared" si="30"/>
        <v>210</v>
      </c>
      <c r="D980" s="36" t="str">
        <f t="shared" si="31"/>
        <v>21011</v>
      </c>
      <c r="E980" s="36">
        <f>IF(ISNA(VLOOKUP(F980,'2021功能科目'!A:B,2,FALSE)),"",VLOOKUP(F980,'2021功能科目'!A:B,2,FALSE))</f>
        <v>2101102</v>
      </c>
      <c r="F980" s="23" t="s">
        <v>321</v>
      </c>
      <c r="G980" s="24">
        <v>227782.67</v>
      </c>
      <c r="H980" s="24">
        <v>189509.56</v>
      </c>
    </row>
    <row r="981" spans="1:8">
      <c r="A981" s="22">
        <v>255108</v>
      </c>
      <c r="B981" s="23" t="s">
        <v>292</v>
      </c>
      <c r="C981" s="36" t="str">
        <f t="shared" si="30"/>
        <v>221</v>
      </c>
      <c r="D981" s="36" t="str">
        <f t="shared" si="31"/>
        <v>22102</v>
      </c>
      <c r="E981" s="36">
        <f>IF(ISNA(VLOOKUP(F981,'2021功能科目'!A:B,2,FALSE)),"",VLOOKUP(F981,'2021功能科目'!A:B,2,FALSE))</f>
        <v>2210201</v>
      </c>
      <c r="F981" s="23" t="s">
        <v>323</v>
      </c>
      <c r="G981" s="24">
        <v>220664</v>
      </c>
      <c r="H981" s="24">
        <v>194371.91</v>
      </c>
    </row>
    <row r="982" spans="1:8">
      <c r="A982" s="22">
        <v>255108</v>
      </c>
      <c r="B982" s="23" t="s">
        <v>292</v>
      </c>
      <c r="C982" s="36" t="str">
        <f t="shared" si="30"/>
        <v>221</v>
      </c>
      <c r="D982" s="36" t="str">
        <f t="shared" si="31"/>
        <v>22102</v>
      </c>
      <c r="E982" s="36">
        <f>IF(ISNA(VLOOKUP(F982,'2021功能科目'!A:B,2,FALSE)),"",VLOOKUP(F982,'2021功能科目'!A:B,2,FALSE))</f>
        <v>2210203</v>
      </c>
      <c r="F982" s="23" t="s">
        <v>325</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313</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314</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330</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317</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318</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319</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321</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323</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324</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325</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313</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314</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317</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318</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319</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321</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323</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324</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325</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310</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314</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330</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317</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318</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319</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321</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323</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324</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325</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311</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313</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314</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316</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317</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318</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319</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321</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323</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324</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325</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313</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314</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317</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318</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319</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321</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323</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324</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325</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311</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326</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312</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313</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314</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316</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317</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318</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319</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321</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322</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323</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324</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325</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326</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312</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313</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314</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315</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316</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419</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317</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318</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319</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320</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321</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322</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323</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324</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325</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312</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313</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314</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316</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419</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317</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318</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319</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321</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322</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323</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324</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325</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312</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314</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316</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317</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318</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319</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321</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322</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323</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324</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325</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326</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312</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313</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314</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316</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317</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318</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319</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321</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322</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323</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324</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325</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313</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327</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314</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317</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318</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319</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321</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322</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323</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324</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325</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312</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314</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317</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318</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319</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321</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322</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323</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324</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325</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326</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312</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313</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314</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316</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317</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318</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319</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321</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322</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323</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324</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325</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326</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312</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313</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314</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316</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317</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318</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319</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320</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321</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322</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323</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324</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325</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326</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312</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313</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314</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316</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317</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318</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319</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321</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322</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323</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324</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325</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311</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313</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314</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315</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316</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317</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318</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319</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321</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322</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323</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324</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325</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311</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313</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314</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316</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317</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318</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319</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321</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322</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323</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324</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325</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311</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313</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314</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315</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316</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317</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318</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319</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321</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323</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324</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325</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311</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313</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314</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316</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317</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318</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319</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321</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322</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323</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324</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325</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311</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313</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314</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315</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316</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317</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318</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319</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321</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322</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323</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324</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325</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311</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313</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314</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316</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317</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318</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319</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321</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323</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324</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325</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311</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313</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314</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316</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317</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318</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319</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321</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323</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324</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325</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311</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313</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314</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316</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317</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318</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319</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321</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323</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324</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325</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311</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313</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314</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315</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317</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318</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319</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321</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322</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323</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324</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325</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311</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313</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314</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315</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316</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317</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318</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319</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320</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321</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322</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323</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324</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325</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311</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313</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314</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316</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317</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318</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319</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321</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322</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323</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324</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325</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311</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313</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314</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316</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317</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318</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319</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321</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323</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324</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325</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311</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313</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314</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315</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317</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318</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319</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321</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322</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323</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324</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325</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311</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313</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314</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315</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317</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318</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319</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321</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323</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324</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325</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311</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313</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314</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316</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317</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318</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319</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321</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322</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323</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324</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325</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311</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313</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314</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315</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316</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317</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318</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319</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321</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323</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324</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325</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311</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313</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314</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316</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317</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318</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319</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321</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322</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323</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324</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325</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311</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313</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314</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315</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317</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318</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319</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321</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323</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324</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325</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311</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313</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314</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316</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317</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318</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319</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321</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323</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324</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325</v>
      </c>
      <c r="G1384" s="24">
        <v>1027932</v>
      </c>
      <c r="H1384" s="24">
        <v>1027932</v>
      </c>
    </row>
    <row r="1385" spans="1:8">
      <c r="A1385" s="22">
        <v>255154</v>
      </c>
      <c r="B1385" s="23" t="s">
        <v>413</v>
      </c>
      <c r="C1385" s="36" t="str">
        <f t="shared" si="42"/>
        <v>205</v>
      </c>
      <c r="D1385" s="36" t="str">
        <f t="shared" si="43"/>
        <v>20502</v>
      </c>
      <c r="E1385" s="36">
        <f>IF(ISNA(VLOOKUP(F1385,'2021功能科目'!A:B,2,FALSE)),"",VLOOKUP(F1385,'2021功能科目'!A:B,2,FALSE))</f>
        <v>2050202</v>
      </c>
      <c r="F1385" s="23" t="s">
        <v>311</v>
      </c>
      <c r="G1385" s="24">
        <v>20179239.84</v>
      </c>
      <c r="H1385" s="24">
        <v>17536632.91</v>
      </c>
    </row>
    <row r="1386" spans="1:8">
      <c r="A1386" s="22">
        <v>255154</v>
      </c>
      <c r="B1386" s="23" t="s">
        <v>413</v>
      </c>
      <c r="C1386" s="36" t="str">
        <f t="shared" si="42"/>
        <v>205</v>
      </c>
      <c r="D1386" s="36" t="str">
        <f t="shared" si="43"/>
        <v>20502</v>
      </c>
      <c r="E1386" s="36">
        <f>IF(ISNA(VLOOKUP(F1386,'2021功能科目'!A:B,2,FALSE)),"",VLOOKUP(F1386,'2021功能科目'!A:B,2,FALSE))</f>
        <v>2050299</v>
      </c>
      <c r="F1386" s="23" t="s">
        <v>313</v>
      </c>
      <c r="G1386" s="24">
        <v>825091.53</v>
      </c>
      <c r="H1386" s="24">
        <v>797250</v>
      </c>
    </row>
    <row r="1387" spans="1:8">
      <c r="A1387" s="22">
        <v>255154</v>
      </c>
      <c r="B1387" s="23" t="s">
        <v>413</v>
      </c>
      <c r="C1387" s="36" t="str">
        <f t="shared" si="42"/>
        <v>205</v>
      </c>
      <c r="D1387" s="36" t="str">
        <f t="shared" si="43"/>
        <v>20508</v>
      </c>
      <c r="E1387" s="36">
        <f>IF(ISNA(VLOOKUP(F1387,'2021功能科目'!A:B,2,FALSE)),"",VLOOKUP(F1387,'2021功能科目'!A:B,2,FALSE))</f>
        <v>2050803</v>
      </c>
      <c r="F1387" s="23" t="s">
        <v>314</v>
      </c>
      <c r="G1387" s="24">
        <v>42840</v>
      </c>
      <c r="H1387" s="24">
        <v>42840</v>
      </c>
    </row>
    <row r="1388" spans="1:8">
      <c r="A1388" s="22">
        <v>255154</v>
      </c>
      <c r="B1388" s="23" t="s">
        <v>413</v>
      </c>
      <c r="C1388" s="36" t="str">
        <f t="shared" si="42"/>
        <v>205</v>
      </c>
      <c r="D1388" s="36" t="str">
        <f t="shared" si="43"/>
        <v>20509</v>
      </c>
      <c r="E1388" s="36">
        <f>IF(ISNA(VLOOKUP(F1388,'2021功能科目'!A:B,2,FALSE)),"",VLOOKUP(F1388,'2021功能科目'!A:B,2,FALSE))</f>
        <v>2050904</v>
      </c>
      <c r="F1388" s="23" t="s">
        <v>316</v>
      </c>
      <c r="G1388" s="24">
        <v>7282</v>
      </c>
      <c r="H1388" s="24">
        <v>7282</v>
      </c>
    </row>
    <row r="1389" spans="1:8">
      <c r="A1389" s="22">
        <v>255154</v>
      </c>
      <c r="B1389" s="23" t="s">
        <v>413</v>
      </c>
      <c r="C1389" s="36" t="str">
        <f t="shared" si="42"/>
        <v>208</v>
      </c>
      <c r="D1389" s="36" t="str">
        <f t="shared" si="43"/>
        <v>20805</v>
      </c>
      <c r="E1389" s="36">
        <f>IF(ISNA(VLOOKUP(F1389,'2021功能科目'!A:B,2,FALSE)),"",VLOOKUP(F1389,'2021功能科目'!A:B,2,FALSE))</f>
        <v>2080502</v>
      </c>
      <c r="F1389" s="23" t="s">
        <v>317</v>
      </c>
      <c r="G1389" s="24">
        <v>408722.56</v>
      </c>
      <c r="H1389" s="24">
        <v>408726</v>
      </c>
    </row>
    <row r="1390" spans="1:8">
      <c r="A1390" s="22">
        <v>255154</v>
      </c>
      <c r="B1390" s="23" t="s">
        <v>413</v>
      </c>
      <c r="C1390" s="36" t="str">
        <f t="shared" si="42"/>
        <v>208</v>
      </c>
      <c r="D1390" s="36" t="str">
        <f t="shared" si="43"/>
        <v>20805</v>
      </c>
      <c r="E1390" s="36">
        <f>IF(ISNA(VLOOKUP(F1390,'2021功能科目'!A:B,2,FALSE)),"",VLOOKUP(F1390,'2021功能科目'!A:B,2,FALSE))</f>
        <v>2080505</v>
      </c>
      <c r="F1390" s="23" t="s">
        <v>318</v>
      </c>
      <c r="G1390" s="24">
        <v>1909234.88</v>
      </c>
      <c r="H1390" s="24">
        <v>2017116.26</v>
      </c>
    </row>
    <row r="1391" spans="1:8">
      <c r="A1391" s="22">
        <v>255154</v>
      </c>
      <c r="B1391" s="23" t="s">
        <v>413</v>
      </c>
      <c r="C1391" s="36" t="str">
        <f t="shared" si="42"/>
        <v>208</v>
      </c>
      <c r="D1391" s="36" t="str">
        <f t="shared" si="43"/>
        <v>20805</v>
      </c>
      <c r="E1391" s="36">
        <f>IF(ISNA(VLOOKUP(F1391,'2021功能科目'!A:B,2,FALSE)),"",VLOOKUP(F1391,'2021功能科目'!A:B,2,FALSE))</f>
        <v>2080506</v>
      </c>
      <c r="F1391" s="23" t="s">
        <v>319</v>
      </c>
      <c r="G1391" s="24">
        <v>954617.44</v>
      </c>
      <c r="H1391" s="24">
        <v>1008558.13</v>
      </c>
    </row>
    <row r="1392" spans="1:8">
      <c r="A1392" s="22">
        <v>255154</v>
      </c>
      <c r="B1392" s="23" t="s">
        <v>413</v>
      </c>
      <c r="C1392" s="36" t="str">
        <f t="shared" si="42"/>
        <v>210</v>
      </c>
      <c r="D1392" s="36" t="str">
        <f t="shared" si="43"/>
        <v>21011</v>
      </c>
      <c r="E1392" s="36">
        <f>IF(ISNA(VLOOKUP(F1392,'2021功能科目'!A:B,2,FALSE)),"",VLOOKUP(F1392,'2021功能科目'!A:B,2,FALSE))</f>
        <v>2101102</v>
      </c>
      <c r="F1392" s="23" t="s">
        <v>321</v>
      </c>
      <c r="G1392" s="24">
        <v>1645115.15</v>
      </c>
      <c r="H1392" s="24">
        <v>1638906.96</v>
      </c>
    </row>
    <row r="1393" spans="1:8">
      <c r="A1393" s="22">
        <v>255154</v>
      </c>
      <c r="B1393" s="23" t="s">
        <v>413</v>
      </c>
      <c r="C1393" s="36" t="str">
        <f t="shared" si="42"/>
        <v>221</v>
      </c>
      <c r="D1393" s="36" t="str">
        <f t="shared" si="43"/>
        <v>22102</v>
      </c>
      <c r="E1393" s="36">
        <f>IF(ISNA(VLOOKUP(F1393,'2021功能科目'!A:B,2,FALSE)),"",VLOOKUP(F1393,'2021功能科目'!A:B,2,FALSE))</f>
        <v>2210201</v>
      </c>
      <c r="F1393" s="23" t="s">
        <v>323</v>
      </c>
      <c r="G1393" s="24">
        <v>1703381</v>
      </c>
      <c r="H1393" s="24">
        <v>1648917.2</v>
      </c>
    </row>
    <row r="1394" spans="1:8">
      <c r="A1394" s="22">
        <v>255154</v>
      </c>
      <c r="B1394" s="23" t="s">
        <v>413</v>
      </c>
      <c r="C1394" s="36" t="str">
        <f t="shared" si="42"/>
        <v>221</v>
      </c>
      <c r="D1394" s="36" t="str">
        <f t="shared" si="43"/>
        <v>22102</v>
      </c>
      <c r="E1394" s="36">
        <f>IF(ISNA(VLOOKUP(F1394,'2021功能科目'!A:B,2,FALSE)),"",VLOOKUP(F1394,'2021功能科目'!A:B,2,FALSE))</f>
        <v>2210202</v>
      </c>
      <c r="F1394" s="23" t="s">
        <v>324</v>
      </c>
      <c r="G1394" s="24">
        <v>36120</v>
      </c>
      <c r="H1394" s="24">
        <v>36240</v>
      </c>
    </row>
    <row r="1395" spans="1:8">
      <c r="A1395" s="22">
        <v>255154</v>
      </c>
      <c r="B1395" s="23" t="s">
        <v>413</v>
      </c>
      <c r="C1395" s="36" t="str">
        <f t="shared" si="42"/>
        <v>221</v>
      </c>
      <c r="D1395" s="36" t="str">
        <f t="shared" si="43"/>
        <v>22102</v>
      </c>
      <c r="E1395" s="36">
        <f>IF(ISNA(VLOOKUP(F1395,'2021功能科目'!A:B,2,FALSE)),"",VLOOKUP(F1395,'2021功能科目'!A:B,2,FALSE))</f>
        <v>2210203</v>
      </c>
      <c r="F1395" s="23" t="s">
        <v>325</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311</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313</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314</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316</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317</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318</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319</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321</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323</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324</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325</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311</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313</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314</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315</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316</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317</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318</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319</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321</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323</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324</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325</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310</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314</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330</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317</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318</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319</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321</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323</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324</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325</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310</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314</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330</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317</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318</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319</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321</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322</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323</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324</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325</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310</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314</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317</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318</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319</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321</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323</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324</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325</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310</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314</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419</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317</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318</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319</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321</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323</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324</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325</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310</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330</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317</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318</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319</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321</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323</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324</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325</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310</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314</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330</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317</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318</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319</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321</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323</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324</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325</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310</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314</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330</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317</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318</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319</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321</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323</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324</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325</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310</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314</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330</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317</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318</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319</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321</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323</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324</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325</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310</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314</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330</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317</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318</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319</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321</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323</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324</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325</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310</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314</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317</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318</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319</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321</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322</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323</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324</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325</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310</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314</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317</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318</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319</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321</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323</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324</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325</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310</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314</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330</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317</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318</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319</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321</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323</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324</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325</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310</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314</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330</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317</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318</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319</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321</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323</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324</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325</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337</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314</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330</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317</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318</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319</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321</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322</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323</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324</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325</v>
      </c>
      <c r="G1557" s="24">
        <v>1342028</v>
      </c>
      <c r="H1557" s="24">
        <v>1328208</v>
      </c>
    </row>
    <row r="1558" spans="1:8">
      <c r="A1558" s="22">
        <v>255172</v>
      </c>
      <c r="B1558" s="23" t="s">
        <v>293</v>
      </c>
      <c r="C1558" s="36" t="str">
        <f t="shared" si="48"/>
        <v>205</v>
      </c>
      <c r="D1558" s="36" t="str">
        <f t="shared" si="49"/>
        <v>20504</v>
      </c>
      <c r="E1558" s="36">
        <f>IF(ISNA(VLOOKUP(F1558,'2021功能科目'!A:B,2,FALSE)),"",VLOOKUP(F1558,'2021功能科目'!A:B,2,FALSE))</f>
        <v>2050404</v>
      </c>
      <c r="F1558" s="23" t="s">
        <v>338</v>
      </c>
      <c r="G1558" s="24">
        <v>6645811.0700000003</v>
      </c>
      <c r="H1558" s="24">
        <v>6446171.9800000004</v>
      </c>
    </row>
    <row r="1559" spans="1:8">
      <c r="A1559" s="22">
        <v>255172</v>
      </c>
      <c r="B1559" s="23" t="s">
        <v>293</v>
      </c>
      <c r="C1559" s="36" t="str">
        <f t="shared" si="48"/>
        <v>205</v>
      </c>
      <c r="D1559" s="36" t="str">
        <f t="shared" si="49"/>
        <v>20508</v>
      </c>
      <c r="E1559" s="36">
        <f>IF(ISNA(VLOOKUP(F1559,'2021功能科目'!A:B,2,FALSE)),"",VLOOKUP(F1559,'2021功能科目'!A:B,2,FALSE))</f>
        <v>2050803</v>
      </c>
      <c r="F1559" s="23" t="s">
        <v>314</v>
      </c>
      <c r="G1559" s="24">
        <v>5119</v>
      </c>
      <c r="H1559" s="24">
        <v>17000</v>
      </c>
    </row>
    <row r="1560" spans="1:8">
      <c r="A1560" s="22">
        <v>255172</v>
      </c>
      <c r="B1560" s="23" t="s">
        <v>293</v>
      </c>
      <c r="C1560" s="36" t="str">
        <f t="shared" si="48"/>
        <v>208</v>
      </c>
      <c r="D1560" s="36" t="str">
        <f t="shared" si="49"/>
        <v>20805</v>
      </c>
      <c r="E1560" s="36">
        <f>IF(ISNA(VLOOKUP(F1560,'2021功能科目'!A:B,2,FALSE)),"",VLOOKUP(F1560,'2021功能科目'!A:B,2,FALSE))</f>
        <v>2080502</v>
      </c>
      <c r="F1560" s="23" t="s">
        <v>317</v>
      </c>
      <c r="G1560" s="24">
        <v>230917</v>
      </c>
      <c r="H1560" s="24">
        <v>224842</v>
      </c>
    </row>
    <row r="1561" spans="1:8">
      <c r="A1561" s="22">
        <v>255172</v>
      </c>
      <c r="B1561" s="23" t="s">
        <v>293</v>
      </c>
      <c r="C1561" s="36" t="str">
        <f t="shared" si="48"/>
        <v>208</v>
      </c>
      <c r="D1561" s="36" t="str">
        <f t="shared" si="49"/>
        <v>20805</v>
      </c>
      <c r="E1561" s="36">
        <f>IF(ISNA(VLOOKUP(F1561,'2021功能科目'!A:B,2,FALSE)),"",VLOOKUP(F1561,'2021功能科目'!A:B,2,FALSE))</f>
        <v>2080505</v>
      </c>
      <c r="F1561" s="23" t="s">
        <v>318</v>
      </c>
      <c r="G1561" s="24">
        <v>710000</v>
      </c>
      <c r="H1561" s="24">
        <v>728315.2</v>
      </c>
    </row>
    <row r="1562" spans="1:8">
      <c r="A1562" s="22">
        <v>255172</v>
      </c>
      <c r="B1562" s="23" t="s">
        <v>293</v>
      </c>
      <c r="C1562" s="36" t="str">
        <f t="shared" si="48"/>
        <v>208</v>
      </c>
      <c r="D1562" s="36" t="str">
        <f t="shared" si="49"/>
        <v>20805</v>
      </c>
      <c r="E1562" s="36">
        <f>IF(ISNA(VLOOKUP(F1562,'2021功能科目'!A:B,2,FALSE)),"",VLOOKUP(F1562,'2021功能科目'!A:B,2,FALSE))</f>
        <v>2080506</v>
      </c>
      <c r="F1562" s="23" t="s">
        <v>319</v>
      </c>
      <c r="G1562" s="24">
        <v>340000</v>
      </c>
      <c r="H1562" s="24">
        <v>364157.6</v>
      </c>
    </row>
    <row r="1563" spans="1:8">
      <c r="A1563" s="22">
        <v>255172</v>
      </c>
      <c r="B1563" s="23" t="s">
        <v>293</v>
      </c>
      <c r="C1563" s="36" t="str">
        <f t="shared" si="48"/>
        <v>210</v>
      </c>
      <c r="D1563" s="36" t="str">
        <f t="shared" si="49"/>
        <v>21011</v>
      </c>
      <c r="E1563" s="36">
        <f>IF(ISNA(VLOOKUP(F1563,'2021功能科目'!A:B,2,FALSE)),"",VLOOKUP(F1563,'2021功能科目'!A:B,2,FALSE))</f>
        <v>2101102</v>
      </c>
      <c r="F1563" s="23" t="s">
        <v>321</v>
      </c>
      <c r="G1563" s="24">
        <v>550000</v>
      </c>
      <c r="H1563" s="24">
        <v>591756.1</v>
      </c>
    </row>
    <row r="1564" spans="1:8">
      <c r="A1564" s="22">
        <v>255172</v>
      </c>
      <c r="B1564" s="23" t="s">
        <v>293</v>
      </c>
      <c r="C1564" s="36" t="str">
        <f t="shared" si="48"/>
        <v>221</v>
      </c>
      <c r="D1564" s="36" t="str">
        <f t="shared" si="49"/>
        <v>22102</v>
      </c>
      <c r="E1564" s="36">
        <f>IF(ISNA(VLOOKUP(F1564,'2021功能科目'!A:B,2,FALSE)),"",VLOOKUP(F1564,'2021功能科目'!A:B,2,FALSE))</f>
        <v>2210201</v>
      </c>
      <c r="F1564" s="23" t="s">
        <v>323</v>
      </c>
      <c r="G1564" s="24">
        <v>608112.4</v>
      </c>
      <c r="H1564" s="24">
        <v>600236.4</v>
      </c>
    </row>
    <row r="1565" spans="1:8">
      <c r="A1565" s="22">
        <v>255172</v>
      </c>
      <c r="B1565" s="23" t="s">
        <v>293</v>
      </c>
      <c r="C1565" s="36" t="str">
        <f t="shared" si="48"/>
        <v>221</v>
      </c>
      <c r="D1565" s="36" t="str">
        <f t="shared" si="49"/>
        <v>22102</v>
      </c>
      <c r="E1565" s="36">
        <f>IF(ISNA(VLOOKUP(F1565,'2021功能科目'!A:B,2,FALSE)),"",VLOOKUP(F1565,'2021功能科目'!A:B,2,FALSE))</f>
        <v>2210202</v>
      </c>
      <c r="F1565" s="23" t="s">
        <v>324</v>
      </c>
      <c r="G1565" s="24">
        <v>20370</v>
      </c>
      <c r="H1565" s="24">
        <v>19920</v>
      </c>
    </row>
    <row r="1566" spans="1:8">
      <c r="A1566" s="22">
        <v>255172</v>
      </c>
      <c r="B1566" s="23" t="s">
        <v>293</v>
      </c>
      <c r="C1566" s="36" t="str">
        <f t="shared" si="48"/>
        <v>221</v>
      </c>
      <c r="D1566" s="36" t="str">
        <f t="shared" si="49"/>
        <v>22102</v>
      </c>
      <c r="E1566" s="36">
        <f>IF(ISNA(VLOOKUP(F1566,'2021功能科目'!A:B,2,FALSE)),"",VLOOKUP(F1566,'2021功能科目'!A:B,2,FALSE))</f>
        <v>2210203</v>
      </c>
      <c r="F1566" s="23" t="s">
        <v>325</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335</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314</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330</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317</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318</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319</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321</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322</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323</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324</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325</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313</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314</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317</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318</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319</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321</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322</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323</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324</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325</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313</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314</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330</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419</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334</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317</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318</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319</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321</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323</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324</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325</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313</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314</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330</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317</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318</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319</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321</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323</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324</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325</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313</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314</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330</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317</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318</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319</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321</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323</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324</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325</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310</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311</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326</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312</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313</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332</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314</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330</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317</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318</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319</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321</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322</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339</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323</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324</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325</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327</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314</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329</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317</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318</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319</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321</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322</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323</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324</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325</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312</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313</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314</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316</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317</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318</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319</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321</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322</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323</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324</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325</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312</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313</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314</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316</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317</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318</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319</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321</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323</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324</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325</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313</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314</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330</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317</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318</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319</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321</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323</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324</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325</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310</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314</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317</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318</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319</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321</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323</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324</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325</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310</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314</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330</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318</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319</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321</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323</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325</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311</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313</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314</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315</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330</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318</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319</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321</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323</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325</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310</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314</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317</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318</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319</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321</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323</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324</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325</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310</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314</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330</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318</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319</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321</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323</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325</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310</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314</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330</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318</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319</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321</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323</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325</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310</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314</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330</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318</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319</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321</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323</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325</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310</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314</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330</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318</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319</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321</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323</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325</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313</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314</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318</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319</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321</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323</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325</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313</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314</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330</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318</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319</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321</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323</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325</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313</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314</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330</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318</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319</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321</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323</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325</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311</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313</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314</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330</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318</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319</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321</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323</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325</v>
      </c>
      <c r="G1780" s="24">
        <v>106262</v>
      </c>
      <c r="H1780" s="24">
        <v>92328</v>
      </c>
    </row>
    <row r="1781" spans="1:8">
      <c r="A1781" s="22">
        <v>255204</v>
      </c>
      <c r="B1781" s="23" t="s">
        <v>414</v>
      </c>
      <c r="C1781" s="36" t="str">
        <f t="shared" si="54"/>
        <v>205</v>
      </c>
      <c r="D1781" s="36" t="str">
        <f t="shared" si="55"/>
        <v>20502</v>
      </c>
      <c r="E1781" s="36">
        <f>IF(ISNA(VLOOKUP(F1781,'2021功能科目'!A:B,2,FALSE)),"",VLOOKUP(F1781,'2021功能科目'!A:B,2,FALSE))</f>
        <v>2050203</v>
      </c>
      <c r="F1781" s="23" t="s">
        <v>326</v>
      </c>
      <c r="G1781" s="24">
        <v>18918585.870000001</v>
      </c>
      <c r="H1781" s="24">
        <v>0</v>
      </c>
    </row>
    <row r="1782" spans="1:8">
      <c r="A1782" s="22">
        <v>255204</v>
      </c>
      <c r="B1782" s="23" t="s">
        <v>414</v>
      </c>
      <c r="C1782" s="36" t="str">
        <f t="shared" si="54"/>
        <v>205</v>
      </c>
      <c r="D1782" s="36" t="str">
        <f t="shared" si="55"/>
        <v>20508</v>
      </c>
      <c r="E1782" s="36">
        <f>IF(ISNA(VLOOKUP(F1782,'2021功能科目'!A:B,2,FALSE)),"",VLOOKUP(F1782,'2021功能科目'!A:B,2,FALSE))</f>
        <v>2050803</v>
      </c>
      <c r="F1782" s="23" t="s">
        <v>314</v>
      </c>
      <c r="G1782" s="24">
        <v>6667</v>
      </c>
      <c r="H1782" s="24">
        <v>0</v>
      </c>
    </row>
    <row r="1783" spans="1:8">
      <c r="A1783" s="22">
        <v>255204</v>
      </c>
      <c r="B1783" s="23" t="s">
        <v>414</v>
      </c>
      <c r="C1783" s="36" t="str">
        <f t="shared" si="54"/>
        <v>208</v>
      </c>
      <c r="D1783" s="36" t="str">
        <f t="shared" si="55"/>
        <v>20805</v>
      </c>
      <c r="E1783" s="36">
        <f>IF(ISNA(VLOOKUP(F1783,'2021功能科目'!A:B,2,FALSE)),"",VLOOKUP(F1783,'2021功能科目'!A:B,2,FALSE))</f>
        <v>2080505</v>
      </c>
      <c r="F1783" s="23" t="s">
        <v>318</v>
      </c>
      <c r="G1783" s="24">
        <v>206471.84</v>
      </c>
      <c r="H1783" s="24">
        <v>0</v>
      </c>
    </row>
    <row r="1784" spans="1:8">
      <c r="A1784" s="22">
        <v>255204</v>
      </c>
      <c r="B1784" s="23" t="s">
        <v>414</v>
      </c>
      <c r="C1784" s="36" t="str">
        <f t="shared" si="54"/>
        <v>208</v>
      </c>
      <c r="D1784" s="36" t="str">
        <f t="shared" si="55"/>
        <v>20805</v>
      </c>
      <c r="E1784" s="36">
        <f>IF(ISNA(VLOOKUP(F1784,'2021功能科目'!A:B,2,FALSE)),"",VLOOKUP(F1784,'2021功能科目'!A:B,2,FALSE))</f>
        <v>2080506</v>
      </c>
      <c r="F1784" s="23" t="s">
        <v>319</v>
      </c>
      <c r="G1784" s="24">
        <v>103235.92</v>
      </c>
      <c r="H1784" s="24">
        <v>0</v>
      </c>
    </row>
    <row r="1785" spans="1:8">
      <c r="A1785" s="22">
        <v>255204</v>
      </c>
      <c r="B1785" s="23" t="s">
        <v>414</v>
      </c>
      <c r="C1785" s="36" t="str">
        <f t="shared" si="54"/>
        <v>210</v>
      </c>
      <c r="D1785" s="36" t="str">
        <f t="shared" si="55"/>
        <v>21011</v>
      </c>
      <c r="E1785" s="36">
        <f>IF(ISNA(VLOOKUP(F1785,'2021功能科目'!A:B,2,FALSE)),"",VLOOKUP(F1785,'2021功能科目'!A:B,2,FALSE))</f>
        <v>2101102</v>
      </c>
      <c r="F1785" s="23" t="s">
        <v>321</v>
      </c>
      <c r="G1785" s="24">
        <v>180051.17</v>
      </c>
      <c r="H1785" s="24">
        <v>0</v>
      </c>
    </row>
    <row r="1786" spans="1:8">
      <c r="A1786" s="22">
        <v>255204</v>
      </c>
      <c r="B1786" s="23" t="s">
        <v>414</v>
      </c>
      <c r="C1786" s="36" t="str">
        <f t="shared" si="54"/>
        <v>221</v>
      </c>
      <c r="D1786" s="36" t="str">
        <f t="shared" si="55"/>
        <v>22102</v>
      </c>
      <c r="E1786" s="36">
        <f>IF(ISNA(VLOOKUP(F1786,'2021功能科目'!A:B,2,FALSE)),"",VLOOKUP(F1786,'2021功能科目'!A:B,2,FALSE))</f>
        <v>2210201</v>
      </c>
      <c r="F1786" s="23" t="s">
        <v>323</v>
      </c>
      <c r="G1786" s="24">
        <v>210697</v>
      </c>
      <c r="H1786" s="24">
        <v>0</v>
      </c>
    </row>
    <row r="1787" spans="1:8">
      <c r="A1787" s="22">
        <v>255205</v>
      </c>
      <c r="B1787" s="23" t="s">
        <v>415</v>
      </c>
      <c r="C1787" s="36" t="str">
        <f t="shared" si="54"/>
        <v>205</v>
      </c>
      <c r="D1787" s="36" t="str">
        <f t="shared" si="55"/>
        <v>20502</v>
      </c>
      <c r="E1787" s="36">
        <f>IF(ISNA(VLOOKUP(F1787,'2021功能科目'!A:B,2,FALSE)),"",VLOOKUP(F1787,'2021功能科目'!A:B,2,FALSE))</f>
        <v>2050202</v>
      </c>
      <c r="F1787" s="23" t="s">
        <v>311</v>
      </c>
      <c r="G1787" s="24">
        <v>2769500.69</v>
      </c>
      <c r="H1787" s="24">
        <v>0</v>
      </c>
    </row>
    <row r="1788" spans="1:8">
      <c r="A1788" s="22">
        <v>255205</v>
      </c>
      <c r="B1788" s="23" t="s">
        <v>415</v>
      </c>
      <c r="C1788" s="36" t="str">
        <f t="shared" si="54"/>
        <v>205</v>
      </c>
      <c r="D1788" s="36" t="str">
        <f t="shared" si="55"/>
        <v>20508</v>
      </c>
      <c r="E1788" s="36">
        <f>IF(ISNA(VLOOKUP(F1788,'2021功能科目'!A:B,2,FALSE)),"",VLOOKUP(F1788,'2021功能科目'!A:B,2,FALSE))</f>
        <v>2050803</v>
      </c>
      <c r="F1788" s="23" t="s">
        <v>314</v>
      </c>
      <c r="G1788" s="24">
        <v>5300</v>
      </c>
      <c r="H1788" s="24">
        <v>0</v>
      </c>
    </row>
    <row r="1789" spans="1:8">
      <c r="A1789" s="22">
        <v>255205</v>
      </c>
      <c r="B1789" s="23" t="s">
        <v>415</v>
      </c>
      <c r="C1789" s="36" t="str">
        <f t="shared" si="54"/>
        <v>208</v>
      </c>
      <c r="D1789" s="36" t="str">
        <f t="shared" si="55"/>
        <v>20805</v>
      </c>
      <c r="E1789" s="36">
        <f>IF(ISNA(VLOOKUP(F1789,'2021功能科目'!A:B,2,FALSE)),"",VLOOKUP(F1789,'2021功能科目'!A:B,2,FALSE))</f>
        <v>2080505</v>
      </c>
      <c r="F1789" s="23" t="s">
        <v>318</v>
      </c>
      <c r="G1789" s="24">
        <v>258556.79999999999</v>
      </c>
      <c r="H1789" s="24">
        <v>0</v>
      </c>
    </row>
    <row r="1790" spans="1:8">
      <c r="A1790" s="22">
        <v>255205</v>
      </c>
      <c r="B1790" s="23" t="s">
        <v>415</v>
      </c>
      <c r="C1790" s="36" t="str">
        <f t="shared" si="54"/>
        <v>208</v>
      </c>
      <c r="D1790" s="36" t="str">
        <f t="shared" si="55"/>
        <v>20805</v>
      </c>
      <c r="E1790" s="36">
        <f>IF(ISNA(VLOOKUP(F1790,'2021功能科目'!A:B,2,FALSE)),"",VLOOKUP(F1790,'2021功能科目'!A:B,2,FALSE))</f>
        <v>2080506</v>
      </c>
      <c r="F1790" s="23" t="s">
        <v>319</v>
      </c>
      <c r="G1790" s="24">
        <v>103422.72</v>
      </c>
      <c r="H1790" s="24">
        <v>0</v>
      </c>
    </row>
    <row r="1791" spans="1:8">
      <c r="A1791" s="22">
        <v>255205</v>
      </c>
      <c r="B1791" s="23" t="s">
        <v>415</v>
      </c>
      <c r="C1791" s="36" t="str">
        <f t="shared" si="54"/>
        <v>210</v>
      </c>
      <c r="D1791" s="36" t="str">
        <f t="shared" si="55"/>
        <v>21011</v>
      </c>
      <c r="E1791" s="36">
        <f>IF(ISNA(VLOOKUP(F1791,'2021功能科目'!A:B,2,FALSE)),"",VLOOKUP(F1791,'2021功能科目'!A:B,2,FALSE))</f>
        <v>2101102</v>
      </c>
      <c r="F1791" s="23" t="s">
        <v>321</v>
      </c>
      <c r="G1791" s="24">
        <v>168061.92</v>
      </c>
      <c r="H1791" s="24">
        <v>0</v>
      </c>
    </row>
    <row r="1792" spans="1:8">
      <c r="A1792" s="22">
        <v>255205</v>
      </c>
      <c r="B1792" s="23" t="s">
        <v>415</v>
      </c>
      <c r="C1792" s="36" t="str">
        <f t="shared" si="54"/>
        <v>221</v>
      </c>
      <c r="D1792" s="36" t="str">
        <f t="shared" si="55"/>
        <v>22102</v>
      </c>
      <c r="E1792" s="36">
        <f>IF(ISNA(VLOOKUP(F1792,'2021功能科目'!A:B,2,FALSE)),"",VLOOKUP(F1792,'2021功能科目'!A:B,2,FALSE))</f>
        <v>2210201</v>
      </c>
      <c r="F1792" s="23" t="s">
        <v>323</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310</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311</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326</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312</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313</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327</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337</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338</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331</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333</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332</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335</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314</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315</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316</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329</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330</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419</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334</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317</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318</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319</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320</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321</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322</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339</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323</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324</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325</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379</v>
      </c>
      <c r="B1" s="49" t="s">
        <v>380</v>
      </c>
    </row>
    <row r="2" spans="1:6">
      <c r="A2" s="66" t="s">
        <v>381</v>
      </c>
      <c r="B2" s="66">
        <v>2050101</v>
      </c>
      <c r="C2" s="66"/>
      <c r="D2" s="66"/>
      <c r="E2" s="66"/>
      <c r="F2" s="66">
        <v>205</v>
      </c>
    </row>
    <row r="3" spans="1:6">
      <c r="A3" s="66" t="s">
        <v>382</v>
      </c>
      <c r="B3" s="66">
        <v>2050102</v>
      </c>
      <c r="C3" s="66"/>
      <c r="D3" s="66"/>
      <c r="E3" s="66"/>
      <c r="F3" s="66">
        <v>206</v>
      </c>
    </row>
    <row r="4" spans="1:6">
      <c r="A4" s="66" t="s">
        <v>310</v>
      </c>
      <c r="B4" s="66">
        <v>2050201</v>
      </c>
      <c r="C4" s="66"/>
      <c r="D4" s="66"/>
      <c r="E4" s="66"/>
      <c r="F4" s="66">
        <v>208</v>
      </c>
    </row>
    <row r="5" spans="1:6">
      <c r="A5" s="66" t="s">
        <v>311</v>
      </c>
      <c r="B5" s="66">
        <v>2050202</v>
      </c>
      <c r="C5" s="66"/>
      <c r="D5" s="66"/>
      <c r="E5" s="66"/>
      <c r="F5" s="66">
        <v>210</v>
      </c>
    </row>
    <row r="6" spans="1:6">
      <c r="A6" s="66" t="s">
        <v>326</v>
      </c>
      <c r="B6" s="66">
        <v>2050203</v>
      </c>
      <c r="C6" s="66"/>
      <c r="D6" s="66"/>
      <c r="E6" s="66"/>
      <c r="F6" s="66">
        <v>212</v>
      </c>
    </row>
    <row r="7" spans="1:6">
      <c r="A7" s="66" t="s">
        <v>312</v>
      </c>
      <c r="B7" s="66">
        <v>2050204</v>
      </c>
      <c r="C7" s="66"/>
      <c r="D7" s="66"/>
      <c r="E7" s="66"/>
      <c r="F7" s="66">
        <v>221</v>
      </c>
    </row>
    <row r="8" spans="1:6">
      <c r="A8" s="66" t="s">
        <v>313</v>
      </c>
      <c r="B8" s="66">
        <v>2050299</v>
      </c>
      <c r="C8" s="66"/>
      <c r="D8" s="66"/>
      <c r="E8" s="66"/>
      <c r="F8" s="66">
        <v>229</v>
      </c>
    </row>
    <row r="9" spans="1:6">
      <c r="A9" s="66" t="s">
        <v>327</v>
      </c>
      <c r="B9" s="66">
        <v>2050302</v>
      </c>
      <c r="C9" s="66"/>
      <c r="D9" s="66"/>
      <c r="E9" s="66"/>
      <c r="F9" s="66">
        <v>234</v>
      </c>
    </row>
    <row r="10" spans="1:6">
      <c r="A10" s="66" t="s">
        <v>383</v>
      </c>
      <c r="B10" s="66">
        <v>2050304</v>
      </c>
      <c r="C10" s="66"/>
      <c r="D10" s="66"/>
      <c r="E10" s="66"/>
      <c r="F10" s="66">
        <v>213</v>
      </c>
    </row>
    <row r="11" spans="1:6">
      <c r="A11" s="66" t="s">
        <v>328</v>
      </c>
      <c r="B11" s="66">
        <v>2050399</v>
      </c>
      <c r="C11" s="66"/>
      <c r="D11" s="66"/>
      <c r="E11" s="66"/>
      <c r="F11" s="66"/>
    </row>
    <row r="12" spans="1:6">
      <c r="A12" s="66" t="s">
        <v>337</v>
      </c>
      <c r="B12" s="66">
        <v>2050403</v>
      </c>
      <c r="C12" s="66"/>
      <c r="D12" s="66"/>
      <c r="E12" s="66"/>
      <c r="F12" s="66"/>
    </row>
    <row r="13" spans="1:6">
      <c r="A13" s="66" t="s">
        <v>338</v>
      </c>
      <c r="B13" s="66">
        <v>2050404</v>
      </c>
      <c r="C13" s="66"/>
      <c r="D13" s="66"/>
      <c r="E13" s="66"/>
      <c r="F13" s="66"/>
    </row>
    <row r="14" spans="1:6">
      <c r="A14" s="66" t="s">
        <v>331</v>
      </c>
      <c r="B14" s="66">
        <v>2050701</v>
      </c>
      <c r="C14" s="66"/>
      <c r="D14" s="66"/>
      <c r="E14" s="66"/>
      <c r="F14" s="66"/>
    </row>
    <row r="15" spans="1:6">
      <c r="A15" s="66" t="s">
        <v>333</v>
      </c>
      <c r="B15" s="66">
        <v>2050702</v>
      </c>
      <c r="C15" s="66"/>
      <c r="D15" s="66"/>
      <c r="E15" s="66"/>
      <c r="F15" s="66"/>
    </row>
    <row r="16" spans="1:6">
      <c r="A16" s="66" t="s">
        <v>332</v>
      </c>
      <c r="B16" s="66">
        <v>2050799</v>
      </c>
      <c r="C16" s="66"/>
      <c r="D16" s="66"/>
      <c r="E16" s="66"/>
      <c r="F16" s="66"/>
    </row>
    <row r="17" spans="1:6">
      <c r="A17" s="66" t="s">
        <v>335</v>
      </c>
      <c r="B17" s="66">
        <v>2050801</v>
      </c>
      <c r="C17" s="66"/>
      <c r="D17" s="66"/>
      <c r="E17" s="66"/>
      <c r="F17" s="66"/>
    </row>
    <row r="18" spans="1:6">
      <c r="A18" s="66" t="s">
        <v>314</v>
      </c>
      <c r="B18" s="66">
        <v>2050803</v>
      </c>
      <c r="C18" s="66"/>
      <c r="D18" s="66"/>
      <c r="E18" s="66"/>
      <c r="F18" s="66"/>
    </row>
    <row r="19" spans="1:6">
      <c r="A19" s="66" t="s">
        <v>315</v>
      </c>
      <c r="B19" s="66">
        <v>2050903</v>
      </c>
      <c r="C19" s="66"/>
      <c r="D19" s="66"/>
      <c r="E19" s="66"/>
      <c r="F19" s="66"/>
    </row>
    <row r="20" spans="1:6">
      <c r="A20" s="66" t="s">
        <v>316</v>
      </c>
      <c r="B20" s="66">
        <v>2050904</v>
      </c>
      <c r="C20" s="66"/>
      <c r="D20" s="66"/>
      <c r="E20" s="66"/>
      <c r="F20" s="66"/>
    </row>
    <row r="21" spans="1:6">
      <c r="A21" s="66" t="s">
        <v>329</v>
      </c>
      <c r="B21" s="66">
        <v>2050905</v>
      </c>
      <c r="C21" s="66"/>
      <c r="D21" s="66"/>
      <c r="E21" s="66"/>
      <c r="F21" s="66"/>
    </row>
    <row r="22" spans="1:6">
      <c r="A22" s="66" t="s">
        <v>330</v>
      </c>
      <c r="B22" s="66">
        <v>2050999</v>
      </c>
      <c r="C22" s="66"/>
      <c r="D22" s="66"/>
      <c r="E22" s="66"/>
      <c r="F22" s="66"/>
    </row>
    <row r="23" spans="1:6">
      <c r="A23" s="66" t="s">
        <v>419</v>
      </c>
      <c r="B23" s="66">
        <v>2060499</v>
      </c>
      <c r="C23" s="66" t="s">
        <v>420</v>
      </c>
      <c r="D23" s="66"/>
      <c r="E23" s="66"/>
      <c r="F23" s="66"/>
    </row>
    <row r="24" spans="1:6">
      <c r="A24" s="66" t="s">
        <v>334</v>
      </c>
      <c r="B24" s="66">
        <v>2060702</v>
      </c>
      <c r="C24" s="66"/>
      <c r="D24" s="66"/>
      <c r="E24" s="66"/>
      <c r="F24" s="66"/>
    </row>
    <row r="25" spans="1:6">
      <c r="A25" s="66" t="s">
        <v>384</v>
      </c>
      <c r="B25" s="66">
        <v>2080501</v>
      </c>
      <c r="C25" s="66"/>
      <c r="D25" s="66"/>
      <c r="E25" s="66"/>
      <c r="F25" s="66"/>
    </row>
    <row r="26" spans="1:6">
      <c r="A26" s="66" t="s">
        <v>317</v>
      </c>
      <c r="B26" s="66">
        <v>2080502</v>
      </c>
      <c r="C26" s="66"/>
      <c r="D26" s="66"/>
      <c r="E26" s="66"/>
      <c r="F26" s="66"/>
    </row>
    <row r="27" spans="1:6">
      <c r="A27" s="66" t="s">
        <v>318</v>
      </c>
      <c r="B27" s="66">
        <v>2080505</v>
      </c>
      <c r="C27" s="66"/>
      <c r="D27" s="66"/>
      <c r="E27" s="66"/>
      <c r="F27" s="66"/>
    </row>
    <row r="28" spans="1:6">
      <c r="A28" s="66" t="s">
        <v>319</v>
      </c>
      <c r="B28" s="66">
        <v>2080506</v>
      </c>
      <c r="C28" s="66"/>
      <c r="D28" s="66"/>
      <c r="E28" s="66"/>
      <c r="F28" s="66"/>
    </row>
    <row r="29" spans="1:6">
      <c r="A29" s="66" t="s">
        <v>320</v>
      </c>
      <c r="B29" s="66">
        <v>2080801</v>
      </c>
      <c r="C29" s="66"/>
      <c r="D29" s="66"/>
      <c r="E29" s="66"/>
      <c r="F29" s="66"/>
    </row>
    <row r="30" spans="1:6">
      <c r="A30" s="66" t="s">
        <v>385</v>
      </c>
      <c r="B30" s="66">
        <v>2101101</v>
      </c>
      <c r="C30" s="66"/>
      <c r="D30" s="66"/>
      <c r="E30" s="66"/>
      <c r="F30" s="66"/>
    </row>
    <row r="31" spans="1:6">
      <c r="A31" s="66" t="s">
        <v>321</v>
      </c>
      <c r="B31" s="66">
        <v>2101102</v>
      </c>
      <c r="C31" s="66"/>
      <c r="D31" s="66"/>
      <c r="E31" s="66"/>
      <c r="F31" s="66"/>
    </row>
    <row r="32" spans="1:6">
      <c r="A32" s="66" t="s">
        <v>322</v>
      </c>
      <c r="B32" s="66">
        <v>2101199</v>
      </c>
      <c r="C32" s="66"/>
      <c r="D32" s="66"/>
      <c r="E32" s="66"/>
      <c r="F32" s="66"/>
    </row>
    <row r="33" spans="1:6">
      <c r="A33" s="66" t="s">
        <v>339</v>
      </c>
      <c r="B33" s="66">
        <v>2120399</v>
      </c>
      <c r="C33" s="66"/>
      <c r="D33" s="66"/>
      <c r="E33" s="66"/>
      <c r="F33" s="66"/>
    </row>
    <row r="34" spans="1:6">
      <c r="A34" s="66" t="s">
        <v>421</v>
      </c>
      <c r="B34" s="66">
        <v>2120801</v>
      </c>
      <c r="C34" s="66" t="s">
        <v>420</v>
      </c>
      <c r="D34" s="66" t="s">
        <v>422</v>
      </c>
      <c r="E34" s="66"/>
      <c r="F34" s="66"/>
    </row>
    <row r="35" spans="1:6">
      <c r="A35" s="66" t="s">
        <v>336</v>
      </c>
      <c r="B35" s="66">
        <v>2130506</v>
      </c>
      <c r="C35" s="66">
        <v>2020</v>
      </c>
      <c r="D35" s="66"/>
      <c r="E35" s="66"/>
      <c r="F35" s="66"/>
    </row>
    <row r="36" spans="1:6">
      <c r="A36" s="66" t="s">
        <v>323</v>
      </c>
      <c r="B36" s="66">
        <v>2210201</v>
      </c>
      <c r="C36" s="66"/>
      <c r="D36" s="66"/>
      <c r="E36" s="66"/>
      <c r="F36" s="66"/>
    </row>
    <row r="37" spans="1:6">
      <c r="A37" s="66" t="s">
        <v>324</v>
      </c>
      <c r="B37" s="66">
        <v>2210202</v>
      </c>
      <c r="C37" s="66"/>
      <c r="D37" s="66"/>
      <c r="E37" s="66"/>
      <c r="F37" s="66"/>
    </row>
    <row r="38" spans="1:6">
      <c r="A38" s="66" t="s">
        <v>325</v>
      </c>
      <c r="B38" s="66">
        <v>2210203</v>
      </c>
      <c r="C38" s="66"/>
      <c r="D38" s="66"/>
      <c r="E38" s="66"/>
      <c r="F38" s="66"/>
    </row>
    <row r="39" spans="1:6">
      <c r="A39" s="66" t="s">
        <v>386</v>
      </c>
      <c r="B39" s="66">
        <v>2296003</v>
      </c>
      <c r="C39" s="66"/>
      <c r="D39" s="66"/>
      <c r="E39" s="66"/>
      <c r="F39" s="66"/>
    </row>
    <row r="40" spans="1:6">
      <c r="A40" s="66" t="s">
        <v>387</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F9" sqref="F9"/>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392</v>
      </c>
    </row>
    <row r="16" spans="1:14" ht="30" customHeight="1">
      <c r="C16" s="4" t="s">
        <v>393</v>
      </c>
    </row>
    <row r="17" spans="3:3" ht="30" customHeight="1">
      <c r="C17" s="4" t="s">
        <v>394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395</v>
      </c>
      <c r="B10" s="73"/>
      <c r="C10" s="73"/>
      <c r="D10" s="73"/>
      <c r="E10" s="73"/>
      <c r="F10" s="73"/>
      <c r="G10" s="73"/>
      <c r="H10" s="73"/>
      <c r="I10" s="73"/>
      <c r="J10" s="73"/>
      <c r="K10" s="73"/>
      <c r="L10" s="73"/>
      <c r="M10" s="73"/>
      <c r="N10" s="73"/>
    </row>
    <row r="11" spans="1:14" ht="78" customHeight="1">
      <c r="A11" s="74" t="s">
        <v>426</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zoomScaleNormal="100" workbookViewId="0">
      <selection activeCell="E44" sqref="E44:F4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392</v>
      </c>
      <c r="B1" s="73"/>
      <c r="C1" s="73"/>
      <c r="D1" s="73"/>
      <c r="E1" s="73"/>
      <c r="F1" s="73"/>
      <c r="G1" s="73"/>
      <c r="H1" s="73"/>
      <c r="I1" s="73"/>
      <c r="J1" s="73"/>
      <c r="K1" s="73"/>
      <c r="L1" s="73"/>
      <c r="M1" s="73"/>
      <c r="N1" s="51"/>
    </row>
    <row r="2" spans="1:14" ht="18" customHeight="1">
      <c r="A2" s="6" t="s">
        <v>174</v>
      </c>
    </row>
    <row r="3" spans="1:14" ht="18" customHeight="1">
      <c r="A3" s="7" t="s">
        <v>175</v>
      </c>
    </row>
    <row r="4" spans="1:14" ht="144" customHeight="1">
      <c r="A4" s="79" t="s">
        <v>435</v>
      </c>
      <c r="B4" s="79"/>
      <c r="C4" s="79"/>
      <c r="D4" s="79"/>
      <c r="E4" s="79"/>
      <c r="F4" s="79"/>
      <c r="G4" s="79"/>
      <c r="H4" s="79"/>
      <c r="I4" s="79"/>
      <c r="J4" s="79"/>
      <c r="K4" s="79"/>
      <c r="L4" s="79"/>
      <c r="M4" s="79"/>
      <c r="N4" s="17"/>
    </row>
    <row r="5" spans="1:14" ht="18" customHeight="1">
      <c r="A5" s="7" t="s">
        <v>176</v>
      </c>
    </row>
    <row r="6" spans="1:14" ht="18" customHeight="1">
      <c r="A6" s="77" t="s">
        <v>229</v>
      </c>
      <c r="B6" s="77"/>
      <c r="C6" s="10">
        <v>20</v>
      </c>
      <c r="D6" s="10" t="s">
        <v>231</v>
      </c>
      <c r="E6" s="8">
        <f>_xlfn.IFNA(VLOOKUP(封面!B1,'2021决算导出'!A:C,3,FALSE),"")</f>
        <v>16</v>
      </c>
      <c r="F6" s="10" t="s">
        <v>232</v>
      </c>
      <c r="G6" s="10"/>
      <c r="H6" s="10"/>
      <c r="I6" s="10"/>
      <c r="J6" s="10"/>
      <c r="K6" s="10"/>
      <c r="L6" s="10"/>
      <c r="M6" s="10"/>
      <c r="N6" s="10"/>
    </row>
    <row r="7" spans="1:14" ht="18" customHeight="1">
      <c r="A7" s="6" t="s">
        <v>177</v>
      </c>
    </row>
    <row r="8" spans="1:14" ht="18" customHeight="1">
      <c r="A8" s="77" t="s">
        <v>396</v>
      </c>
      <c r="B8" s="77"/>
      <c r="C8" s="77"/>
      <c r="D8" s="13">
        <f>_xlfn.IFNA(VLOOKUP(封面!B1,'2021决算导出'!A:D,4,FALSE),"")</f>
        <v>3459976.21</v>
      </c>
      <c r="E8" s="7" t="s">
        <v>179</v>
      </c>
      <c r="F8" s="18" t="s">
        <v>429</v>
      </c>
      <c r="G8" s="28"/>
      <c r="H8" s="31"/>
      <c r="I8" s="15"/>
      <c r="J8" s="28"/>
      <c r="K8" s="29"/>
      <c r="L8" s="7"/>
    </row>
    <row r="9" spans="1:14" ht="18" customHeight="1">
      <c r="A9" s="7" t="s">
        <v>180</v>
      </c>
      <c r="G9" s="30"/>
      <c r="H9" s="30"/>
      <c r="I9" s="30"/>
      <c r="J9" s="30"/>
      <c r="K9" s="30"/>
    </row>
    <row r="10" spans="1:14" ht="18" customHeight="1">
      <c r="A10" s="77" t="s">
        <v>397</v>
      </c>
      <c r="B10" s="77"/>
      <c r="C10" s="77"/>
      <c r="D10" s="13">
        <f>_xlfn.IFNA(VLOOKUP(封面!B1,'2021决算导出'!A:E,5,FALSE),"")</f>
        <v>3459976.21</v>
      </c>
      <c r="E10" s="7" t="s">
        <v>179</v>
      </c>
      <c r="F10" s="18" t="s">
        <v>429</v>
      </c>
      <c r="G10" s="28"/>
      <c r="H10" s="31"/>
      <c r="I10" s="15"/>
      <c r="J10" s="28"/>
      <c r="K10" s="29"/>
      <c r="L10" s="7"/>
    </row>
    <row r="11" spans="1:14" ht="18" customHeight="1">
      <c r="A11" s="77" t="s">
        <v>181</v>
      </c>
      <c r="B11" s="77"/>
      <c r="C11" s="77"/>
      <c r="D11" s="13">
        <f>_xlfn.IFNA(VLOOKUP(封面!B1,'2021决算导出'!A:F,6,FALSE),"")</f>
        <v>3459976.21</v>
      </c>
      <c r="E11" s="7" t="s">
        <v>179</v>
      </c>
      <c r="F11" s="77" t="s">
        <v>182</v>
      </c>
      <c r="G11" s="77"/>
      <c r="H11" s="27">
        <f>D11/$D$10</f>
        <v>1</v>
      </c>
      <c r="I11" s="7" t="s">
        <v>297</v>
      </c>
    </row>
    <row r="12" spans="1:14" ht="18" customHeight="1">
      <c r="A12" s="77" t="s">
        <v>183</v>
      </c>
      <c r="B12" s="77"/>
      <c r="C12" s="77"/>
      <c r="D12" s="13">
        <f>_xlfn.IFNA(VLOOKUP(封面!B1,'2021决算导出'!A:G,7,FALSE),"")</f>
        <v>0</v>
      </c>
      <c r="E12" s="7" t="s">
        <v>179</v>
      </c>
      <c r="F12" s="77" t="s">
        <v>182</v>
      </c>
      <c r="G12" s="77"/>
      <c r="H12" s="27">
        <f t="shared" ref="H12:H15" si="0">D12/$D$10</f>
        <v>0</v>
      </c>
      <c r="I12" s="7" t="s">
        <v>297</v>
      </c>
    </row>
    <row r="13" spans="1:14" ht="18" customHeight="1">
      <c r="A13" s="77" t="s">
        <v>184</v>
      </c>
      <c r="B13" s="77"/>
      <c r="C13" s="77"/>
      <c r="D13" s="13">
        <f>_xlfn.IFNA(VLOOKUP(封面!B1,'2021决算导出'!A:H,8,FALSE),"")</f>
        <v>0</v>
      </c>
      <c r="E13" s="7" t="s">
        <v>179</v>
      </c>
      <c r="F13" s="77" t="s">
        <v>182</v>
      </c>
      <c r="G13" s="77"/>
      <c r="H13" s="27">
        <f t="shared" si="0"/>
        <v>0</v>
      </c>
      <c r="I13" s="7" t="s">
        <v>297</v>
      </c>
    </row>
    <row r="14" spans="1:14" ht="18" customHeight="1">
      <c r="A14" s="77" t="s">
        <v>185</v>
      </c>
      <c r="B14" s="77"/>
      <c r="C14" s="77"/>
      <c r="D14" s="13">
        <f>_xlfn.IFNA(VLOOKUP(封面!B1,'2021决算导出'!A:I,9,FALSE),"")</f>
        <v>0</v>
      </c>
      <c r="E14" s="7" t="s">
        <v>179</v>
      </c>
      <c r="F14" s="77" t="s">
        <v>182</v>
      </c>
      <c r="G14" s="77"/>
      <c r="H14" s="27">
        <f t="shared" si="0"/>
        <v>0</v>
      </c>
      <c r="I14" s="7" t="s">
        <v>297</v>
      </c>
    </row>
    <row r="15" spans="1:14" ht="18" customHeight="1">
      <c r="A15" s="77" t="s">
        <v>186</v>
      </c>
      <c r="B15" s="77"/>
      <c r="C15" s="77"/>
      <c r="D15" s="13">
        <f>_xlfn.IFNA(VLOOKUP(封面!B1,'2021决算导出'!A:J,10,FALSE),"")</f>
        <v>0</v>
      </c>
      <c r="E15" s="7" t="s">
        <v>179</v>
      </c>
      <c r="F15" s="77" t="s">
        <v>182</v>
      </c>
      <c r="G15" s="77"/>
      <c r="H15" s="27">
        <f t="shared" si="0"/>
        <v>0</v>
      </c>
      <c r="I15" s="7" t="s">
        <v>298</v>
      </c>
    </row>
    <row r="16" spans="1:14" ht="18" customHeight="1">
      <c r="A16" s="7" t="s">
        <v>187</v>
      </c>
    </row>
    <row r="17" spans="1:13" ht="18" customHeight="1">
      <c r="A17" s="77" t="s">
        <v>398</v>
      </c>
      <c r="B17" s="77"/>
      <c r="C17" s="77"/>
      <c r="D17" s="13">
        <f>_xlfn.IFNA(VLOOKUP(封面!B1,'2021决算导出'!A:K,11,FALSE),"")</f>
        <v>3459976.21</v>
      </c>
      <c r="E17" s="7" t="s">
        <v>179</v>
      </c>
      <c r="F17" s="18" t="s">
        <v>429</v>
      </c>
      <c r="G17" s="28"/>
      <c r="H17" s="31"/>
      <c r="I17" s="7"/>
      <c r="J17" s="28"/>
      <c r="K17" s="29"/>
      <c r="L17" s="7"/>
    </row>
    <row r="18" spans="1:13" ht="18" customHeight="1">
      <c r="A18" s="77" t="s">
        <v>188</v>
      </c>
      <c r="B18" s="77"/>
      <c r="C18" s="77"/>
      <c r="D18" s="13">
        <f>_xlfn.IFNA(VLOOKUP(封面!B1,'2021决算导出'!A:L,12,FALSE),"")</f>
        <v>2823739.05</v>
      </c>
      <c r="E18" s="7" t="s">
        <v>179</v>
      </c>
      <c r="F18" s="77" t="s">
        <v>189</v>
      </c>
      <c r="G18" s="77"/>
      <c r="H18" s="27">
        <f>D18/$D$17</f>
        <v>0.81611516340454837</v>
      </c>
      <c r="I18" s="7" t="s">
        <v>297</v>
      </c>
    </row>
    <row r="19" spans="1:13" ht="18" customHeight="1">
      <c r="A19" s="77" t="s">
        <v>190</v>
      </c>
      <c r="B19" s="77"/>
      <c r="C19" s="77"/>
      <c r="D19" s="13">
        <f>_xlfn.IFNA(VLOOKUP(封面!B1,'2021决算导出'!A:M,13,FALSE),"")</f>
        <v>636237.16</v>
      </c>
      <c r="E19" s="7" t="s">
        <v>179</v>
      </c>
      <c r="F19" s="77" t="s">
        <v>189</v>
      </c>
      <c r="G19" s="77"/>
      <c r="H19" s="27">
        <f t="shared" ref="H19:H20" si="1">D19/$D$17</f>
        <v>0.18388483659545163</v>
      </c>
      <c r="I19" s="7" t="s">
        <v>297</v>
      </c>
    </row>
    <row r="20" spans="1:13" ht="18" customHeight="1">
      <c r="A20" s="77" t="s">
        <v>191</v>
      </c>
      <c r="B20" s="77"/>
      <c r="C20" s="77"/>
      <c r="D20" s="13">
        <f>_xlfn.IFNA(VLOOKUP(封面!B1,'2021决算导出'!A:N,14,FALSE),"")</f>
        <v>0</v>
      </c>
      <c r="E20" s="7" t="s">
        <v>179</v>
      </c>
      <c r="F20" s="77" t="s">
        <v>189</v>
      </c>
      <c r="G20" s="77"/>
      <c r="H20" s="27">
        <f t="shared" si="1"/>
        <v>0</v>
      </c>
      <c r="I20" s="7" t="s">
        <v>298</v>
      </c>
    </row>
    <row r="21" spans="1:13" ht="18" customHeight="1">
      <c r="A21" s="6" t="s">
        <v>192</v>
      </c>
    </row>
    <row r="22" spans="1:13" ht="18" customHeight="1">
      <c r="A22" s="77" t="s">
        <v>399</v>
      </c>
      <c r="B22" s="77"/>
      <c r="C22" s="77"/>
      <c r="D22" s="77"/>
      <c r="E22" s="75">
        <f>_xlfn.IFNA(VLOOKUP(封面!B1,'2021决算导出'!A:O,15,FALSE),"")</f>
        <v>3459976.21</v>
      </c>
      <c r="F22" s="75"/>
      <c r="G22" s="18" t="s">
        <v>430</v>
      </c>
      <c r="H22" s="28"/>
      <c r="I22" s="31"/>
      <c r="J22" s="7"/>
      <c r="K22" s="28"/>
      <c r="L22" s="29"/>
      <c r="M22" s="7"/>
    </row>
    <row r="23" spans="1:13" ht="18" customHeight="1">
      <c r="A23" s="6" t="s">
        <v>193</v>
      </c>
    </row>
    <row r="24" spans="1:13" ht="18" customHeight="1">
      <c r="A24" s="7" t="s">
        <v>194</v>
      </c>
    </row>
    <row r="25" spans="1:13" ht="18" customHeight="1">
      <c r="A25" s="77" t="s">
        <v>400</v>
      </c>
      <c r="B25" s="77"/>
      <c r="C25" s="77"/>
      <c r="D25" s="77"/>
      <c r="E25" s="77"/>
      <c r="F25" s="75">
        <f>_xlfn.IFNA(VLOOKUP(封面!B1,'2021决算导出'!A:P,16,FALSE),"")</f>
        <v>3459976.21</v>
      </c>
      <c r="G25" s="75"/>
      <c r="H25" s="7" t="s">
        <v>179</v>
      </c>
      <c r="I25" s="10" t="s">
        <v>195</v>
      </c>
      <c r="J25" s="10"/>
      <c r="K25" s="10"/>
      <c r="L25" s="10"/>
      <c r="M25" s="10"/>
    </row>
    <row r="26" spans="1:13" ht="18" customHeight="1">
      <c r="A26" s="77" t="s">
        <v>198</v>
      </c>
      <c r="B26" s="77"/>
      <c r="C26" s="77"/>
      <c r="D26" s="75">
        <f>_xlfn.IFNA(VLOOKUP(封面!B1,'2021决算导出'!A:Q,17,FALSE),"")</f>
        <v>2774800.69</v>
      </c>
      <c r="E26" s="75"/>
      <c r="F26" s="7" t="s">
        <v>179</v>
      </c>
      <c r="G26" s="80" t="s">
        <v>197</v>
      </c>
      <c r="H26" s="80"/>
      <c r="I26" s="27">
        <f>D26/$F$25</f>
        <v>0.80197103147134063</v>
      </c>
      <c r="J26" s="7" t="s">
        <v>297</v>
      </c>
      <c r="K26" s="9"/>
      <c r="L26" s="9"/>
      <c r="M26" s="9"/>
    </row>
    <row r="27" spans="1:13" ht="18" customHeight="1">
      <c r="A27" s="77" t="s">
        <v>196</v>
      </c>
      <c r="B27" s="77"/>
      <c r="C27" s="77"/>
      <c r="D27" s="75">
        <f>_xlfn.IFNA(VLOOKUP(封面!B1,'2021决算导出'!A:S,19,FALSE),"")</f>
        <v>361979.52</v>
      </c>
      <c r="E27" s="75"/>
      <c r="F27" s="7" t="s">
        <v>179</v>
      </c>
      <c r="G27" s="80" t="s">
        <v>197</v>
      </c>
      <c r="H27" s="80"/>
      <c r="I27" s="27">
        <f t="shared" ref="I27:I29" si="2">D27/$F$25</f>
        <v>0.10461907771325399</v>
      </c>
      <c r="J27" s="7" t="s">
        <v>297</v>
      </c>
    </row>
    <row r="28" spans="1:13" ht="18" customHeight="1">
      <c r="A28" s="77" t="s">
        <v>199</v>
      </c>
      <c r="B28" s="77"/>
      <c r="C28" s="77"/>
      <c r="D28" s="75">
        <f>_xlfn.IFNA(VLOOKUP(封面!B1,'2021决算导出'!A:T,20,FALSE),"")</f>
        <v>168061.92</v>
      </c>
      <c r="E28" s="75"/>
      <c r="F28" s="7" t="s">
        <v>179</v>
      </c>
      <c r="G28" s="80" t="s">
        <v>197</v>
      </c>
      <c r="H28" s="80"/>
      <c r="I28" s="27">
        <f t="shared" si="2"/>
        <v>4.8573143224010781E-2</v>
      </c>
      <c r="J28" s="7" t="s">
        <v>297</v>
      </c>
    </row>
    <row r="29" spans="1:13" ht="18" customHeight="1">
      <c r="A29" s="77" t="s">
        <v>200</v>
      </c>
      <c r="B29" s="77"/>
      <c r="C29" s="77"/>
      <c r="D29" s="75">
        <f>_xlfn.IFNA(VLOOKUP(封面!B1,'2021决算导出'!A:V,22,FALSE),"")</f>
        <v>155134.07999999999</v>
      </c>
      <c r="E29" s="75"/>
      <c r="F29" s="7" t="s">
        <v>179</v>
      </c>
      <c r="G29" s="80" t="s">
        <v>197</v>
      </c>
      <c r="H29" s="80"/>
      <c r="I29" s="27">
        <f t="shared" si="2"/>
        <v>4.4836747591394562E-2</v>
      </c>
      <c r="J29" s="7" t="s">
        <v>297</v>
      </c>
    </row>
    <row r="30" spans="1:13" ht="18" customHeight="1">
      <c r="A30" s="7" t="s">
        <v>201</v>
      </c>
    </row>
    <row r="31" spans="1:13" ht="18" customHeight="1">
      <c r="A31" s="78" t="s">
        <v>401</v>
      </c>
      <c r="B31" s="78"/>
      <c r="C31" s="78"/>
      <c r="D31" s="78"/>
      <c r="E31" s="75">
        <f>_xlfn.IFNA(VLOOKUP(封面!B1,一般公共预算财政拨款支出决算具体情况!A:C,3,FALSE),"")</f>
        <v>2774800.69</v>
      </c>
      <c r="F31" s="75"/>
      <c r="G31" s="7" t="s">
        <v>179</v>
      </c>
      <c r="H31" s="80" t="s">
        <v>402</v>
      </c>
      <c r="I31" s="80"/>
      <c r="J31" s="75">
        <f>_xlfn.IFNA(VLOOKUP(封面!B1,一般公共预算财政拨款支出决算具体情况!A:D,4,FALSE),"")</f>
        <v>0</v>
      </c>
      <c r="K31" s="75"/>
      <c r="L31" s="11" t="s">
        <v>178</v>
      </c>
    </row>
    <row r="32" spans="1:13" ht="18" customHeight="1">
      <c r="B32" s="14" t="str">
        <f>IF(E31&gt;J31,"增加","减少")</f>
        <v>增加</v>
      </c>
      <c r="C32" s="75">
        <f>ABS(E31-J31)</f>
        <v>2774800.69</v>
      </c>
      <c r="D32" s="75"/>
      <c r="E32" s="7" t="s">
        <v>179</v>
      </c>
      <c r="F32" s="14" t="str">
        <f>IF(E31&gt;J31,"增长","下降")</f>
        <v>增长</v>
      </c>
      <c r="G32" s="32">
        <f>IF(J31=0,IF(E31&gt;0,1,""),C32/J31)</f>
        <v>1</v>
      </c>
      <c r="H32" s="7" t="s">
        <v>298</v>
      </c>
      <c r="I32" s="11" t="s">
        <v>202</v>
      </c>
    </row>
    <row r="33" spans="1:12" ht="18" customHeight="1">
      <c r="A33" s="77" t="s">
        <v>403</v>
      </c>
      <c r="B33" s="77"/>
      <c r="C33" s="77"/>
      <c r="D33" s="77"/>
      <c r="E33" s="75">
        <f>_xlfn.IFNA(VLOOKUP(封面!B1,一般公共预算财政拨款支出决算具体情况!A:E,5,FALSE),"")</f>
        <v>2769500.69</v>
      </c>
      <c r="F33" s="75"/>
      <c r="G33" s="7" t="s">
        <v>179</v>
      </c>
      <c r="H33" s="80" t="s">
        <v>402</v>
      </c>
      <c r="I33" s="80"/>
      <c r="J33" s="75">
        <f>_xlfn.IFNA(VLOOKUP(封面!B1,一般公共预算财政拨款支出决算具体情况!A:F,6,FALSE),"")</f>
        <v>0</v>
      </c>
      <c r="K33" s="75"/>
      <c r="L33" s="11" t="s">
        <v>178</v>
      </c>
    </row>
    <row r="34" spans="1:12" ht="18" customHeight="1">
      <c r="A34" s="14"/>
      <c r="B34" s="14" t="str">
        <f>IF(E33&gt;J33,"增加","减少")</f>
        <v>增加</v>
      </c>
      <c r="C34" s="75">
        <f>ABS(E33-J33)</f>
        <v>2769500.69</v>
      </c>
      <c r="D34" s="75"/>
      <c r="E34" s="7" t="s">
        <v>179</v>
      </c>
      <c r="F34" s="14" t="str">
        <f>IF(E33&gt;J33,"增长","下降")</f>
        <v>增长</v>
      </c>
      <c r="G34" s="32">
        <f>IF(J33=0,IF(E33&gt;0,1,""),C34/J33)</f>
        <v>1</v>
      </c>
      <c r="H34" s="7" t="s">
        <v>298</v>
      </c>
    </row>
    <row r="35" spans="1:12" ht="19.149999999999999" customHeight="1">
      <c r="B35" s="79" t="s">
        <v>431</v>
      </c>
      <c r="C35" s="79"/>
      <c r="D35" s="79"/>
      <c r="E35" s="79"/>
      <c r="F35" s="79"/>
      <c r="G35" s="79"/>
      <c r="H35" s="79"/>
      <c r="I35" s="79"/>
      <c r="J35" s="79"/>
      <c r="K35" s="79"/>
      <c r="L35" s="79"/>
    </row>
    <row r="36" spans="1:12" ht="18" customHeight="1">
      <c r="A36" s="77" t="s">
        <v>404</v>
      </c>
      <c r="B36" s="77"/>
      <c r="C36" s="77"/>
      <c r="D36" s="77"/>
      <c r="E36" s="75">
        <f>_xlfn.IFNA(VLOOKUP(封面!B1,一般公共预算财政拨款支出决算具体情况!A:M,13,FALSE),"")</f>
        <v>5300</v>
      </c>
      <c r="F36" s="75"/>
      <c r="G36" s="7" t="s">
        <v>179</v>
      </c>
      <c r="H36" s="80" t="s">
        <v>402</v>
      </c>
      <c r="I36" s="80"/>
      <c r="J36" s="75">
        <f>_xlfn.IFNA(VLOOKUP(封面!B1,一般公共预算财政拨款支出决算具体情况!A:N,14,FALSE),"")</f>
        <v>0</v>
      </c>
      <c r="K36" s="75"/>
      <c r="L36" s="11" t="s">
        <v>178</v>
      </c>
    </row>
    <row r="37" spans="1:12" ht="18" customHeight="1">
      <c r="A37" s="14"/>
      <c r="B37" s="14" t="str">
        <f>IF(E36&gt;J36,"增加","减少")</f>
        <v>增加</v>
      </c>
      <c r="C37" s="75">
        <f>ABS(E36-J36)</f>
        <v>5300</v>
      </c>
      <c r="D37" s="75"/>
      <c r="E37" s="7" t="s">
        <v>179</v>
      </c>
      <c r="F37" s="14" t="str">
        <f>IF(E36&gt;J36,"增长","下降")</f>
        <v>增长</v>
      </c>
      <c r="G37" s="32">
        <f>IF(J36=0,IF(E36&gt;0,1,""),C37/J36)</f>
        <v>1</v>
      </c>
      <c r="H37" s="7" t="s">
        <v>298</v>
      </c>
    </row>
    <row r="38" spans="1:12" ht="19.899999999999999" customHeight="1">
      <c r="B38" s="79" t="s">
        <v>431</v>
      </c>
      <c r="C38" s="79"/>
      <c r="D38" s="79"/>
      <c r="E38" s="79"/>
      <c r="F38" s="79"/>
      <c r="G38" s="79"/>
      <c r="H38" s="79"/>
      <c r="I38" s="79"/>
      <c r="J38" s="79"/>
      <c r="K38" s="79"/>
      <c r="L38" s="79"/>
    </row>
    <row r="39" spans="1:12" ht="18" customHeight="1">
      <c r="A39" s="81" t="s">
        <v>432</v>
      </c>
      <c r="B39" s="81"/>
      <c r="C39" s="81"/>
      <c r="D39" s="81"/>
      <c r="E39" s="75">
        <f>_xlfn.IFNA(VLOOKUP(封面!B1,一般公共预算财政拨款支出决算具体情况!A:W,23,FALSE),"")</f>
        <v>361979.52</v>
      </c>
      <c r="F39" s="75"/>
      <c r="G39" s="7" t="s">
        <v>179</v>
      </c>
      <c r="H39" s="80" t="s">
        <v>402</v>
      </c>
      <c r="I39" s="80"/>
      <c r="J39" s="75">
        <f>_xlfn.IFNA(VLOOKUP(封面!B1,一般公共预算财政拨款支出决算具体情况!A:X,24,FALSE),"")</f>
        <v>0</v>
      </c>
      <c r="K39" s="75"/>
      <c r="L39" s="11" t="s">
        <v>178</v>
      </c>
    </row>
    <row r="40" spans="1:12" ht="18" customHeight="1">
      <c r="B40" s="14" t="str">
        <f>IF(E39&gt;J39,"增加","减少")</f>
        <v>增加</v>
      </c>
      <c r="C40" s="75">
        <f>ABS(E39-J39)</f>
        <v>361979.52</v>
      </c>
      <c r="D40" s="75"/>
      <c r="E40" s="7" t="s">
        <v>179</v>
      </c>
      <c r="F40" s="14" t="str">
        <f>IF(E39&gt;J39,"增长","下降")</f>
        <v>增长</v>
      </c>
      <c r="G40" s="32">
        <f>IF(J39=0,IF(E39&gt;0,1,""),C40/J39)</f>
        <v>1</v>
      </c>
      <c r="H40" s="7" t="s">
        <v>298</v>
      </c>
      <c r="I40" s="11" t="s">
        <v>202</v>
      </c>
    </row>
    <row r="41" spans="1:12" ht="18" customHeight="1">
      <c r="A41" s="76" t="s">
        <v>405</v>
      </c>
      <c r="B41" s="76"/>
      <c r="C41" s="76"/>
      <c r="D41" s="76"/>
      <c r="E41" s="75">
        <f>_xlfn.IFNA(VLOOKUP(封面!B1,一般公共预算财政拨款支出决算具体情况!A:Y,25,FALSE),"")</f>
        <v>361979.52</v>
      </c>
      <c r="F41" s="75"/>
      <c r="G41" s="7" t="s">
        <v>179</v>
      </c>
      <c r="H41" s="80" t="s">
        <v>402</v>
      </c>
      <c r="I41" s="80"/>
      <c r="J41" s="75">
        <f>_xlfn.IFNA(VLOOKUP(封面!B1,一般公共预算财政拨款支出决算具体情况!A:Z,26,FALSE),"")</f>
        <v>0</v>
      </c>
      <c r="K41" s="75"/>
      <c r="L41" s="11" t="s">
        <v>178</v>
      </c>
    </row>
    <row r="42" spans="1:12" ht="18" customHeight="1">
      <c r="A42" s="14"/>
      <c r="B42" s="14" t="str">
        <f>IF(E41&gt;J41,"增加","减少")</f>
        <v>增加</v>
      </c>
      <c r="C42" s="75">
        <f>ABS(E41-J41)</f>
        <v>361979.52</v>
      </c>
      <c r="D42" s="75"/>
      <c r="E42" s="7" t="s">
        <v>179</v>
      </c>
      <c r="F42" s="14" t="str">
        <f>IF(E41&gt;J41,"增长","下降")</f>
        <v>增长</v>
      </c>
      <c r="G42" s="32">
        <f>IF(J41=0,IF(E41&gt;0,1,""),C42/J41)</f>
        <v>1</v>
      </c>
      <c r="H42" s="7" t="s">
        <v>298</v>
      </c>
    </row>
    <row r="43" spans="1:12" ht="19.899999999999999" customHeight="1">
      <c r="B43" s="79" t="s">
        <v>431</v>
      </c>
      <c r="C43" s="79"/>
      <c r="D43" s="79"/>
      <c r="E43" s="79"/>
      <c r="F43" s="79"/>
      <c r="G43" s="79"/>
      <c r="H43" s="79"/>
      <c r="I43" s="79"/>
      <c r="J43" s="79"/>
      <c r="K43" s="79"/>
      <c r="L43" s="79"/>
    </row>
    <row r="44" spans="1:12" ht="18" customHeight="1">
      <c r="A44" s="81" t="s">
        <v>433</v>
      </c>
      <c r="B44" s="81"/>
      <c r="C44" s="81"/>
      <c r="D44" s="81"/>
      <c r="E44" s="75">
        <f>_xlfn.IFNA(VLOOKUP(封面!B1,一般公共预算财政拨款支出决算具体情况!A:AC,29,FALSE),"")</f>
        <v>168061.92</v>
      </c>
      <c r="F44" s="75"/>
      <c r="G44" s="7" t="s">
        <v>179</v>
      </c>
      <c r="H44" s="80" t="s">
        <v>402</v>
      </c>
      <c r="I44" s="80"/>
      <c r="J44" s="75">
        <f>_xlfn.IFNA(VLOOKUP(封面!B1,一般公共预算财政拨款支出决算具体情况!A:AD,30,FALSE),"")</f>
        <v>0</v>
      </c>
      <c r="K44" s="75"/>
      <c r="L44" s="11" t="s">
        <v>178</v>
      </c>
    </row>
    <row r="45" spans="1:12" ht="18" customHeight="1">
      <c r="B45" s="14" t="str">
        <f>IF(E44&gt;J44,"增加","减少")</f>
        <v>增加</v>
      </c>
      <c r="C45" s="75">
        <f>ABS(E44-J44)</f>
        <v>168061.92</v>
      </c>
      <c r="D45" s="75"/>
      <c r="E45" s="7" t="s">
        <v>179</v>
      </c>
      <c r="F45" s="14" t="str">
        <f>IF(E44&gt;J44,"增长","下降")</f>
        <v>增长</v>
      </c>
      <c r="G45" s="32">
        <f>IF(J44=0,IF(E44&gt;0,1,""),C45/J44)</f>
        <v>1</v>
      </c>
      <c r="H45" s="7" t="s">
        <v>298</v>
      </c>
      <c r="I45" s="11" t="s">
        <v>202</v>
      </c>
    </row>
    <row r="46" spans="1:12" ht="18" customHeight="1">
      <c r="A46" s="76" t="s">
        <v>406</v>
      </c>
      <c r="B46" s="76"/>
      <c r="C46" s="76"/>
      <c r="D46" s="76"/>
      <c r="E46" s="75">
        <f>_xlfn.IFNA(VLOOKUP(封面!B1,一般公共预算财政拨款支出决算具体情况!A:AE,31,FALSE),"")</f>
        <v>168061.92</v>
      </c>
      <c r="F46" s="75"/>
      <c r="G46" s="7" t="s">
        <v>179</v>
      </c>
      <c r="H46" s="80" t="s">
        <v>402</v>
      </c>
      <c r="I46" s="80"/>
      <c r="J46" s="75">
        <f>_xlfn.IFNA(VLOOKUP(封面!B1,一般公共预算财政拨款支出决算具体情况!A:AF,32,FALSE),"")</f>
        <v>0</v>
      </c>
      <c r="K46" s="75"/>
      <c r="L46" s="11" t="s">
        <v>178</v>
      </c>
    </row>
    <row r="47" spans="1:12" ht="18" customHeight="1">
      <c r="A47" s="14"/>
      <c r="B47" s="14" t="str">
        <f>IF(E46&gt;J46,"增加","减少")</f>
        <v>增加</v>
      </c>
      <c r="C47" s="75">
        <f>ABS(E46-J46)</f>
        <v>168061.92</v>
      </c>
      <c r="D47" s="75"/>
      <c r="E47" s="7" t="s">
        <v>179</v>
      </c>
      <c r="F47" s="14" t="str">
        <f>IF(E46&gt;J46,"增长","下降")</f>
        <v>增长</v>
      </c>
      <c r="G47" s="32">
        <f>IF(J46=0,IF(E46&gt;0,1,""),C47/J46)</f>
        <v>1</v>
      </c>
      <c r="H47" s="7" t="s">
        <v>298</v>
      </c>
    </row>
    <row r="48" spans="1:12" ht="21" customHeight="1">
      <c r="B48" s="79" t="s">
        <v>431</v>
      </c>
      <c r="C48" s="79"/>
      <c r="D48" s="79"/>
      <c r="E48" s="79"/>
      <c r="F48" s="79"/>
      <c r="G48" s="79"/>
      <c r="H48" s="79"/>
      <c r="I48" s="79"/>
      <c r="J48" s="79"/>
      <c r="K48" s="79"/>
      <c r="L48" s="79"/>
    </row>
    <row r="49" spans="1:13" ht="18" customHeight="1">
      <c r="A49" s="81" t="s">
        <v>434</v>
      </c>
      <c r="B49" s="81"/>
      <c r="C49" s="81"/>
      <c r="D49" s="81"/>
      <c r="E49" s="75">
        <f>_xlfn.IFNA(VLOOKUP(封面!B1,一般公共预算财政拨款支出决算具体情况!A:AK,37,FALSE),"")</f>
        <v>155134.07999999999</v>
      </c>
      <c r="F49" s="75"/>
      <c r="G49" s="7" t="s">
        <v>179</v>
      </c>
      <c r="H49" s="80" t="s">
        <v>402</v>
      </c>
      <c r="I49" s="80"/>
      <c r="J49" s="75">
        <f>_xlfn.IFNA(VLOOKUP(封面!B1,一般公共预算财政拨款支出决算具体情况!A:AL,38,FALSE),"")</f>
        <v>0</v>
      </c>
      <c r="K49" s="75"/>
      <c r="L49" s="11" t="s">
        <v>178</v>
      </c>
    </row>
    <row r="50" spans="1:13" ht="18" customHeight="1">
      <c r="B50" s="14" t="str">
        <f>IF(E49&gt;J49,"增加","减少")</f>
        <v>增加</v>
      </c>
      <c r="C50" s="75">
        <f>ABS(E49-J49)</f>
        <v>155134.07999999999</v>
      </c>
      <c r="D50" s="75"/>
      <c r="E50" s="7" t="s">
        <v>179</v>
      </c>
      <c r="F50" s="14" t="str">
        <f>IF(E49&gt;J49,"增长","下降")</f>
        <v>增长</v>
      </c>
      <c r="G50" s="32">
        <f>IF(J49=0,IF(E49&gt;0,1,""),C50/J49)</f>
        <v>1</v>
      </c>
      <c r="H50" s="7" t="s">
        <v>298</v>
      </c>
      <c r="I50" s="11" t="s">
        <v>202</v>
      </c>
    </row>
    <row r="51" spans="1:13" ht="18" customHeight="1">
      <c r="A51" s="76" t="s">
        <v>407</v>
      </c>
      <c r="B51" s="76"/>
      <c r="C51" s="76"/>
      <c r="D51" s="76"/>
      <c r="E51" s="75">
        <f>_xlfn.IFNA(VLOOKUP(封面!B1,一般公共预算财政拨款支出决算具体情况!A:AM,39,FALSE),"")</f>
        <v>155134.07999999999</v>
      </c>
      <c r="F51" s="75"/>
      <c r="G51" s="7" t="s">
        <v>179</v>
      </c>
      <c r="H51" s="80" t="s">
        <v>402</v>
      </c>
      <c r="I51" s="80"/>
      <c r="J51" s="75">
        <f>_xlfn.IFNA(VLOOKUP(封面!B1,一般公共预算财政拨款支出决算具体情况!A:AN,40,FALSE),"")</f>
        <v>0</v>
      </c>
      <c r="K51" s="75"/>
      <c r="L51" s="11" t="s">
        <v>178</v>
      </c>
    </row>
    <row r="52" spans="1:13" ht="18" customHeight="1">
      <c r="A52" s="14"/>
      <c r="B52" s="14" t="str">
        <f>IF(E51&gt;J51,"增加","减少")</f>
        <v>增加</v>
      </c>
      <c r="C52" s="75">
        <f>ABS(E51-J51)</f>
        <v>155134.07999999999</v>
      </c>
      <c r="D52" s="75"/>
      <c r="E52" s="7" t="s">
        <v>179</v>
      </c>
      <c r="F52" s="14" t="str">
        <f>IF(E51&gt;J51,"增长","下降")</f>
        <v>增长</v>
      </c>
      <c r="G52" s="32">
        <f>IF(J51=0,IF(E51&gt;0,1,""),C52/J51)</f>
        <v>1</v>
      </c>
      <c r="H52" s="7" t="s">
        <v>298</v>
      </c>
    </row>
    <row r="53" spans="1:13" ht="19.899999999999999" customHeight="1">
      <c r="B53" s="79" t="s">
        <v>431</v>
      </c>
      <c r="C53" s="79"/>
      <c r="D53" s="79"/>
      <c r="E53" s="79"/>
      <c r="F53" s="79"/>
      <c r="G53" s="79"/>
      <c r="H53" s="79"/>
      <c r="I53" s="79"/>
      <c r="J53" s="79"/>
      <c r="K53" s="79"/>
      <c r="L53" s="79"/>
    </row>
    <row r="54" spans="1:13" ht="18" customHeight="1">
      <c r="A54" s="6" t="s">
        <v>203</v>
      </c>
    </row>
    <row r="55" spans="1:13" ht="18" customHeight="1">
      <c r="A55" s="7" t="str">
        <f>IF(_xlfn.IFNA(VLOOKUP(封面!B1,'2021决算导出'!A:W,23,FALSE),"")=0,"本年度无此项支出。","")</f>
        <v>本年度无此项支出。</v>
      </c>
    </row>
    <row r="56" spans="1:13" ht="18" customHeight="1">
      <c r="A56" s="6" t="s">
        <v>204</v>
      </c>
    </row>
    <row r="57" spans="1:13" ht="18" customHeight="1">
      <c r="A57" s="7" t="s">
        <v>205</v>
      </c>
    </row>
    <row r="58" spans="1:13" ht="18" customHeight="1">
      <c r="A58" s="6" t="s">
        <v>206</v>
      </c>
    </row>
    <row r="59" spans="1:13" ht="18" customHeight="1">
      <c r="A59" s="7" t="s">
        <v>408</v>
      </c>
      <c r="G59" s="75">
        <f>_xlfn.IFNA(VLOOKUP(封面!B1,'2021决算导出'!A:AA,27,FALSE),"")</f>
        <v>2823739.05</v>
      </c>
      <c r="H59" s="75"/>
      <c r="I59" s="11" t="s">
        <v>179</v>
      </c>
    </row>
    <row r="60" spans="1:13" ht="130.15" customHeight="1">
      <c r="A60" s="79" t="s">
        <v>207</v>
      </c>
      <c r="B60" s="79"/>
      <c r="C60" s="79"/>
      <c r="D60" s="79"/>
      <c r="E60" s="79"/>
      <c r="F60" s="79"/>
      <c r="G60" s="79"/>
      <c r="H60" s="79"/>
      <c r="I60" s="79"/>
      <c r="J60" s="79"/>
      <c r="K60" s="79"/>
      <c r="L60" s="79"/>
      <c r="M60" s="79"/>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90">
    <mergeCell ref="G59:H59"/>
    <mergeCell ref="A60:M60"/>
    <mergeCell ref="A4:M4"/>
    <mergeCell ref="B53:L53"/>
    <mergeCell ref="C50:D50"/>
    <mergeCell ref="A51:D51"/>
    <mergeCell ref="E51:F51"/>
    <mergeCell ref="H51:I51"/>
    <mergeCell ref="J51:K51"/>
    <mergeCell ref="C52:D52"/>
    <mergeCell ref="A49:D49"/>
    <mergeCell ref="E49:F49"/>
    <mergeCell ref="H49:I49"/>
    <mergeCell ref="J49:K49"/>
    <mergeCell ref="E41:F41"/>
    <mergeCell ref="H41:I41"/>
    <mergeCell ref="J41:K41"/>
    <mergeCell ref="C42:D42"/>
    <mergeCell ref="A46:D46"/>
    <mergeCell ref="E46:F46"/>
    <mergeCell ref="H46:I46"/>
    <mergeCell ref="J46:K46"/>
    <mergeCell ref="B43:L43"/>
    <mergeCell ref="C47:D47"/>
    <mergeCell ref="B48:L48"/>
    <mergeCell ref="A44:D44"/>
    <mergeCell ref="E44:F44"/>
    <mergeCell ref="H44:I44"/>
    <mergeCell ref="J44:K44"/>
    <mergeCell ref="C45:D45"/>
    <mergeCell ref="J33:K33"/>
    <mergeCell ref="C37:D37"/>
    <mergeCell ref="B38:L38"/>
    <mergeCell ref="A36:D36"/>
    <mergeCell ref="E36:F36"/>
    <mergeCell ref="H36:I36"/>
    <mergeCell ref="J36:K36"/>
    <mergeCell ref="H31:I31"/>
    <mergeCell ref="J31:K31"/>
    <mergeCell ref="D29:E29"/>
    <mergeCell ref="G29:H29"/>
    <mergeCell ref="A29:C29"/>
    <mergeCell ref="G28:H28"/>
    <mergeCell ref="A18:C18"/>
    <mergeCell ref="F18:G18"/>
    <mergeCell ref="A25:E25"/>
    <mergeCell ref="F25:G25"/>
    <mergeCell ref="A19:C19"/>
    <mergeCell ref="F19:G19"/>
    <mergeCell ref="A20:C20"/>
    <mergeCell ref="F20:G20"/>
    <mergeCell ref="A22:D22"/>
    <mergeCell ref="E22:F22"/>
    <mergeCell ref="G27:H27"/>
    <mergeCell ref="D26:E26"/>
    <mergeCell ref="G26:H26"/>
    <mergeCell ref="A27:C27"/>
    <mergeCell ref="A26:C26"/>
    <mergeCell ref="A1:M1"/>
    <mergeCell ref="A39:D39"/>
    <mergeCell ref="E39:F39"/>
    <mergeCell ref="H39:I39"/>
    <mergeCell ref="J39:K39"/>
    <mergeCell ref="A10:C10"/>
    <mergeCell ref="A11:C11"/>
    <mergeCell ref="F11:G11"/>
    <mergeCell ref="A12:C12"/>
    <mergeCell ref="F12:G12"/>
    <mergeCell ref="A13:C13"/>
    <mergeCell ref="F13:G13"/>
    <mergeCell ref="A14:C14"/>
    <mergeCell ref="F14:G14"/>
    <mergeCell ref="A15:C15"/>
    <mergeCell ref="F15:G15"/>
    <mergeCell ref="C40:D40"/>
    <mergeCell ref="A41:D41"/>
    <mergeCell ref="A8:C8"/>
    <mergeCell ref="A6:B6"/>
    <mergeCell ref="A17:C17"/>
    <mergeCell ref="A28:C28"/>
    <mergeCell ref="D28:E28"/>
    <mergeCell ref="D27:E27"/>
    <mergeCell ref="A31:D31"/>
    <mergeCell ref="E31:F31"/>
    <mergeCell ref="B35:L35"/>
    <mergeCell ref="C32:D32"/>
    <mergeCell ref="C34:D34"/>
    <mergeCell ref="A33:D33"/>
    <mergeCell ref="E33:F33"/>
    <mergeCell ref="H33:I33"/>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S13" sqref="S1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393</v>
      </c>
      <c r="B1" s="73"/>
      <c r="C1" s="73"/>
      <c r="D1" s="73"/>
      <c r="E1" s="73"/>
      <c r="F1" s="73"/>
      <c r="G1" s="73"/>
      <c r="H1" s="73"/>
      <c r="I1" s="73"/>
      <c r="J1" s="73"/>
      <c r="K1" s="73"/>
      <c r="L1" s="73"/>
      <c r="M1" s="73"/>
      <c r="N1" s="73"/>
    </row>
    <row r="2" spans="1:14" ht="18" customHeight="1">
      <c r="A2" s="6" t="s">
        <v>208</v>
      </c>
    </row>
    <row r="3" spans="1:14" ht="18" customHeight="1">
      <c r="A3" s="15" t="str">
        <f>IF(_xlfn.IFNA(VLOOKUP(封面!B1,'2021决算导出'!A:AB,28,FALSE),"")=0,"本年度无此项支出。","")</f>
        <v>本年度无此项支出。</v>
      </c>
    </row>
    <row r="4" spans="1:14" ht="18" customHeight="1">
      <c r="A4" s="6" t="s">
        <v>210</v>
      </c>
    </row>
    <row r="5" spans="1:14" ht="18" customHeight="1">
      <c r="A5" s="7" t="s">
        <v>211</v>
      </c>
    </row>
    <row r="6" spans="1:14" ht="18" customHeight="1">
      <c r="A6" s="6" t="s">
        <v>212</v>
      </c>
    </row>
    <row r="7" spans="1:14" ht="18" customHeight="1">
      <c r="A7" s="77" t="s">
        <v>409</v>
      </c>
      <c r="B7" s="77"/>
      <c r="C7" s="77"/>
      <c r="D7" s="77"/>
      <c r="E7" s="75">
        <f>_xlfn.IFNA(VLOOKUP(封面!B1,'2021决算导出'!A:AW,49,FALSE),"")</f>
        <v>31245</v>
      </c>
      <c r="F7" s="75"/>
      <c r="G7" s="7" t="s">
        <v>179</v>
      </c>
      <c r="H7" s="77" t="s">
        <v>213</v>
      </c>
      <c r="I7" s="77"/>
      <c r="J7" s="77"/>
      <c r="K7" s="77"/>
      <c r="L7" s="75">
        <f>_xlfn.IFNA(VLOOKUP(封面!B1,'2021决算导出'!A:AX,50,FALSE),"")</f>
        <v>31245</v>
      </c>
      <c r="M7" s="75" t="s">
        <v>179</v>
      </c>
      <c r="N7" s="7" t="s">
        <v>179</v>
      </c>
    </row>
    <row r="8" spans="1:14" ht="18" customHeight="1">
      <c r="A8" s="77" t="s">
        <v>214</v>
      </c>
      <c r="B8" s="77"/>
      <c r="C8" s="77"/>
      <c r="D8" s="75">
        <f>_xlfn.IFNA(VLOOKUP(封面!B1,'2021决算导出'!A:AY,51,FALSE),"")</f>
        <v>0</v>
      </c>
      <c r="E8" s="75" t="s">
        <v>179</v>
      </c>
      <c r="F8" s="7" t="s">
        <v>179</v>
      </c>
      <c r="G8" s="77" t="s">
        <v>215</v>
      </c>
      <c r="H8" s="77"/>
      <c r="I8" s="77"/>
      <c r="J8" s="75">
        <f>_xlfn.IFNA(VLOOKUP(封面!B1,'2021决算导出'!A:AZ,52,FALSE),"")</f>
        <v>0</v>
      </c>
      <c r="K8" s="75" t="s">
        <v>179</v>
      </c>
      <c r="L8" s="7" t="s">
        <v>209</v>
      </c>
    </row>
    <row r="9" spans="1:14" ht="18" customHeight="1">
      <c r="A9" s="77" t="s">
        <v>216</v>
      </c>
      <c r="B9" s="77"/>
      <c r="C9" s="77"/>
      <c r="D9" s="77"/>
      <c r="E9" s="75">
        <f>_xlfn.IFNA(VLOOKUP(封面!B1,'2021决算导出'!A:BA,53,FALSE),"")</f>
        <v>31245</v>
      </c>
      <c r="F9" s="75" t="s">
        <v>179</v>
      </c>
      <c r="G9" s="7" t="s">
        <v>179</v>
      </c>
      <c r="H9" s="80" t="s">
        <v>217</v>
      </c>
      <c r="I9" s="80"/>
      <c r="J9" s="80"/>
      <c r="K9" s="27">
        <f>E9/$E$7</f>
        <v>1</v>
      </c>
      <c r="L9" s="16" t="s">
        <v>296</v>
      </c>
      <c r="M9" s="7" t="s">
        <v>388</v>
      </c>
    </row>
    <row r="10" spans="1:14" ht="18" customHeight="1">
      <c r="A10" s="77" t="s">
        <v>218</v>
      </c>
      <c r="B10" s="77"/>
      <c r="C10" s="77"/>
      <c r="D10" s="77"/>
      <c r="E10" s="75">
        <f>_xlfn.IFNA(VLOOKUP(封面!B1,'2021决算导出'!A:BB,54,FALSE),"")</f>
        <v>0</v>
      </c>
      <c r="F10" s="75" t="s">
        <v>179</v>
      </c>
      <c r="G10" s="7" t="s">
        <v>179</v>
      </c>
      <c r="H10" s="80" t="s">
        <v>217</v>
      </c>
      <c r="I10" s="80"/>
      <c r="J10" s="80"/>
      <c r="K10" s="27">
        <f>E10/$E$7</f>
        <v>0</v>
      </c>
      <c r="L10" s="16" t="s">
        <v>298</v>
      </c>
    </row>
    <row r="11" spans="1:14" ht="18" customHeight="1">
      <c r="A11" s="6" t="s">
        <v>219</v>
      </c>
    </row>
    <row r="12" spans="1:14" ht="18" customHeight="1">
      <c r="A12" s="77" t="s">
        <v>410</v>
      </c>
      <c r="B12" s="77"/>
      <c r="C12" s="8">
        <f>_xlfn.IFNA(VLOOKUP(封面!B1,'2021决算导出'!A:BC,55,FALSE),"")</f>
        <v>0</v>
      </c>
      <c r="D12" s="7" t="s">
        <v>220</v>
      </c>
      <c r="M12" s="82">
        <f>_xlfn.IFNA(VLOOKUP(封面!B1,'2021决算导出'!A:BD,56,FALSE),"")</f>
        <v>0</v>
      </c>
      <c r="N12" s="82" t="s">
        <v>179</v>
      </c>
    </row>
    <row r="13" spans="1:14" ht="18" customHeight="1">
      <c r="A13" s="12" t="s">
        <v>221</v>
      </c>
      <c r="B13" s="77" t="s">
        <v>222</v>
      </c>
      <c r="C13" s="77"/>
      <c r="D13" s="77"/>
      <c r="E13" s="77"/>
      <c r="F13" s="77"/>
      <c r="G13" s="8">
        <f>_xlfn.IFNA(VLOOKUP(封面!B1,'2021决算导出'!A:BE,57,FALSE),"")</f>
        <v>0</v>
      </c>
      <c r="H13" s="7" t="s">
        <v>223</v>
      </c>
      <c r="J13" s="7" t="s">
        <v>224</v>
      </c>
    </row>
    <row r="14" spans="1:14" ht="18" customHeight="1">
      <c r="A14" s="12">
        <f>_xlfn.IFNA(VLOOKUP(封面!B1,'2021决算导出'!A:BF,58,FALSE),"")</f>
        <v>0</v>
      </c>
      <c r="B14" s="7" t="s">
        <v>225</v>
      </c>
    </row>
    <row r="15" spans="1:14" ht="18" customHeight="1">
      <c r="A15" s="6" t="s">
        <v>226</v>
      </c>
    </row>
    <row r="16" spans="1:14" ht="18" customHeight="1">
      <c r="A16" s="7" t="s">
        <v>227</v>
      </c>
    </row>
    <row r="17" spans="1:14" ht="18" customHeight="1">
      <c r="A17" s="6" t="s">
        <v>228</v>
      </c>
    </row>
    <row r="18" spans="1:14" ht="375.6" customHeight="1">
      <c r="A18" s="79" t="s">
        <v>425</v>
      </c>
      <c r="B18" s="79"/>
      <c r="C18" s="79"/>
      <c r="D18" s="79"/>
      <c r="E18" s="79"/>
      <c r="F18" s="79"/>
      <c r="G18" s="79"/>
      <c r="H18" s="79"/>
      <c r="I18" s="79"/>
      <c r="J18" s="79"/>
      <c r="K18" s="79"/>
      <c r="L18" s="79"/>
      <c r="M18" s="79"/>
      <c r="N18" s="79"/>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427</v>
      </c>
      <c r="B10" s="73"/>
      <c r="C10" s="73"/>
      <c r="D10" s="73"/>
      <c r="E10" s="73"/>
      <c r="F10" s="73"/>
      <c r="G10" s="73"/>
      <c r="H10" s="73"/>
      <c r="I10" s="73"/>
      <c r="J10" s="73"/>
      <c r="K10" s="73"/>
      <c r="L10" s="73"/>
      <c r="M10" s="73"/>
      <c r="N10" s="73"/>
    </row>
    <row r="11" spans="1:14" ht="78" customHeight="1">
      <c r="A11" s="74" t="s">
        <v>428</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411</v>
      </c>
      <c r="B1" s="20" t="s">
        <v>234</v>
      </c>
      <c r="C1" s="20" t="s">
        <v>230</v>
      </c>
      <c r="D1" s="20" t="s">
        <v>235</v>
      </c>
      <c r="E1" s="20" t="s">
        <v>236</v>
      </c>
      <c r="F1" s="20" t="s">
        <v>237</v>
      </c>
      <c r="G1" s="20" t="s">
        <v>238</v>
      </c>
      <c r="H1" s="20" t="s">
        <v>239</v>
      </c>
      <c r="I1" s="20" t="s">
        <v>240</v>
      </c>
      <c r="J1" s="20" t="s">
        <v>241</v>
      </c>
      <c r="K1" s="20" t="s">
        <v>242</v>
      </c>
      <c r="L1" s="20" t="s">
        <v>243</v>
      </c>
      <c r="M1" s="20" t="s">
        <v>244</v>
      </c>
      <c r="N1" s="20" t="s">
        <v>245</v>
      </c>
      <c r="O1" s="20" t="s">
        <v>246</v>
      </c>
      <c r="P1" s="20" t="s">
        <v>247</v>
      </c>
      <c r="Q1" s="20" t="s">
        <v>248</v>
      </c>
      <c r="R1" s="20" t="s">
        <v>249</v>
      </c>
      <c r="S1" s="20" t="s">
        <v>250</v>
      </c>
      <c r="T1" s="20" t="s">
        <v>251</v>
      </c>
      <c r="U1" s="20" t="s">
        <v>252</v>
      </c>
      <c r="V1" s="20" t="s">
        <v>254</v>
      </c>
      <c r="W1" s="20" t="s">
        <v>416</v>
      </c>
      <c r="X1" s="52" t="s">
        <v>417</v>
      </c>
      <c r="Y1" s="20" t="s">
        <v>418</v>
      </c>
      <c r="Z1" s="20" t="s">
        <v>412</v>
      </c>
      <c r="AA1" s="20" t="s">
        <v>257</v>
      </c>
      <c r="AB1" s="20" t="s">
        <v>258</v>
      </c>
      <c r="AC1" s="20" t="s">
        <v>259</v>
      </c>
      <c r="AD1" s="20" t="s">
        <v>260</v>
      </c>
      <c r="AE1" s="20" t="s">
        <v>261</v>
      </c>
      <c r="AF1" s="20" t="s">
        <v>262</v>
      </c>
      <c r="AG1" s="20" t="s">
        <v>263</v>
      </c>
      <c r="AH1" s="20" t="s">
        <v>264</v>
      </c>
      <c r="AI1" s="20" t="s">
        <v>265</v>
      </c>
      <c r="AJ1" s="20" t="s">
        <v>266</v>
      </c>
      <c r="AK1" s="20" t="s">
        <v>267</v>
      </c>
      <c r="AL1" s="20" t="s">
        <v>268</v>
      </c>
      <c r="AM1" s="20" t="s">
        <v>300</v>
      </c>
      <c r="AN1" s="20" t="s">
        <v>301</v>
      </c>
      <c r="AO1" s="20" t="s">
        <v>269</v>
      </c>
      <c r="AP1" s="20" t="s">
        <v>270</v>
      </c>
      <c r="AQ1" s="20" t="s">
        <v>271</v>
      </c>
      <c r="AR1" s="20" t="s">
        <v>272</v>
      </c>
      <c r="AS1" s="20" t="s">
        <v>273</v>
      </c>
      <c r="AT1" s="20" t="s">
        <v>274</v>
      </c>
      <c r="AU1" s="20" t="s">
        <v>275</v>
      </c>
      <c r="AV1" s="20" t="s">
        <v>302</v>
      </c>
      <c r="AW1" s="20" t="s">
        <v>276</v>
      </c>
      <c r="AX1" s="20" t="s">
        <v>277</v>
      </c>
      <c r="AY1" s="20" t="s">
        <v>278</v>
      </c>
      <c r="AZ1" s="20" t="s">
        <v>279</v>
      </c>
      <c r="BA1" s="20" t="s">
        <v>280</v>
      </c>
      <c r="BB1" s="20" t="s">
        <v>281</v>
      </c>
      <c r="BC1" s="20" t="s">
        <v>282</v>
      </c>
      <c r="BD1" s="20" t="s">
        <v>389</v>
      </c>
      <c r="BE1" s="20" t="s">
        <v>283</v>
      </c>
      <c r="BF1" s="20" t="s">
        <v>284</v>
      </c>
    </row>
    <row r="2" spans="1:58" ht="11.65" customHeight="1">
      <c r="A2" s="54">
        <v>255001</v>
      </c>
      <c r="B2" s="23" t="s">
        <v>285</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292</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413</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293</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414</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415</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378</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233</v>
      </c>
      <c r="B1" s="20" t="s">
        <v>234</v>
      </c>
      <c r="C1" s="20" t="s">
        <v>230</v>
      </c>
      <c r="D1" s="63" t="s">
        <v>235</v>
      </c>
      <c r="E1" s="63" t="s">
        <v>236</v>
      </c>
      <c r="F1" s="20" t="s">
        <v>237</v>
      </c>
      <c r="G1" s="20" t="s">
        <v>238</v>
      </c>
      <c r="H1" s="20" t="s">
        <v>239</v>
      </c>
      <c r="I1" s="20" t="s">
        <v>240</v>
      </c>
      <c r="J1" s="20" t="s">
        <v>241</v>
      </c>
      <c r="K1" s="63" t="s">
        <v>242</v>
      </c>
      <c r="L1" s="20" t="s">
        <v>243</v>
      </c>
      <c r="M1" s="20" t="s">
        <v>244</v>
      </c>
      <c r="N1" s="20" t="s">
        <v>245</v>
      </c>
      <c r="O1" s="63" t="s">
        <v>246</v>
      </c>
      <c r="P1" s="20" t="s">
        <v>247</v>
      </c>
      <c r="Q1" s="20" t="s">
        <v>248</v>
      </c>
      <c r="R1" s="20" t="s">
        <v>249</v>
      </c>
      <c r="S1" s="20" t="s">
        <v>250</v>
      </c>
      <c r="T1" s="20" t="s">
        <v>251</v>
      </c>
      <c r="U1" s="20" t="s">
        <v>252</v>
      </c>
      <c r="V1" s="20" t="s">
        <v>253</v>
      </c>
      <c r="W1" s="20" t="s">
        <v>254</v>
      </c>
      <c r="X1" s="20" t="s">
        <v>255</v>
      </c>
      <c r="Y1" s="20" t="s">
        <v>256</v>
      </c>
      <c r="Z1" s="20" t="s">
        <v>299</v>
      </c>
      <c r="AA1" s="20" t="s">
        <v>257</v>
      </c>
      <c r="AB1" s="20" t="s">
        <v>258</v>
      </c>
      <c r="AC1" s="20" t="s">
        <v>259</v>
      </c>
      <c r="AD1" s="20" t="s">
        <v>260</v>
      </c>
      <c r="AE1" s="20" t="s">
        <v>261</v>
      </c>
      <c r="AF1" s="20" t="s">
        <v>262</v>
      </c>
      <c r="AG1" s="20" t="s">
        <v>263</v>
      </c>
      <c r="AH1" s="20" t="s">
        <v>264</v>
      </c>
      <c r="AI1" s="20" t="s">
        <v>265</v>
      </c>
      <c r="AJ1" s="20" t="s">
        <v>266</v>
      </c>
      <c r="AK1" s="20" t="s">
        <v>267</v>
      </c>
      <c r="AL1" s="20" t="s">
        <v>268</v>
      </c>
      <c r="AM1" s="20" t="s">
        <v>300</v>
      </c>
      <c r="AN1" s="20" t="s">
        <v>301</v>
      </c>
      <c r="AO1" s="20" t="s">
        <v>269</v>
      </c>
      <c r="AP1" s="20" t="s">
        <v>270</v>
      </c>
      <c r="AQ1" s="20" t="s">
        <v>271</v>
      </c>
      <c r="AR1" s="20" t="s">
        <v>272</v>
      </c>
      <c r="AS1" s="20" t="s">
        <v>273</v>
      </c>
      <c r="AT1" s="20" t="s">
        <v>274</v>
      </c>
      <c r="AU1" s="20" t="s">
        <v>275</v>
      </c>
      <c r="AV1" s="20" t="s">
        <v>302</v>
      </c>
      <c r="AW1" s="20" t="s">
        <v>276</v>
      </c>
      <c r="AX1" s="20" t="s">
        <v>277</v>
      </c>
      <c r="AY1" s="20" t="s">
        <v>278</v>
      </c>
      <c r="AZ1" s="20" t="s">
        <v>279</v>
      </c>
      <c r="BA1" s="20" t="s">
        <v>280</v>
      </c>
      <c r="BB1" s="20" t="s">
        <v>281</v>
      </c>
      <c r="BC1" s="20" t="s">
        <v>282</v>
      </c>
      <c r="BD1" s="20" t="s">
        <v>389</v>
      </c>
      <c r="BE1" s="20" t="s">
        <v>283</v>
      </c>
      <c r="BF1" s="20" t="s">
        <v>284</v>
      </c>
    </row>
    <row r="2" spans="1:58">
      <c r="A2" s="22">
        <v>255001</v>
      </c>
      <c r="B2" s="23" t="s">
        <v>285</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286</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287</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233</v>
      </c>
      <c r="B1" s="20" t="s">
        <v>234</v>
      </c>
      <c r="C1" s="20" t="s">
        <v>288</v>
      </c>
      <c r="D1" s="20" t="s">
        <v>289</v>
      </c>
      <c r="E1" s="20" t="s">
        <v>290</v>
      </c>
      <c r="F1" s="20" t="s">
        <v>291</v>
      </c>
    </row>
    <row r="2" spans="1:6">
      <c r="A2" s="22">
        <v>255001</v>
      </c>
      <c r="B2" s="23" t="s">
        <v>285</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292</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293</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294</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295</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2022-08-31T01:56:34Z</dcterms:modified>
</cp:coreProperties>
</file>